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defaultThemeVersion="124226"/>
  <mc:AlternateContent xmlns:mc="http://schemas.openxmlformats.org/markup-compatibility/2006">
    <mc:Choice Requires="x15">
      <x15ac:absPath xmlns:x15ac="http://schemas.microsoft.com/office/spreadsheetml/2010/11/ac" url="D:\Загрузки\"/>
    </mc:Choice>
  </mc:AlternateContent>
  <xr:revisionPtr revIDLastSave="0" documentId="13_ncr:1_{A0961771-F469-4C7E-BE54-FA1458E0145E}" xr6:coauthVersionLast="45" xr6:coauthVersionMax="45" xr10:uidLastSave="{00000000-0000-0000-0000-000000000000}"/>
  <bookViews>
    <workbookView xWindow="-120" yWindow="-120" windowWidth="29040" windowHeight="15840" tabRatio="954" firstSheet="4" activeTab="8" xr2:uid="{00000000-000D-0000-FFFF-FFFF00000000}"/>
  </bookViews>
  <sheets>
    <sheet name="СВОД (2)" sheetId="111" state="hidden" r:id="rId1"/>
    <sheet name="СВОД" sheetId="42" state="hidden" r:id="rId2"/>
    <sheet name="музей 2020" sheetId="80" state="hidden" r:id="rId3"/>
    <sheet name="Родина 2020" sheetId="81" state="hidden" r:id="rId4"/>
    <sheet name="раздел 1 (2020)" sheetId="207" r:id="rId5"/>
    <sheet name="раздел 1 (2021)" sheetId="317" r:id="rId6"/>
    <sheet name="раздел 1 (2022)" sheetId="318" r:id="rId7"/>
    <sheet name="раздел 1 (за предел.)" sheetId="319" r:id="rId8"/>
    <sheet name="раздел 2" sheetId="316" r:id="rId9"/>
    <sheet name="разбивка" sheetId="209" r:id="rId10"/>
    <sheet name="строка 1100 (120)+" sheetId="174" r:id="rId11"/>
    <sheet name="строка 1110 (121) аренда+" sheetId="211" r:id="rId12"/>
    <sheet name="строка 1200(130)" sheetId="176" r:id="rId13"/>
    <sheet name="субсидии стр1210(130)культ" sheetId="177" r:id="rId14"/>
    <sheet name="платные строка 1220 (131)" sheetId="294" r:id="rId15"/>
    <sheet name="самоокуп платные 1220 (131)" sheetId="295" r:id="rId16"/>
    <sheet name="возмещ ком услстрока 1230(135)" sheetId="180" r:id="rId17"/>
    <sheet name="штрафы строка 1300 (140)" sheetId="181" r:id="rId18"/>
    <sheet name="безвозм1430(155)" sheetId="182" r:id="rId19"/>
    <sheet name="безвозм1430(155) расч" sheetId="183" r:id="rId20"/>
    <sheet name="безвоз строка 1400 (150)" sheetId="184" r:id="rId21"/>
    <sheet name="прочие поступ строка 1980 (510)" sheetId="185" r:id="rId22"/>
    <sheet name="иные стр1210(130)культ" sheetId="204" r:id="rId23"/>
    <sheet name="субс РК КВР 111 (14.02.20)" sheetId="136" r:id="rId24"/>
    <sheet name="субс РК КВР 119 (14.02.20)" sheetId="137" r:id="rId25"/>
    <sheet name="б-т 991,992,911 (14.02.20)-2020" sheetId="296" r:id="rId26"/>
    <sheet name="б-т 991,992,911 (01.01.20)-2021" sheetId="298" r:id="rId27"/>
    <sheet name="б-т 991,992,911 (01.01.20)-2022" sheetId="299" r:id="rId28"/>
    <sheet name="субс РК КВР 112 (01.01.20)" sheetId="142" r:id="rId29"/>
    <sheet name="б-т 919 (01.01.20)" sheetId="139" r:id="rId30"/>
    <sheet name="субс РК КВР 113(01.01.20)" sheetId="147" r:id="rId31"/>
    <sheet name="б-т 966 (01.01.20)" sheetId="300" r:id="rId32"/>
    <sheet name="субс РК КВР 321(01.01.20)" sheetId="149" r:id="rId33"/>
    <sheet name="субс РК КВР 244 (01.01.20)" sheetId="151" r:id="rId34"/>
    <sheet name="б-т 922 (01.01.20)" sheetId="301" r:id="rId35"/>
    <sheet name="б-т 927 (01.01.20)" sheetId="302" r:id="rId36"/>
    <sheet name="б-т 931,932,933 (01.01.20)" sheetId="303" r:id="rId37"/>
    <sheet name="б-т 934 (01.01.20)" sheetId="304" r:id="rId38"/>
    <sheet name="б-т 941 (01.01.20)" sheetId="305" r:id="rId39"/>
    <sheet name="б-т 942 (01.01.20)" sheetId="306" r:id="rId40"/>
    <sheet name="б-т 947 (01.01.20)" sheetId="307" r:id="rId41"/>
    <sheet name="б-т 953 (01.01.20)" sheetId="308" r:id="rId42"/>
    <sheet name="б-т 954 (01.01.20)" sheetId="309" r:id="rId43"/>
    <sheet name="б-т Стим-е 954 (01.01.20)" sheetId="310" r:id="rId44"/>
    <sheet name="б-т 981 Стим-е (01.01.20)" sheetId="311" r:id="rId45"/>
    <sheet name="б-т 982 (01.01.20)" sheetId="262" r:id="rId46"/>
    <sheet name="б-т 995 (01.01.20)" sheetId="312" r:id="rId47"/>
    <sheet name="субс РТ КВР 113(01.01.20)" sheetId="270" r:id="rId48"/>
    <sheet name="субс РТ КВР 244 (01.01.20)" sheetId="187" r:id="rId49"/>
    <sheet name="иные КВР 112 (01.01.20)" sheetId="191" r:id="rId50"/>
    <sheet name="иные КВР 321(01.01.20)" sheetId="192" r:id="rId51"/>
    <sheet name="иные 212 (917) 2020" sheetId="313" r:id="rId52"/>
    <sheet name="ОД КВР 113(01.01.20)" sheetId="315" r:id="rId53"/>
    <sheet name="ОД КВР 244 (13.04.20)" sheetId="324" r:id="rId54"/>
    <sheet name="ОД 966 (21.02.20)" sheetId="314" r:id="rId55"/>
    <sheet name="(81600) КВР 244 (01.01.20)" sheetId="199" r:id="rId56"/>
    <sheet name="75 лет КВР 113(01.01.20)" sheetId="201" r:id="rId57"/>
    <sheet name="75 лет КВР 244 (01.01.20)" sheetId="202" r:id="rId58"/>
    <sheet name="ЖКХ КВР 244 (01.01.20)" sheetId="273" r:id="rId59"/>
    <sheet name="реформа ЖКХ 947 (01.01.20)" sheetId="272" r:id="rId60"/>
    <sheet name="внебКВР 111 (01.01.20)+" sheetId="129" r:id="rId61"/>
    <sheet name="внебКВР 119 (01.01.20)+" sheetId="130" r:id="rId62"/>
    <sheet name="внеб КВР 112 (01.01.20)" sheetId="205" r:id="rId63"/>
    <sheet name="внеб 912,921,952 (21.02.20)" sheetId="278" r:id="rId64"/>
    <sheet name="внеб КВР 113(01.01.20)" sheetId="230" r:id="rId65"/>
    <sheet name="внеб КВР 244" sheetId="132" r:id="rId66"/>
    <sheet name="расходы самоокупаемые (01.01.20" sheetId="279" r:id="rId67"/>
    <sheet name="внеб 925 (01.01.20)" sheetId="280" r:id="rId68"/>
    <sheet name="внеб 931,932,933 (01.01.20)" sheetId="281" r:id="rId69"/>
    <sheet name="внеб 941 (01.01.20)" sheetId="282" r:id="rId70"/>
    <sheet name="внеб 947 (21.02.20)" sheetId="320" r:id="rId71"/>
    <sheet name="внеб 954 (21.02.20)" sheetId="285" r:id="rId72"/>
    <sheet name="внеб 955 (01.01.20)" sheetId="286" r:id="rId73"/>
    <sheet name="внеб 963 (23.03.20)" sheetId="287" r:id="rId74"/>
    <sheet name="внеб 971 (23.03.20)" sheetId="288" r:id="rId75"/>
    <sheet name="внеб 981 (23.03.20)" sheetId="289" r:id="rId76"/>
    <sheet name="внеб 982 (01.01.20)" sheetId="290" r:id="rId77"/>
    <sheet name="внеб 983 (01.01.20)" sheetId="291" r:id="rId78"/>
    <sheet name="внеб 985 (01.01.20)" sheetId="292" r:id="rId79"/>
    <sheet name="внеб 986 (01.01.20)" sheetId="293" r:id="rId80"/>
    <sheet name="КВР 850" sheetId="206" r:id="rId81"/>
    <sheet name="безв.пост. КВР 113" sheetId="323" r:id="rId82"/>
    <sheet name="безв.пост. КВР 244 " sheetId="322" r:id="rId83"/>
    <sheet name="безв.поступ. 820" sheetId="321" r:id="rId84"/>
    <sheet name="ГЦК+Энергия 2020" sheetId="84" state="hidden" r:id="rId85"/>
    <sheet name="Юбилейный 2020" sheetId="85" state="hidden" r:id="rId86"/>
    <sheet name="Высоцкий 2020" sheetId="86" state="hidden" r:id="rId87"/>
    <sheet name="музей 2021" sheetId="99" state="hidden" r:id="rId88"/>
    <sheet name="Родина 2021" sheetId="100" state="hidden" r:id="rId89"/>
    <sheet name="ЦБС 2021" sheetId="101" state="hidden" r:id="rId90"/>
    <sheet name="ГЦК+Энергия 2021" sheetId="102" state="hidden" r:id="rId91"/>
    <sheet name="Юбилейный 2021" sheetId="103" state="hidden" r:id="rId92"/>
    <sheet name="Высоцкий 2021" sheetId="104" state="hidden" r:id="rId93"/>
    <sheet name="музей 2022" sheetId="105" state="hidden" r:id="rId94"/>
    <sheet name="Родина 2022" sheetId="106" state="hidden" r:id="rId95"/>
    <sheet name="ЦБС 2022" sheetId="107" state="hidden" r:id="rId96"/>
    <sheet name="ГЦК+Энергия 2022" sheetId="108" state="hidden" r:id="rId97"/>
    <sheet name="Юбилейный 2022" sheetId="109" state="hidden" r:id="rId98"/>
    <sheet name="Высоцкий 2022" sheetId="110" state="hidden" r:id="rId99"/>
  </sheets>
  <externalReferences>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s>
  <definedNames>
    <definedName name="_in2007" localSheetId="55">#REF!</definedName>
    <definedName name="_in2007" localSheetId="56">#REF!</definedName>
    <definedName name="_in2007" localSheetId="57">#REF!</definedName>
    <definedName name="_in2007" localSheetId="81">#REF!</definedName>
    <definedName name="_in2007" localSheetId="82">#REF!</definedName>
    <definedName name="_in2007" localSheetId="31">#REF!</definedName>
    <definedName name="_in2007" localSheetId="44">#REF!</definedName>
    <definedName name="_in2007" localSheetId="26">#REF!</definedName>
    <definedName name="_in2007" localSheetId="27">#REF!</definedName>
    <definedName name="_in2007" localSheetId="43">#REF!</definedName>
    <definedName name="_in2007" localSheetId="73">#REF!</definedName>
    <definedName name="_in2007" localSheetId="62">#REF!</definedName>
    <definedName name="_in2007" localSheetId="64">#REF!</definedName>
    <definedName name="_in2007" localSheetId="58">#REF!</definedName>
    <definedName name="_in2007" localSheetId="49">#REF!</definedName>
    <definedName name="_in2007" localSheetId="50">#REF!</definedName>
    <definedName name="_in2007" localSheetId="22">#REF!</definedName>
    <definedName name="_in2007" localSheetId="80">#REF!</definedName>
    <definedName name="_in2007" localSheetId="54">#REF!</definedName>
    <definedName name="_in2007" localSheetId="52">#REF!</definedName>
    <definedName name="_in2007" localSheetId="53">#REF!</definedName>
    <definedName name="_in2007" localSheetId="5">#REF!</definedName>
    <definedName name="_in2007" localSheetId="6">#REF!</definedName>
    <definedName name="_in2007" localSheetId="7">#REF!</definedName>
    <definedName name="_in2007" localSheetId="23">#REF!</definedName>
    <definedName name="_in2007" localSheetId="24">#REF!</definedName>
    <definedName name="_in2007" localSheetId="33">#REF!</definedName>
    <definedName name="_in2007" localSheetId="47">#REF!</definedName>
    <definedName name="_in2007" localSheetId="48">#REF!</definedName>
    <definedName name="_in2007">#REF!</definedName>
    <definedName name="_in2007_14" localSheetId="55">#REF!</definedName>
    <definedName name="_in2007_14" localSheetId="56">#REF!</definedName>
    <definedName name="_in2007_14" localSheetId="57">#REF!</definedName>
    <definedName name="_in2007_14" localSheetId="81">#REF!</definedName>
    <definedName name="_in2007_14" localSheetId="82">#REF!</definedName>
    <definedName name="_in2007_14" localSheetId="31">#REF!</definedName>
    <definedName name="_in2007_14" localSheetId="44">#REF!</definedName>
    <definedName name="_in2007_14" localSheetId="26">#REF!</definedName>
    <definedName name="_in2007_14" localSheetId="27">#REF!</definedName>
    <definedName name="_in2007_14" localSheetId="43">#REF!</definedName>
    <definedName name="_in2007_14" localSheetId="73">#REF!</definedName>
    <definedName name="_in2007_14" localSheetId="62">#REF!</definedName>
    <definedName name="_in2007_14" localSheetId="64">#REF!</definedName>
    <definedName name="_in2007_14" localSheetId="58">#REF!</definedName>
    <definedName name="_in2007_14" localSheetId="49">#REF!</definedName>
    <definedName name="_in2007_14" localSheetId="50">#REF!</definedName>
    <definedName name="_in2007_14" localSheetId="22">#REF!</definedName>
    <definedName name="_in2007_14" localSheetId="54">#REF!</definedName>
    <definedName name="_in2007_14" localSheetId="52">#REF!</definedName>
    <definedName name="_in2007_14" localSheetId="53">#REF!</definedName>
    <definedName name="_in2007_14" localSheetId="5">#REF!</definedName>
    <definedName name="_in2007_14" localSheetId="6">#REF!</definedName>
    <definedName name="_in2007_14" localSheetId="7">#REF!</definedName>
    <definedName name="_in2007_14" localSheetId="23">#REF!</definedName>
    <definedName name="_in2007_14" localSheetId="24">#REF!</definedName>
    <definedName name="_in2007_14" localSheetId="33">#REF!</definedName>
    <definedName name="_in2007_14" localSheetId="47">#REF!</definedName>
    <definedName name="_in2007_14" localSheetId="48">#REF!</definedName>
    <definedName name="_in2007_14">#REF!</definedName>
    <definedName name="_in2008" localSheetId="55">#REF!</definedName>
    <definedName name="_in2008" localSheetId="56">#REF!</definedName>
    <definedName name="_in2008" localSheetId="57">#REF!</definedName>
    <definedName name="_in2008" localSheetId="81">#REF!</definedName>
    <definedName name="_in2008" localSheetId="82">#REF!</definedName>
    <definedName name="_in2008" localSheetId="31">#REF!</definedName>
    <definedName name="_in2008" localSheetId="44">#REF!</definedName>
    <definedName name="_in2008" localSheetId="26">#REF!</definedName>
    <definedName name="_in2008" localSheetId="27">#REF!</definedName>
    <definedName name="_in2008" localSheetId="43">#REF!</definedName>
    <definedName name="_in2008" localSheetId="73">#REF!</definedName>
    <definedName name="_in2008" localSheetId="62">#REF!</definedName>
    <definedName name="_in2008" localSheetId="64">#REF!</definedName>
    <definedName name="_in2008" localSheetId="58">#REF!</definedName>
    <definedName name="_in2008" localSheetId="49">#REF!</definedName>
    <definedName name="_in2008" localSheetId="50">#REF!</definedName>
    <definedName name="_in2008" localSheetId="22">#REF!</definedName>
    <definedName name="_in2008" localSheetId="54">#REF!</definedName>
    <definedName name="_in2008" localSheetId="52">#REF!</definedName>
    <definedName name="_in2008" localSheetId="53">#REF!</definedName>
    <definedName name="_in2008" localSheetId="5">#REF!</definedName>
    <definedName name="_in2008" localSheetId="6">#REF!</definedName>
    <definedName name="_in2008" localSheetId="7">#REF!</definedName>
    <definedName name="_in2008" localSheetId="23">#REF!</definedName>
    <definedName name="_in2008" localSheetId="24">#REF!</definedName>
    <definedName name="_in2008" localSheetId="33">#REF!</definedName>
    <definedName name="_in2008" localSheetId="47">#REF!</definedName>
    <definedName name="_in2008" localSheetId="48">#REF!</definedName>
    <definedName name="_in2008">#REF!</definedName>
    <definedName name="_in2008_14" localSheetId="55">#REF!</definedName>
    <definedName name="_in2008_14" localSheetId="56">#REF!</definedName>
    <definedName name="_in2008_14" localSheetId="57">#REF!</definedName>
    <definedName name="_in2008_14" localSheetId="81">#REF!</definedName>
    <definedName name="_in2008_14" localSheetId="82">#REF!</definedName>
    <definedName name="_in2008_14" localSheetId="31">#REF!</definedName>
    <definedName name="_in2008_14" localSheetId="44">#REF!</definedName>
    <definedName name="_in2008_14" localSheetId="26">#REF!</definedName>
    <definedName name="_in2008_14" localSheetId="27">#REF!</definedName>
    <definedName name="_in2008_14" localSheetId="43">#REF!</definedName>
    <definedName name="_in2008_14" localSheetId="73">#REF!</definedName>
    <definedName name="_in2008_14" localSheetId="62">#REF!</definedName>
    <definedName name="_in2008_14" localSheetId="64">#REF!</definedName>
    <definedName name="_in2008_14" localSheetId="58">#REF!</definedName>
    <definedName name="_in2008_14" localSheetId="49">#REF!</definedName>
    <definedName name="_in2008_14" localSheetId="50">#REF!</definedName>
    <definedName name="_in2008_14" localSheetId="22">#REF!</definedName>
    <definedName name="_in2008_14" localSheetId="54">#REF!</definedName>
    <definedName name="_in2008_14" localSheetId="52">#REF!</definedName>
    <definedName name="_in2008_14" localSheetId="53">#REF!</definedName>
    <definedName name="_in2008_14" localSheetId="5">#REF!</definedName>
    <definedName name="_in2008_14" localSheetId="6">#REF!</definedName>
    <definedName name="_in2008_14" localSheetId="7">#REF!</definedName>
    <definedName name="_in2008_14" localSheetId="23">#REF!</definedName>
    <definedName name="_in2008_14" localSheetId="24">#REF!</definedName>
    <definedName name="_in2008_14" localSheetId="33">#REF!</definedName>
    <definedName name="_in2008_14" localSheetId="47">#REF!</definedName>
    <definedName name="_in2008_14" localSheetId="48">#REF!</definedName>
    <definedName name="_in2008_14">#REF!</definedName>
    <definedName name="_in2009" localSheetId="55">#REF!</definedName>
    <definedName name="_in2009" localSheetId="56">#REF!</definedName>
    <definedName name="_in2009" localSheetId="57">#REF!</definedName>
    <definedName name="_in2009" localSheetId="81">#REF!</definedName>
    <definedName name="_in2009" localSheetId="82">#REF!</definedName>
    <definedName name="_in2009" localSheetId="31">#REF!</definedName>
    <definedName name="_in2009" localSheetId="44">#REF!</definedName>
    <definedName name="_in2009" localSheetId="26">#REF!</definedName>
    <definedName name="_in2009" localSheetId="27">#REF!</definedName>
    <definedName name="_in2009" localSheetId="43">#REF!</definedName>
    <definedName name="_in2009" localSheetId="73">#REF!</definedName>
    <definedName name="_in2009" localSheetId="62">#REF!</definedName>
    <definedName name="_in2009" localSheetId="64">#REF!</definedName>
    <definedName name="_in2009" localSheetId="58">#REF!</definedName>
    <definedName name="_in2009" localSheetId="49">#REF!</definedName>
    <definedName name="_in2009" localSheetId="50">#REF!</definedName>
    <definedName name="_in2009" localSheetId="22">#REF!</definedName>
    <definedName name="_in2009" localSheetId="54">#REF!</definedName>
    <definedName name="_in2009" localSheetId="52">#REF!</definedName>
    <definedName name="_in2009" localSheetId="53">#REF!</definedName>
    <definedName name="_in2009" localSheetId="5">#REF!</definedName>
    <definedName name="_in2009" localSheetId="6">#REF!</definedName>
    <definedName name="_in2009" localSheetId="7">#REF!</definedName>
    <definedName name="_in2009" localSheetId="23">#REF!</definedName>
    <definedName name="_in2009" localSheetId="24">#REF!</definedName>
    <definedName name="_in2009" localSheetId="33">#REF!</definedName>
    <definedName name="_in2009" localSheetId="47">#REF!</definedName>
    <definedName name="_in2009" localSheetId="48">#REF!</definedName>
    <definedName name="_in2009">#REF!</definedName>
    <definedName name="_in2009_14" localSheetId="55">#REF!</definedName>
    <definedName name="_in2009_14" localSheetId="56">#REF!</definedName>
    <definedName name="_in2009_14" localSheetId="57">#REF!</definedName>
    <definedName name="_in2009_14" localSheetId="81">#REF!</definedName>
    <definedName name="_in2009_14" localSheetId="82">#REF!</definedName>
    <definedName name="_in2009_14" localSheetId="31">#REF!</definedName>
    <definedName name="_in2009_14" localSheetId="44">#REF!</definedName>
    <definedName name="_in2009_14" localSheetId="26">#REF!</definedName>
    <definedName name="_in2009_14" localSheetId="27">#REF!</definedName>
    <definedName name="_in2009_14" localSheetId="43">#REF!</definedName>
    <definedName name="_in2009_14" localSheetId="73">#REF!</definedName>
    <definedName name="_in2009_14" localSheetId="62">#REF!</definedName>
    <definedName name="_in2009_14" localSheetId="64">#REF!</definedName>
    <definedName name="_in2009_14" localSheetId="58">#REF!</definedName>
    <definedName name="_in2009_14" localSheetId="49">#REF!</definedName>
    <definedName name="_in2009_14" localSheetId="50">#REF!</definedName>
    <definedName name="_in2009_14" localSheetId="22">#REF!</definedName>
    <definedName name="_in2009_14" localSheetId="54">#REF!</definedName>
    <definedName name="_in2009_14" localSheetId="52">#REF!</definedName>
    <definedName name="_in2009_14" localSheetId="53">#REF!</definedName>
    <definedName name="_in2009_14" localSheetId="5">#REF!</definedName>
    <definedName name="_in2009_14" localSheetId="6">#REF!</definedName>
    <definedName name="_in2009_14" localSheetId="7">#REF!</definedName>
    <definedName name="_in2009_14" localSheetId="23">#REF!</definedName>
    <definedName name="_in2009_14" localSheetId="24">#REF!</definedName>
    <definedName name="_in2009_14" localSheetId="33">#REF!</definedName>
    <definedName name="_in2009_14" localSheetId="47">#REF!</definedName>
    <definedName name="_in2009_14" localSheetId="48">#REF!</definedName>
    <definedName name="_in2009_14">#REF!</definedName>
    <definedName name="_in2010" localSheetId="55">#REF!</definedName>
    <definedName name="_in2010" localSheetId="56">#REF!</definedName>
    <definedName name="_in2010" localSheetId="57">#REF!</definedName>
    <definedName name="_in2010" localSheetId="81">#REF!</definedName>
    <definedName name="_in2010" localSheetId="82">#REF!</definedName>
    <definedName name="_in2010" localSheetId="31">#REF!</definedName>
    <definedName name="_in2010" localSheetId="44">#REF!</definedName>
    <definedName name="_in2010" localSheetId="26">#REF!</definedName>
    <definedName name="_in2010" localSheetId="27">#REF!</definedName>
    <definedName name="_in2010" localSheetId="43">#REF!</definedName>
    <definedName name="_in2010" localSheetId="73">#REF!</definedName>
    <definedName name="_in2010" localSheetId="62">#REF!</definedName>
    <definedName name="_in2010" localSheetId="64">#REF!</definedName>
    <definedName name="_in2010" localSheetId="58">#REF!</definedName>
    <definedName name="_in2010" localSheetId="49">#REF!</definedName>
    <definedName name="_in2010" localSheetId="50">#REF!</definedName>
    <definedName name="_in2010" localSheetId="22">#REF!</definedName>
    <definedName name="_in2010" localSheetId="54">#REF!</definedName>
    <definedName name="_in2010" localSheetId="52">#REF!</definedName>
    <definedName name="_in2010" localSheetId="53">#REF!</definedName>
    <definedName name="_in2010" localSheetId="5">#REF!</definedName>
    <definedName name="_in2010" localSheetId="6">#REF!</definedName>
    <definedName name="_in2010" localSheetId="7">#REF!</definedName>
    <definedName name="_in2010" localSheetId="23">#REF!</definedName>
    <definedName name="_in2010" localSheetId="24">#REF!</definedName>
    <definedName name="_in2010" localSheetId="33">#REF!</definedName>
    <definedName name="_in2010" localSheetId="47">#REF!</definedName>
    <definedName name="_in2010" localSheetId="48">#REF!</definedName>
    <definedName name="_in2010">#REF!</definedName>
    <definedName name="_in2010_14" localSheetId="55">#REF!</definedName>
    <definedName name="_in2010_14" localSheetId="56">#REF!</definedName>
    <definedName name="_in2010_14" localSheetId="57">#REF!</definedName>
    <definedName name="_in2010_14" localSheetId="81">#REF!</definedName>
    <definedName name="_in2010_14" localSheetId="82">#REF!</definedName>
    <definedName name="_in2010_14" localSheetId="31">#REF!</definedName>
    <definedName name="_in2010_14" localSheetId="44">#REF!</definedName>
    <definedName name="_in2010_14" localSheetId="26">#REF!</definedName>
    <definedName name="_in2010_14" localSheetId="27">#REF!</definedName>
    <definedName name="_in2010_14" localSheetId="43">#REF!</definedName>
    <definedName name="_in2010_14" localSheetId="73">#REF!</definedName>
    <definedName name="_in2010_14" localSheetId="62">#REF!</definedName>
    <definedName name="_in2010_14" localSheetId="64">#REF!</definedName>
    <definedName name="_in2010_14" localSheetId="58">#REF!</definedName>
    <definedName name="_in2010_14" localSheetId="49">#REF!</definedName>
    <definedName name="_in2010_14" localSheetId="50">#REF!</definedName>
    <definedName name="_in2010_14" localSheetId="22">#REF!</definedName>
    <definedName name="_in2010_14" localSheetId="54">#REF!</definedName>
    <definedName name="_in2010_14" localSheetId="52">#REF!</definedName>
    <definedName name="_in2010_14" localSheetId="53">#REF!</definedName>
    <definedName name="_in2010_14" localSheetId="5">#REF!</definedName>
    <definedName name="_in2010_14" localSheetId="6">#REF!</definedName>
    <definedName name="_in2010_14" localSheetId="7">#REF!</definedName>
    <definedName name="_in2010_14" localSheetId="23">#REF!</definedName>
    <definedName name="_in2010_14" localSheetId="24">#REF!</definedName>
    <definedName name="_in2010_14" localSheetId="33">#REF!</definedName>
    <definedName name="_in2010_14" localSheetId="47">#REF!</definedName>
    <definedName name="_in2010_14" localSheetId="48">#REF!</definedName>
    <definedName name="_in2010_14">#REF!</definedName>
    <definedName name="_in2011" localSheetId="55">#REF!</definedName>
    <definedName name="_in2011" localSheetId="56">#REF!</definedName>
    <definedName name="_in2011" localSheetId="57">#REF!</definedName>
    <definedName name="_in2011" localSheetId="81">#REF!</definedName>
    <definedName name="_in2011" localSheetId="82">#REF!</definedName>
    <definedName name="_in2011" localSheetId="31">#REF!</definedName>
    <definedName name="_in2011" localSheetId="44">#REF!</definedName>
    <definedName name="_in2011" localSheetId="26">#REF!</definedName>
    <definedName name="_in2011" localSheetId="27">#REF!</definedName>
    <definedName name="_in2011" localSheetId="43">#REF!</definedName>
    <definedName name="_in2011" localSheetId="73">#REF!</definedName>
    <definedName name="_in2011" localSheetId="62">#REF!</definedName>
    <definedName name="_in2011" localSheetId="64">#REF!</definedName>
    <definedName name="_in2011" localSheetId="58">#REF!</definedName>
    <definedName name="_in2011" localSheetId="49">#REF!</definedName>
    <definedName name="_in2011" localSheetId="50">#REF!</definedName>
    <definedName name="_in2011" localSheetId="22">#REF!</definedName>
    <definedName name="_in2011" localSheetId="54">#REF!</definedName>
    <definedName name="_in2011" localSheetId="52">#REF!</definedName>
    <definedName name="_in2011" localSheetId="53">#REF!</definedName>
    <definedName name="_in2011" localSheetId="5">#REF!</definedName>
    <definedName name="_in2011" localSheetId="6">#REF!</definedName>
    <definedName name="_in2011" localSheetId="7">#REF!</definedName>
    <definedName name="_in2011" localSheetId="23">#REF!</definedName>
    <definedName name="_in2011" localSheetId="24">#REF!</definedName>
    <definedName name="_in2011" localSheetId="33">#REF!</definedName>
    <definedName name="_in2011" localSheetId="47">#REF!</definedName>
    <definedName name="_in2011" localSheetId="48">#REF!</definedName>
    <definedName name="_in2011">#REF!</definedName>
    <definedName name="_in2011_14" localSheetId="55">#REF!</definedName>
    <definedName name="_in2011_14" localSheetId="56">#REF!</definedName>
    <definedName name="_in2011_14" localSheetId="57">#REF!</definedName>
    <definedName name="_in2011_14" localSheetId="81">#REF!</definedName>
    <definedName name="_in2011_14" localSheetId="82">#REF!</definedName>
    <definedName name="_in2011_14" localSheetId="31">#REF!</definedName>
    <definedName name="_in2011_14" localSheetId="44">#REF!</definedName>
    <definedName name="_in2011_14" localSheetId="26">#REF!</definedName>
    <definedName name="_in2011_14" localSheetId="27">#REF!</definedName>
    <definedName name="_in2011_14" localSheetId="43">#REF!</definedName>
    <definedName name="_in2011_14" localSheetId="73">#REF!</definedName>
    <definedName name="_in2011_14" localSheetId="62">#REF!</definedName>
    <definedName name="_in2011_14" localSheetId="64">#REF!</definedName>
    <definedName name="_in2011_14" localSheetId="58">#REF!</definedName>
    <definedName name="_in2011_14" localSheetId="49">#REF!</definedName>
    <definedName name="_in2011_14" localSheetId="50">#REF!</definedName>
    <definedName name="_in2011_14" localSheetId="22">#REF!</definedName>
    <definedName name="_in2011_14" localSheetId="54">#REF!</definedName>
    <definedName name="_in2011_14" localSheetId="52">#REF!</definedName>
    <definedName name="_in2011_14" localSheetId="53">#REF!</definedName>
    <definedName name="_in2011_14" localSheetId="5">#REF!</definedName>
    <definedName name="_in2011_14" localSheetId="6">#REF!</definedName>
    <definedName name="_in2011_14" localSheetId="7">#REF!</definedName>
    <definedName name="_in2011_14" localSheetId="23">#REF!</definedName>
    <definedName name="_in2011_14" localSheetId="24">#REF!</definedName>
    <definedName name="_in2011_14" localSheetId="33">#REF!</definedName>
    <definedName name="_in2011_14" localSheetId="47">#REF!</definedName>
    <definedName name="_in2011_14" localSheetId="48">#REF!</definedName>
    <definedName name="_in2011_14">#REF!</definedName>
    <definedName name="_in2012" localSheetId="55">#REF!</definedName>
    <definedName name="_in2012" localSheetId="56">#REF!</definedName>
    <definedName name="_in2012" localSheetId="57">#REF!</definedName>
    <definedName name="_in2012" localSheetId="81">#REF!</definedName>
    <definedName name="_in2012" localSheetId="82">#REF!</definedName>
    <definedName name="_in2012" localSheetId="31">#REF!</definedName>
    <definedName name="_in2012" localSheetId="44">#REF!</definedName>
    <definedName name="_in2012" localSheetId="26">#REF!</definedName>
    <definedName name="_in2012" localSheetId="27">#REF!</definedName>
    <definedName name="_in2012" localSheetId="43">#REF!</definedName>
    <definedName name="_in2012" localSheetId="73">#REF!</definedName>
    <definedName name="_in2012" localSheetId="62">#REF!</definedName>
    <definedName name="_in2012" localSheetId="64">#REF!</definedName>
    <definedName name="_in2012" localSheetId="58">#REF!</definedName>
    <definedName name="_in2012" localSheetId="49">#REF!</definedName>
    <definedName name="_in2012" localSheetId="50">#REF!</definedName>
    <definedName name="_in2012" localSheetId="22">#REF!</definedName>
    <definedName name="_in2012" localSheetId="54">#REF!</definedName>
    <definedName name="_in2012" localSheetId="52">#REF!</definedName>
    <definedName name="_in2012" localSheetId="53">#REF!</definedName>
    <definedName name="_in2012" localSheetId="5">#REF!</definedName>
    <definedName name="_in2012" localSheetId="6">#REF!</definedName>
    <definedName name="_in2012" localSheetId="7">#REF!</definedName>
    <definedName name="_in2012" localSheetId="23">#REF!</definedName>
    <definedName name="_in2012" localSheetId="24">#REF!</definedName>
    <definedName name="_in2012" localSheetId="33">#REF!</definedName>
    <definedName name="_in2012" localSheetId="47">#REF!</definedName>
    <definedName name="_in2012" localSheetId="48">#REF!</definedName>
    <definedName name="_in2012">#REF!</definedName>
    <definedName name="_in2012_14" localSheetId="55">#REF!</definedName>
    <definedName name="_in2012_14" localSheetId="56">#REF!</definedName>
    <definedName name="_in2012_14" localSheetId="57">#REF!</definedName>
    <definedName name="_in2012_14" localSheetId="81">#REF!</definedName>
    <definedName name="_in2012_14" localSheetId="82">#REF!</definedName>
    <definedName name="_in2012_14" localSheetId="31">#REF!</definedName>
    <definedName name="_in2012_14" localSheetId="44">#REF!</definedName>
    <definedName name="_in2012_14" localSheetId="26">#REF!</definedName>
    <definedName name="_in2012_14" localSheetId="27">#REF!</definedName>
    <definedName name="_in2012_14" localSheetId="43">#REF!</definedName>
    <definedName name="_in2012_14" localSheetId="73">#REF!</definedName>
    <definedName name="_in2012_14" localSheetId="62">#REF!</definedName>
    <definedName name="_in2012_14" localSheetId="64">#REF!</definedName>
    <definedName name="_in2012_14" localSheetId="58">#REF!</definedName>
    <definedName name="_in2012_14" localSheetId="49">#REF!</definedName>
    <definedName name="_in2012_14" localSheetId="50">#REF!</definedName>
    <definedName name="_in2012_14" localSheetId="22">#REF!</definedName>
    <definedName name="_in2012_14" localSheetId="54">#REF!</definedName>
    <definedName name="_in2012_14" localSheetId="52">#REF!</definedName>
    <definedName name="_in2012_14" localSheetId="53">#REF!</definedName>
    <definedName name="_in2012_14" localSheetId="5">#REF!</definedName>
    <definedName name="_in2012_14" localSheetId="6">#REF!</definedName>
    <definedName name="_in2012_14" localSheetId="7">#REF!</definedName>
    <definedName name="_in2012_14" localSheetId="23">#REF!</definedName>
    <definedName name="_in2012_14" localSheetId="24">#REF!</definedName>
    <definedName name="_in2012_14" localSheetId="33">#REF!</definedName>
    <definedName name="_in2012_14" localSheetId="47">#REF!</definedName>
    <definedName name="_in2012_14" localSheetId="48">#REF!</definedName>
    <definedName name="_in2012_14">#REF!</definedName>
    <definedName name="_in2013" localSheetId="55">#REF!</definedName>
    <definedName name="_in2013" localSheetId="56">#REF!</definedName>
    <definedName name="_in2013" localSheetId="57">#REF!</definedName>
    <definedName name="_in2013" localSheetId="81">#REF!</definedName>
    <definedName name="_in2013" localSheetId="82">#REF!</definedName>
    <definedName name="_in2013" localSheetId="31">#REF!</definedName>
    <definedName name="_in2013" localSheetId="44">#REF!</definedName>
    <definedName name="_in2013" localSheetId="26">#REF!</definedName>
    <definedName name="_in2013" localSheetId="27">#REF!</definedName>
    <definedName name="_in2013" localSheetId="43">#REF!</definedName>
    <definedName name="_in2013" localSheetId="73">#REF!</definedName>
    <definedName name="_in2013" localSheetId="62">#REF!</definedName>
    <definedName name="_in2013" localSheetId="64">#REF!</definedName>
    <definedName name="_in2013" localSheetId="58">#REF!</definedName>
    <definedName name="_in2013" localSheetId="49">#REF!</definedName>
    <definedName name="_in2013" localSheetId="50">#REF!</definedName>
    <definedName name="_in2013" localSheetId="22">#REF!</definedName>
    <definedName name="_in2013" localSheetId="54">#REF!</definedName>
    <definedName name="_in2013" localSheetId="52">#REF!</definedName>
    <definedName name="_in2013" localSheetId="53">#REF!</definedName>
    <definedName name="_in2013" localSheetId="5">#REF!</definedName>
    <definedName name="_in2013" localSheetId="6">#REF!</definedName>
    <definedName name="_in2013" localSheetId="7">#REF!</definedName>
    <definedName name="_in2013" localSheetId="23">#REF!</definedName>
    <definedName name="_in2013" localSheetId="24">#REF!</definedName>
    <definedName name="_in2013" localSheetId="33">#REF!</definedName>
    <definedName name="_in2013" localSheetId="47">#REF!</definedName>
    <definedName name="_in2013" localSheetId="48">#REF!</definedName>
    <definedName name="_in2013">#REF!</definedName>
    <definedName name="_in2013_14" localSheetId="55">#REF!</definedName>
    <definedName name="_in2013_14" localSheetId="56">#REF!</definedName>
    <definedName name="_in2013_14" localSheetId="57">#REF!</definedName>
    <definedName name="_in2013_14" localSheetId="81">#REF!</definedName>
    <definedName name="_in2013_14" localSheetId="82">#REF!</definedName>
    <definedName name="_in2013_14" localSheetId="31">#REF!</definedName>
    <definedName name="_in2013_14" localSheetId="44">#REF!</definedName>
    <definedName name="_in2013_14" localSheetId="26">#REF!</definedName>
    <definedName name="_in2013_14" localSheetId="27">#REF!</definedName>
    <definedName name="_in2013_14" localSheetId="43">#REF!</definedName>
    <definedName name="_in2013_14" localSheetId="73">#REF!</definedName>
    <definedName name="_in2013_14" localSheetId="62">#REF!</definedName>
    <definedName name="_in2013_14" localSheetId="64">#REF!</definedName>
    <definedName name="_in2013_14" localSheetId="58">#REF!</definedName>
    <definedName name="_in2013_14" localSheetId="49">#REF!</definedName>
    <definedName name="_in2013_14" localSheetId="50">#REF!</definedName>
    <definedName name="_in2013_14" localSheetId="22">#REF!</definedName>
    <definedName name="_in2013_14" localSheetId="54">#REF!</definedName>
    <definedName name="_in2013_14" localSheetId="52">#REF!</definedName>
    <definedName name="_in2013_14" localSheetId="53">#REF!</definedName>
    <definedName name="_in2013_14" localSheetId="5">#REF!</definedName>
    <definedName name="_in2013_14" localSheetId="6">#REF!</definedName>
    <definedName name="_in2013_14" localSheetId="7">#REF!</definedName>
    <definedName name="_in2013_14" localSheetId="23">#REF!</definedName>
    <definedName name="_in2013_14" localSheetId="24">#REF!</definedName>
    <definedName name="_in2013_14" localSheetId="33">#REF!</definedName>
    <definedName name="_in2013_14" localSheetId="47">#REF!</definedName>
    <definedName name="_in2013_14" localSheetId="48">#REF!</definedName>
    <definedName name="_in2013_14">#REF!</definedName>
    <definedName name="_in2014" localSheetId="55">#REF!</definedName>
    <definedName name="_in2014" localSheetId="56">#REF!</definedName>
    <definedName name="_in2014" localSheetId="57">#REF!</definedName>
    <definedName name="_in2014" localSheetId="81">#REF!</definedName>
    <definedName name="_in2014" localSheetId="82">#REF!</definedName>
    <definedName name="_in2014" localSheetId="31">#REF!</definedName>
    <definedName name="_in2014" localSheetId="44">#REF!</definedName>
    <definedName name="_in2014" localSheetId="26">#REF!</definedName>
    <definedName name="_in2014" localSheetId="27">#REF!</definedName>
    <definedName name="_in2014" localSheetId="43">#REF!</definedName>
    <definedName name="_in2014" localSheetId="73">#REF!</definedName>
    <definedName name="_in2014" localSheetId="62">#REF!</definedName>
    <definedName name="_in2014" localSheetId="64">#REF!</definedName>
    <definedName name="_in2014" localSheetId="58">#REF!</definedName>
    <definedName name="_in2014" localSheetId="49">#REF!</definedName>
    <definedName name="_in2014" localSheetId="50">#REF!</definedName>
    <definedName name="_in2014" localSheetId="22">#REF!</definedName>
    <definedName name="_in2014" localSheetId="54">#REF!</definedName>
    <definedName name="_in2014" localSheetId="52">#REF!</definedName>
    <definedName name="_in2014" localSheetId="53">#REF!</definedName>
    <definedName name="_in2014" localSheetId="5">#REF!</definedName>
    <definedName name="_in2014" localSheetId="6">#REF!</definedName>
    <definedName name="_in2014" localSheetId="7">#REF!</definedName>
    <definedName name="_in2014" localSheetId="23">#REF!</definedName>
    <definedName name="_in2014" localSheetId="24">#REF!</definedName>
    <definedName name="_in2014" localSheetId="33">#REF!</definedName>
    <definedName name="_in2014" localSheetId="47">#REF!</definedName>
    <definedName name="_in2014" localSheetId="48">#REF!</definedName>
    <definedName name="_in2014">#REF!</definedName>
    <definedName name="_in2014_14" localSheetId="55">#REF!</definedName>
    <definedName name="_in2014_14" localSheetId="56">#REF!</definedName>
    <definedName name="_in2014_14" localSheetId="57">#REF!</definedName>
    <definedName name="_in2014_14" localSheetId="81">#REF!</definedName>
    <definedName name="_in2014_14" localSheetId="82">#REF!</definedName>
    <definedName name="_in2014_14" localSheetId="31">#REF!</definedName>
    <definedName name="_in2014_14" localSheetId="44">#REF!</definedName>
    <definedName name="_in2014_14" localSheetId="26">#REF!</definedName>
    <definedName name="_in2014_14" localSheetId="27">#REF!</definedName>
    <definedName name="_in2014_14" localSheetId="43">#REF!</definedName>
    <definedName name="_in2014_14" localSheetId="73">#REF!</definedName>
    <definedName name="_in2014_14" localSheetId="62">#REF!</definedName>
    <definedName name="_in2014_14" localSheetId="64">#REF!</definedName>
    <definedName name="_in2014_14" localSheetId="58">#REF!</definedName>
    <definedName name="_in2014_14" localSheetId="49">#REF!</definedName>
    <definedName name="_in2014_14" localSheetId="50">#REF!</definedName>
    <definedName name="_in2014_14" localSheetId="22">#REF!</definedName>
    <definedName name="_in2014_14" localSheetId="54">#REF!</definedName>
    <definedName name="_in2014_14" localSheetId="52">#REF!</definedName>
    <definedName name="_in2014_14" localSheetId="53">#REF!</definedName>
    <definedName name="_in2014_14" localSheetId="5">#REF!</definedName>
    <definedName name="_in2014_14" localSheetId="6">#REF!</definedName>
    <definedName name="_in2014_14" localSheetId="7">#REF!</definedName>
    <definedName name="_in2014_14" localSheetId="23">#REF!</definedName>
    <definedName name="_in2014_14" localSheetId="24">#REF!</definedName>
    <definedName name="_in2014_14" localSheetId="33">#REF!</definedName>
    <definedName name="_in2014_14" localSheetId="47">#REF!</definedName>
    <definedName name="_in2014_14" localSheetId="48">#REF!</definedName>
    <definedName name="_in2014_14">#REF!</definedName>
    <definedName name="_in2015" localSheetId="55">#REF!</definedName>
    <definedName name="_in2015" localSheetId="56">#REF!</definedName>
    <definedName name="_in2015" localSheetId="57">#REF!</definedName>
    <definedName name="_in2015" localSheetId="81">#REF!</definedName>
    <definedName name="_in2015" localSheetId="82">#REF!</definedName>
    <definedName name="_in2015" localSheetId="31">#REF!</definedName>
    <definedName name="_in2015" localSheetId="44">#REF!</definedName>
    <definedName name="_in2015" localSheetId="26">#REF!</definedName>
    <definedName name="_in2015" localSheetId="27">#REF!</definedName>
    <definedName name="_in2015" localSheetId="43">#REF!</definedName>
    <definedName name="_in2015" localSheetId="73">#REF!</definedName>
    <definedName name="_in2015" localSheetId="62">#REF!</definedName>
    <definedName name="_in2015" localSheetId="64">#REF!</definedName>
    <definedName name="_in2015" localSheetId="58">#REF!</definedName>
    <definedName name="_in2015" localSheetId="49">#REF!</definedName>
    <definedName name="_in2015" localSheetId="50">#REF!</definedName>
    <definedName name="_in2015" localSheetId="22">#REF!</definedName>
    <definedName name="_in2015" localSheetId="54">#REF!</definedName>
    <definedName name="_in2015" localSheetId="52">#REF!</definedName>
    <definedName name="_in2015" localSheetId="53">#REF!</definedName>
    <definedName name="_in2015" localSheetId="5">#REF!</definedName>
    <definedName name="_in2015" localSheetId="6">#REF!</definedName>
    <definedName name="_in2015" localSheetId="7">#REF!</definedName>
    <definedName name="_in2015" localSheetId="23">#REF!</definedName>
    <definedName name="_in2015" localSheetId="24">#REF!</definedName>
    <definedName name="_in2015" localSheetId="33">#REF!</definedName>
    <definedName name="_in2015" localSheetId="47">#REF!</definedName>
    <definedName name="_in2015" localSheetId="48">#REF!</definedName>
    <definedName name="_in2015">#REF!</definedName>
    <definedName name="_in2015_14" localSheetId="55">#REF!</definedName>
    <definedName name="_in2015_14" localSheetId="56">#REF!</definedName>
    <definedName name="_in2015_14" localSheetId="57">#REF!</definedName>
    <definedName name="_in2015_14" localSheetId="81">#REF!</definedName>
    <definedName name="_in2015_14" localSheetId="82">#REF!</definedName>
    <definedName name="_in2015_14" localSheetId="31">#REF!</definedName>
    <definedName name="_in2015_14" localSheetId="44">#REF!</definedName>
    <definedName name="_in2015_14" localSheetId="26">#REF!</definedName>
    <definedName name="_in2015_14" localSheetId="27">#REF!</definedName>
    <definedName name="_in2015_14" localSheetId="43">#REF!</definedName>
    <definedName name="_in2015_14" localSheetId="73">#REF!</definedName>
    <definedName name="_in2015_14" localSheetId="62">#REF!</definedName>
    <definedName name="_in2015_14" localSheetId="64">#REF!</definedName>
    <definedName name="_in2015_14" localSheetId="58">#REF!</definedName>
    <definedName name="_in2015_14" localSheetId="49">#REF!</definedName>
    <definedName name="_in2015_14" localSheetId="50">#REF!</definedName>
    <definedName name="_in2015_14" localSheetId="22">#REF!</definedName>
    <definedName name="_in2015_14" localSheetId="54">#REF!</definedName>
    <definedName name="_in2015_14" localSheetId="52">#REF!</definedName>
    <definedName name="_in2015_14" localSheetId="53">#REF!</definedName>
    <definedName name="_in2015_14" localSheetId="5">#REF!</definedName>
    <definedName name="_in2015_14" localSheetId="6">#REF!</definedName>
    <definedName name="_in2015_14" localSheetId="7">#REF!</definedName>
    <definedName name="_in2015_14" localSheetId="23">#REF!</definedName>
    <definedName name="_in2015_14" localSheetId="24">#REF!</definedName>
    <definedName name="_in2015_14" localSheetId="33">#REF!</definedName>
    <definedName name="_in2015_14" localSheetId="47">#REF!</definedName>
    <definedName name="_in2015_14" localSheetId="48">#REF!</definedName>
    <definedName name="_in2015_14">#REF!</definedName>
    <definedName name="_inf2007" localSheetId="55">#REF!</definedName>
    <definedName name="_inf2007" localSheetId="56">#REF!</definedName>
    <definedName name="_inf2007" localSheetId="57">#REF!</definedName>
    <definedName name="_inf2007" localSheetId="81">#REF!</definedName>
    <definedName name="_inf2007" localSheetId="82">#REF!</definedName>
    <definedName name="_inf2007" localSheetId="31">#REF!</definedName>
    <definedName name="_inf2007" localSheetId="44">#REF!</definedName>
    <definedName name="_inf2007" localSheetId="26">#REF!</definedName>
    <definedName name="_inf2007" localSheetId="27">#REF!</definedName>
    <definedName name="_inf2007" localSheetId="43">#REF!</definedName>
    <definedName name="_inf2007" localSheetId="73">#REF!</definedName>
    <definedName name="_inf2007" localSheetId="62">#REF!</definedName>
    <definedName name="_inf2007" localSheetId="64">#REF!</definedName>
    <definedName name="_inf2007" localSheetId="58">#REF!</definedName>
    <definedName name="_inf2007" localSheetId="49">#REF!</definedName>
    <definedName name="_inf2007" localSheetId="50">#REF!</definedName>
    <definedName name="_inf2007" localSheetId="22">#REF!</definedName>
    <definedName name="_inf2007" localSheetId="54">#REF!</definedName>
    <definedName name="_inf2007" localSheetId="52">#REF!</definedName>
    <definedName name="_inf2007" localSheetId="53">#REF!</definedName>
    <definedName name="_inf2007" localSheetId="5">#REF!</definedName>
    <definedName name="_inf2007" localSheetId="6">#REF!</definedName>
    <definedName name="_inf2007" localSheetId="7">#REF!</definedName>
    <definedName name="_inf2007" localSheetId="23">#REF!</definedName>
    <definedName name="_inf2007" localSheetId="24">#REF!</definedName>
    <definedName name="_inf2007" localSheetId="33">#REF!</definedName>
    <definedName name="_inf2007" localSheetId="47">#REF!</definedName>
    <definedName name="_inf2007" localSheetId="48">#REF!</definedName>
    <definedName name="_inf2007">#REF!</definedName>
    <definedName name="_inf2007_14" localSheetId="55">#REF!</definedName>
    <definedName name="_inf2007_14" localSheetId="56">#REF!</definedName>
    <definedName name="_inf2007_14" localSheetId="57">#REF!</definedName>
    <definedName name="_inf2007_14" localSheetId="81">#REF!</definedName>
    <definedName name="_inf2007_14" localSheetId="82">#REF!</definedName>
    <definedName name="_inf2007_14" localSheetId="31">#REF!</definedName>
    <definedName name="_inf2007_14" localSheetId="44">#REF!</definedName>
    <definedName name="_inf2007_14" localSheetId="26">#REF!</definedName>
    <definedName name="_inf2007_14" localSheetId="27">#REF!</definedName>
    <definedName name="_inf2007_14" localSheetId="43">#REF!</definedName>
    <definedName name="_inf2007_14" localSheetId="73">#REF!</definedName>
    <definedName name="_inf2007_14" localSheetId="62">#REF!</definedName>
    <definedName name="_inf2007_14" localSheetId="64">#REF!</definedName>
    <definedName name="_inf2007_14" localSheetId="58">#REF!</definedName>
    <definedName name="_inf2007_14" localSheetId="49">#REF!</definedName>
    <definedName name="_inf2007_14" localSheetId="50">#REF!</definedName>
    <definedName name="_inf2007_14" localSheetId="22">#REF!</definedName>
    <definedName name="_inf2007_14" localSheetId="54">#REF!</definedName>
    <definedName name="_inf2007_14" localSheetId="52">#REF!</definedName>
    <definedName name="_inf2007_14" localSheetId="53">#REF!</definedName>
    <definedName name="_inf2007_14" localSheetId="5">#REF!</definedName>
    <definedName name="_inf2007_14" localSheetId="6">#REF!</definedName>
    <definedName name="_inf2007_14" localSheetId="7">#REF!</definedName>
    <definedName name="_inf2007_14" localSheetId="23">#REF!</definedName>
    <definedName name="_inf2007_14" localSheetId="24">#REF!</definedName>
    <definedName name="_inf2007_14" localSheetId="33">#REF!</definedName>
    <definedName name="_inf2007_14" localSheetId="47">#REF!</definedName>
    <definedName name="_inf2007_14" localSheetId="48">#REF!</definedName>
    <definedName name="_inf2007_14">#REF!</definedName>
    <definedName name="_inf2008" localSheetId="55">#REF!</definedName>
    <definedName name="_inf2008" localSheetId="56">#REF!</definedName>
    <definedName name="_inf2008" localSheetId="57">#REF!</definedName>
    <definedName name="_inf2008" localSheetId="81">#REF!</definedName>
    <definedName name="_inf2008" localSheetId="82">#REF!</definedName>
    <definedName name="_inf2008" localSheetId="31">#REF!</definedName>
    <definedName name="_inf2008" localSheetId="44">#REF!</definedName>
    <definedName name="_inf2008" localSheetId="26">#REF!</definedName>
    <definedName name="_inf2008" localSheetId="27">#REF!</definedName>
    <definedName name="_inf2008" localSheetId="43">#REF!</definedName>
    <definedName name="_inf2008" localSheetId="73">#REF!</definedName>
    <definedName name="_inf2008" localSheetId="62">#REF!</definedName>
    <definedName name="_inf2008" localSheetId="64">#REF!</definedName>
    <definedName name="_inf2008" localSheetId="58">#REF!</definedName>
    <definedName name="_inf2008" localSheetId="49">#REF!</definedName>
    <definedName name="_inf2008" localSheetId="50">#REF!</definedName>
    <definedName name="_inf2008" localSheetId="22">#REF!</definedName>
    <definedName name="_inf2008" localSheetId="54">#REF!</definedName>
    <definedName name="_inf2008" localSheetId="52">#REF!</definedName>
    <definedName name="_inf2008" localSheetId="53">#REF!</definedName>
    <definedName name="_inf2008" localSheetId="5">#REF!</definedName>
    <definedName name="_inf2008" localSheetId="6">#REF!</definedName>
    <definedName name="_inf2008" localSheetId="7">#REF!</definedName>
    <definedName name="_inf2008" localSheetId="23">#REF!</definedName>
    <definedName name="_inf2008" localSheetId="24">#REF!</definedName>
    <definedName name="_inf2008" localSheetId="33">#REF!</definedName>
    <definedName name="_inf2008" localSheetId="47">#REF!</definedName>
    <definedName name="_inf2008" localSheetId="48">#REF!</definedName>
    <definedName name="_inf2008">#REF!</definedName>
    <definedName name="_inf2008_14" localSheetId="55">#REF!</definedName>
    <definedName name="_inf2008_14" localSheetId="56">#REF!</definedName>
    <definedName name="_inf2008_14" localSheetId="57">#REF!</definedName>
    <definedName name="_inf2008_14" localSheetId="81">#REF!</definedName>
    <definedName name="_inf2008_14" localSheetId="82">#REF!</definedName>
    <definedName name="_inf2008_14" localSheetId="31">#REF!</definedName>
    <definedName name="_inf2008_14" localSheetId="44">#REF!</definedName>
    <definedName name="_inf2008_14" localSheetId="26">#REF!</definedName>
    <definedName name="_inf2008_14" localSheetId="27">#REF!</definedName>
    <definedName name="_inf2008_14" localSheetId="43">#REF!</definedName>
    <definedName name="_inf2008_14" localSheetId="73">#REF!</definedName>
    <definedName name="_inf2008_14" localSheetId="62">#REF!</definedName>
    <definedName name="_inf2008_14" localSheetId="64">#REF!</definedName>
    <definedName name="_inf2008_14" localSheetId="58">#REF!</definedName>
    <definedName name="_inf2008_14" localSheetId="49">#REF!</definedName>
    <definedName name="_inf2008_14" localSheetId="50">#REF!</definedName>
    <definedName name="_inf2008_14" localSheetId="22">#REF!</definedName>
    <definedName name="_inf2008_14" localSheetId="54">#REF!</definedName>
    <definedName name="_inf2008_14" localSheetId="52">#REF!</definedName>
    <definedName name="_inf2008_14" localSheetId="53">#REF!</definedName>
    <definedName name="_inf2008_14" localSheetId="5">#REF!</definedName>
    <definedName name="_inf2008_14" localSheetId="6">#REF!</definedName>
    <definedName name="_inf2008_14" localSheetId="7">#REF!</definedName>
    <definedName name="_inf2008_14" localSheetId="23">#REF!</definedName>
    <definedName name="_inf2008_14" localSheetId="24">#REF!</definedName>
    <definedName name="_inf2008_14" localSheetId="33">#REF!</definedName>
    <definedName name="_inf2008_14" localSheetId="47">#REF!</definedName>
    <definedName name="_inf2008_14" localSheetId="48">#REF!</definedName>
    <definedName name="_inf2008_14">#REF!</definedName>
    <definedName name="_inf2009" localSheetId="55">#REF!</definedName>
    <definedName name="_inf2009" localSheetId="56">#REF!</definedName>
    <definedName name="_inf2009" localSheetId="57">#REF!</definedName>
    <definedName name="_inf2009" localSheetId="81">#REF!</definedName>
    <definedName name="_inf2009" localSheetId="82">#REF!</definedName>
    <definedName name="_inf2009" localSheetId="31">#REF!</definedName>
    <definedName name="_inf2009" localSheetId="44">#REF!</definedName>
    <definedName name="_inf2009" localSheetId="26">#REF!</definedName>
    <definedName name="_inf2009" localSheetId="27">#REF!</definedName>
    <definedName name="_inf2009" localSheetId="43">#REF!</definedName>
    <definedName name="_inf2009" localSheetId="73">#REF!</definedName>
    <definedName name="_inf2009" localSheetId="62">#REF!</definedName>
    <definedName name="_inf2009" localSheetId="64">#REF!</definedName>
    <definedName name="_inf2009" localSheetId="58">#REF!</definedName>
    <definedName name="_inf2009" localSheetId="49">#REF!</definedName>
    <definedName name="_inf2009" localSheetId="50">#REF!</definedName>
    <definedName name="_inf2009" localSheetId="22">#REF!</definedName>
    <definedName name="_inf2009" localSheetId="54">#REF!</definedName>
    <definedName name="_inf2009" localSheetId="52">#REF!</definedName>
    <definedName name="_inf2009" localSheetId="53">#REF!</definedName>
    <definedName name="_inf2009" localSheetId="5">#REF!</definedName>
    <definedName name="_inf2009" localSheetId="6">#REF!</definedName>
    <definedName name="_inf2009" localSheetId="7">#REF!</definedName>
    <definedName name="_inf2009" localSheetId="23">#REF!</definedName>
    <definedName name="_inf2009" localSheetId="24">#REF!</definedName>
    <definedName name="_inf2009" localSheetId="33">#REF!</definedName>
    <definedName name="_inf2009" localSheetId="47">#REF!</definedName>
    <definedName name="_inf2009" localSheetId="48">#REF!</definedName>
    <definedName name="_inf2009">#REF!</definedName>
    <definedName name="_inf2009_14" localSheetId="55">#REF!</definedName>
    <definedName name="_inf2009_14" localSheetId="56">#REF!</definedName>
    <definedName name="_inf2009_14" localSheetId="57">#REF!</definedName>
    <definedName name="_inf2009_14" localSheetId="81">#REF!</definedName>
    <definedName name="_inf2009_14" localSheetId="82">#REF!</definedName>
    <definedName name="_inf2009_14" localSheetId="31">#REF!</definedName>
    <definedName name="_inf2009_14" localSheetId="44">#REF!</definedName>
    <definedName name="_inf2009_14" localSheetId="26">#REF!</definedName>
    <definedName name="_inf2009_14" localSheetId="27">#REF!</definedName>
    <definedName name="_inf2009_14" localSheetId="43">#REF!</definedName>
    <definedName name="_inf2009_14" localSheetId="73">#REF!</definedName>
    <definedName name="_inf2009_14" localSheetId="62">#REF!</definedName>
    <definedName name="_inf2009_14" localSheetId="64">#REF!</definedName>
    <definedName name="_inf2009_14" localSheetId="58">#REF!</definedName>
    <definedName name="_inf2009_14" localSheetId="49">#REF!</definedName>
    <definedName name="_inf2009_14" localSheetId="50">#REF!</definedName>
    <definedName name="_inf2009_14" localSheetId="22">#REF!</definedName>
    <definedName name="_inf2009_14" localSheetId="54">#REF!</definedName>
    <definedName name="_inf2009_14" localSheetId="52">#REF!</definedName>
    <definedName name="_inf2009_14" localSheetId="53">#REF!</definedName>
    <definedName name="_inf2009_14" localSheetId="5">#REF!</definedName>
    <definedName name="_inf2009_14" localSheetId="6">#REF!</definedName>
    <definedName name="_inf2009_14" localSheetId="7">#REF!</definedName>
    <definedName name="_inf2009_14" localSheetId="23">#REF!</definedName>
    <definedName name="_inf2009_14" localSheetId="24">#REF!</definedName>
    <definedName name="_inf2009_14" localSheetId="33">#REF!</definedName>
    <definedName name="_inf2009_14" localSheetId="47">#REF!</definedName>
    <definedName name="_inf2009_14" localSheetId="48">#REF!</definedName>
    <definedName name="_inf2009_14">#REF!</definedName>
    <definedName name="_inf2010" localSheetId="55">#REF!</definedName>
    <definedName name="_inf2010" localSheetId="56">#REF!</definedName>
    <definedName name="_inf2010" localSheetId="57">#REF!</definedName>
    <definedName name="_inf2010" localSheetId="81">#REF!</definedName>
    <definedName name="_inf2010" localSheetId="82">#REF!</definedName>
    <definedName name="_inf2010" localSheetId="31">#REF!</definedName>
    <definedName name="_inf2010" localSheetId="44">#REF!</definedName>
    <definedName name="_inf2010" localSheetId="26">#REF!</definedName>
    <definedName name="_inf2010" localSheetId="27">#REF!</definedName>
    <definedName name="_inf2010" localSheetId="43">#REF!</definedName>
    <definedName name="_inf2010" localSheetId="73">#REF!</definedName>
    <definedName name="_inf2010" localSheetId="62">#REF!</definedName>
    <definedName name="_inf2010" localSheetId="64">#REF!</definedName>
    <definedName name="_inf2010" localSheetId="58">#REF!</definedName>
    <definedName name="_inf2010" localSheetId="49">#REF!</definedName>
    <definedName name="_inf2010" localSheetId="50">#REF!</definedName>
    <definedName name="_inf2010" localSheetId="22">#REF!</definedName>
    <definedName name="_inf2010" localSheetId="54">#REF!</definedName>
    <definedName name="_inf2010" localSheetId="52">#REF!</definedName>
    <definedName name="_inf2010" localSheetId="53">#REF!</definedName>
    <definedName name="_inf2010" localSheetId="5">#REF!</definedName>
    <definedName name="_inf2010" localSheetId="6">#REF!</definedName>
    <definedName name="_inf2010" localSheetId="7">#REF!</definedName>
    <definedName name="_inf2010" localSheetId="23">#REF!</definedName>
    <definedName name="_inf2010" localSheetId="24">#REF!</definedName>
    <definedName name="_inf2010" localSheetId="33">#REF!</definedName>
    <definedName name="_inf2010" localSheetId="47">#REF!</definedName>
    <definedName name="_inf2010" localSheetId="48">#REF!</definedName>
    <definedName name="_inf2010">#REF!</definedName>
    <definedName name="_inf2010_14" localSheetId="55">#REF!</definedName>
    <definedName name="_inf2010_14" localSheetId="56">#REF!</definedName>
    <definedName name="_inf2010_14" localSheetId="57">#REF!</definedName>
    <definedName name="_inf2010_14" localSheetId="81">#REF!</definedName>
    <definedName name="_inf2010_14" localSheetId="82">#REF!</definedName>
    <definedName name="_inf2010_14" localSheetId="31">#REF!</definedName>
    <definedName name="_inf2010_14" localSheetId="44">#REF!</definedName>
    <definedName name="_inf2010_14" localSheetId="26">#REF!</definedName>
    <definedName name="_inf2010_14" localSheetId="27">#REF!</definedName>
    <definedName name="_inf2010_14" localSheetId="43">#REF!</definedName>
    <definedName name="_inf2010_14" localSheetId="73">#REF!</definedName>
    <definedName name="_inf2010_14" localSheetId="62">#REF!</definedName>
    <definedName name="_inf2010_14" localSheetId="64">#REF!</definedName>
    <definedName name="_inf2010_14" localSheetId="58">#REF!</definedName>
    <definedName name="_inf2010_14" localSheetId="49">#REF!</definedName>
    <definedName name="_inf2010_14" localSheetId="50">#REF!</definedName>
    <definedName name="_inf2010_14" localSheetId="22">#REF!</definedName>
    <definedName name="_inf2010_14" localSheetId="54">#REF!</definedName>
    <definedName name="_inf2010_14" localSheetId="52">#REF!</definedName>
    <definedName name="_inf2010_14" localSheetId="53">#REF!</definedName>
    <definedName name="_inf2010_14" localSheetId="5">#REF!</definedName>
    <definedName name="_inf2010_14" localSheetId="6">#REF!</definedName>
    <definedName name="_inf2010_14" localSheetId="7">#REF!</definedName>
    <definedName name="_inf2010_14" localSheetId="23">#REF!</definedName>
    <definedName name="_inf2010_14" localSheetId="24">#REF!</definedName>
    <definedName name="_inf2010_14" localSheetId="33">#REF!</definedName>
    <definedName name="_inf2010_14" localSheetId="47">#REF!</definedName>
    <definedName name="_inf2010_14" localSheetId="48">#REF!</definedName>
    <definedName name="_inf2010_14">#REF!</definedName>
    <definedName name="_inf2011" localSheetId="55">#REF!</definedName>
    <definedName name="_inf2011" localSheetId="56">#REF!</definedName>
    <definedName name="_inf2011" localSheetId="57">#REF!</definedName>
    <definedName name="_inf2011" localSheetId="81">#REF!</definedName>
    <definedName name="_inf2011" localSheetId="82">#REF!</definedName>
    <definedName name="_inf2011" localSheetId="31">#REF!</definedName>
    <definedName name="_inf2011" localSheetId="44">#REF!</definedName>
    <definedName name="_inf2011" localSheetId="26">#REF!</definedName>
    <definedName name="_inf2011" localSheetId="27">#REF!</definedName>
    <definedName name="_inf2011" localSheetId="43">#REF!</definedName>
    <definedName name="_inf2011" localSheetId="73">#REF!</definedName>
    <definedName name="_inf2011" localSheetId="62">#REF!</definedName>
    <definedName name="_inf2011" localSheetId="64">#REF!</definedName>
    <definedName name="_inf2011" localSheetId="58">#REF!</definedName>
    <definedName name="_inf2011" localSheetId="49">#REF!</definedName>
    <definedName name="_inf2011" localSheetId="50">#REF!</definedName>
    <definedName name="_inf2011" localSheetId="22">#REF!</definedName>
    <definedName name="_inf2011" localSheetId="54">#REF!</definedName>
    <definedName name="_inf2011" localSheetId="52">#REF!</definedName>
    <definedName name="_inf2011" localSheetId="53">#REF!</definedName>
    <definedName name="_inf2011" localSheetId="5">#REF!</definedName>
    <definedName name="_inf2011" localSheetId="6">#REF!</definedName>
    <definedName name="_inf2011" localSheetId="7">#REF!</definedName>
    <definedName name="_inf2011" localSheetId="23">#REF!</definedName>
    <definedName name="_inf2011" localSheetId="24">#REF!</definedName>
    <definedName name="_inf2011" localSheetId="33">#REF!</definedName>
    <definedName name="_inf2011" localSheetId="47">#REF!</definedName>
    <definedName name="_inf2011" localSheetId="48">#REF!</definedName>
    <definedName name="_inf2011">#REF!</definedName>
    <definedName name="_inf2011_14" localSheetId="55">#REF!</definedName>
    <definedName name="_inf2011_14" localSheetId="56">#REF!</definedName>
    <definedName name="_inf2011_14" localSheetId="57">#REF!</definedName>
    <definedName name="_inf2011_14" localSheetId="81">#REF!</definedName>
    <definedName name="_inf2011_14" localSheetId="82">#REF!</definedName>
    <definedName name="_inf2011_14" localSheetId="31">#REF!</definedName>
    <definedName name="_inf2011_14" localSheetId="44">#REF!</definedName>
    <definedName name="_inf2011_14" localSheetId="26">#REF!</definedName>
    <definedName name="_inf2011_14" localSheetId="27">#REF!</definedName>
    <definedName name="_inf2011_14" localSheetId="43">#REF!</definedName>
    <definedName name="_inf2011_14" localSheetId="73">#REF!</definedName>
    <definedName name="_inf2011_14" localSheetId="62">#REF!</definedName>
    <definedName name="_inf2011_14" localSheetId="64">#REF!</definedName>
    <definedName name="_inf2011_14" localSheetId="58">#REF!</definedName>
    <definedName name="_inf2011_14" localSheetId="49">#REF!</definedName>
    <definedName name="_inf2011_14" localSheetId="50">#REF!</definedName>
    <definedName name="_inf2011_14" localSheetId="22">#REF!</definedName>
    <definedName name="_inf2011_14" localSheetId="54">#REF!</definedName>
    <definedName name="_inf2011_14" localSheetId="52">#REF!</definedName>
    <definedName name="_inf2011_14" localSheetId="53">#REF!</definedName>
    <definedName name="_inf2011_14" localSheetId="5">#REF!</definedName>
    <definedName name="_inf2011_14" localSheetId="6">#REF!</definedName>
    <definedName name="_inf2011_14" localSheetId="7">#REF!</definedName>
    <definedName name="_inf2011_14" localSheetId="23">#REF!</definedName>
    <definedName name="_inf2011_14" localSheetId="24">#REF!</definedName>
    <definedName name="_inf2011_14" localSheetId="33">#REF!</definedName>
    <definedName name="_inf2011_14" localSheetId="47">#REF!</definedName>
    <definedName name="_inf2011_14" localSheetId="48">#REF!</definedName>
    <definedName name="_inf2011_14">#REF!</definedName>
    <definedName name="_inf2012" localSheetId="55">#REF!</definedName>
    <definedName name="_inf2012" localSheetId="56">#REF!</definedName>
    <definedName name="_inf2012" localSheetId="57">#REF!</definedName>
    <definedName name="_inf2012" localSheetId="81">#REF!</definedName>
    <definedName name="_inf2012" localSheetId="82">#REF!</definedName>
    <definedName name="_inf2012" localSheetId="31">#REF!</definedName>
    <definedName name="_inf2012" localSheetId="44">#REF!</definedName>
    <definedName name="_inf2012" localSheetId="26">#REF!</definedName>
    <definedName name="_inf2012" localSheetId="27">#REF!</definedName>
    <definedName name="_inf2012" localSheetId="43">#REF!</definedName>
    <definedName name="_inf2012" localSheetId="73">#REF!</definedName>
    <definedName name="_inf2012" localSheetId="62">#REF!</definedName>
    <definedName name="_inf2012" localSheetId="64">#REF!</definedName>
    <definedName name="_inf2012" localSheetId="58">#REF!</definedName>
    <definedName name="_inf2012" localSheetId="49">#REF!</definedName>
    <definedName name="_inf2012" localSheetId="50">#REF!</definedName>
    <definedName name="_inf2012" localSheetId="22">#REF!</definedName>
    <definedName name="_inf2012" localSheetId="54">#REF!</definedName>
    <definedName name="_inf2012" localSheetId="52">#REF!</definedName>
    <definedName name="_inf2012" localSheetId="53">#REF!</definedName>
    <definedName name="_inf2012" localSheetId="5">#REF!</definedName>
    <definedName name="_inf2012" localSheetId="6">#REF!</definedName>
    <definedName name="_inf2012" localSheetId="7">#REF!</definedName>
    <definedName name="_inf2012" localSheetId="23">#REF!</definedName>
    <definedName name="_inf2012" localSheetId="24">#REF!</definedName>
    <definedName name="_inf2012" localSheetId="33">#REF!</definedName>
    <definedName name="_inf2012" localSheetId="47">#REF!</definedName>
    <definedName name="_inf2012" localSheetId="48">#REF!</definedName>
    <definedName name="_inf2012">#REF!</definedName>
    <definedName name="_inf2012_14" localSheetId="55">#REF!</definedName>
    <definedName name="_inf2012_14" localSheetId="56">#REF!</definedName>
    <definedName name="_inf2012_14" localSheetId="57">#REF!</definedName>
    <definedName name="_inf2012_14" localSheetId="81">#REF!</definedName>
    <definedName name="_inf2012_14" localSheetId="82">#REF!</definedName>
    <definedName name="_inf2012_14" localSheetId="31">#REF!</definedName>
    <definedName name="_inf2012_14" localSheetId="44">#REF!</definedName>
    <definedName name="_inf2012_14" localSheetId="26">#REF!</definedName>
    <definedName name="_inf2012_14" localSheetId="27">#REF!</definedName>
    <definedName name="_inf2012_14" localSheetId="43">#REF!</definedName>
    <definedName name="_inf2012_14" localSheetId="73">#REF!</definedName>
    <definedName name="_inf2012_14" localSheetId="62">#REF!</definedName>
    <definedName name="_inf2012_14" localSheetId="64">#REF!</definedName>
    <definedName name="_inf2012_14" localSheetId="58">#REF!</definedName>
    <definedName name="_inf2012_14" localSheetId="49">#REF!</definedName>
    <definedName name="_inf2012_14" localSheetId="50">#REF!</definedName>
    <definedName name="_inf2012_14" localSheetId="22">#REF!</definedName>
    <definedName name="_inf2012_14" localSheetId="54">#REF!</definedName>
    <definedName name="_inf2012_14" localSheetId="52">#REF!</definedName>
    <definedName name="_inf2012_14" localSheetId="53">#REF!</definedName>
    <definedName name="_inf2012_14" localSheetId="5">#REF!</definedName>
    <definedName name="_inf2012_14" localSheetId="6">#REF!</definedName>
    <definedName name="_inf2012_14" localSheetId="7">#REF!</definedName>
    <definedName name="_inf2012_14" localSheetId="23">#REF!</definedName>
    <definedName name="_inf2012_14" localSheetId="24">#REF!</definedName>
    <definedName name="_inf2012_14" localSheetId="33">#REF!</definedName>
    <definedName name="_inf2012_14" localSheetId="47">#REF!</definedName>
    <definedName name="_inf2012_14" localSheetId="48">#REF!</definedName>
    <definedName name="_inf2012_14">#REF!</definedName>
    <definedName name="_inf2013" localSheetId="55">#REF!</definedName>
    <definedName name="_inf2013" localSheetId="56">#REF!</definedName>
    <definedName name="_inf2013" localSheetId="57">#REF!</definedName>
    <definedName name="_inf2013" localSheetId="81">#REF!</definedName>
    <definedName name="_inf2013" localSheetId="82">#REF!</definedName>
    <definedName name="_inf2013" localSheetId="31">#REF!</definedName>
    <definedName name="_inf2013" localSheetId="44">#REF!</definedName>
    <definedName name="_inf2013" localSheetId="26">#REF!</definedName>
    <definedName name="_inf2013" localSheetId="27">#REF!</definedName>
    <definedName name="_inf2013" localSheetId="43">#REF!</definedName>
    <definedName name="_inf2013" localSheetId="73">#REF!</definedName>
    <definedName name="_inf2013" localSheetId="62">#REF!</definedName>
    <definedName name="_inf2013" localSheetId="64">#REF!</definedName>
    <definedName name="_inf2013" localSheetId="58">#REF!</definedName>
    <definedName name="_inf2013" localSheetId="49">#REF!</definedName>
    <definedName name="_inf2013" localSheetId="50">#REF!</definedName>
    <definedName name="_inf2013" localSheetId="22">#REF!</definedName>
    <definedName name="_inf2013" localSheetId="54">#REF!</definedName>
    <definedName name="_inf2013" localSheetId="52">#REF!</definedName>
    <definedName name="_inf2013" localSheetId="53">#REF!</definedName>
    <definedName name="_inf2013" localSheetId="5">#REF!</definedName>
    <definedName name="_inf2013" localSheetId="6">#REF!</definedName>
    <definedName name="_inf2013" localSheetId="7">#REF!</definedName>
    <definedName name="_inf2013" localSheetId="23">#REF!</definedName>
    <definedName name="_inf2013" localSheetId="24">#REF!</definedName>
    <definedName name="_inf2013" localSheetId="33">#REF!</definedName>
    <definedName name="_inf2013" localSheetId="47">#REF!</definedName>
    <definedName name="_inf2013" localSheetId="48">#REF!</definedName>
    <definedName name="_inf2013">#REF!</definedName>
    <definedName name="_inf2013_14" localSheetId="55">#REF!</definedName>
    <definedName name="_inf2013_14" localSheetId="56">#REF!</definedName>
    <definedName name="_inf2013_14" localSheetId="57">#REF!</definedName>
    <definedName name="_inf2013_14" localSheetId="81">#REF!</definedName>
    <definedName name="_inf2013_14" localSheetId="82">#REF!</definedName>
    <definedName name="_inf2013_14" localSheetId="31">#REF!</definedName>
    <definedName name="_inf2013_14" localSheetId="44">#REF!</definedName>
    <definedName name="_inf2013_14" localSheetId="26">#REF!</definedName>
    <definedName name="_inf2013_14" localSheetId="27">#REF!</definedName>
    <definedName name="_inf2013_14" localSheetId="43">#REF!</definedName>
    <definedName name="_inf2013_14" localSheetId="73">#REF!</definedName>
    <definedName name="_inf2013_14" localSheetId="62">#REF!</definedName>
    <definedName name="_inf2013_14" localSheetId="64">#REF!</definedName>
    <definedName name="_inf2013_14" localSheetId="58">#REF!</definedName>
    <definedName name="_inf2013_14" localSheetId="49">#REF!</definedName>
    <definedName name="_inf2013_14" localSheetId="50">#REF!</definedName>
    <definedName name="_inf2013_14" localSheetId="22">#REF!</definedName>
    <definedName name="_inf2013_14" localSheetId="54">#REF!</definedName>
    <definedName name="_inf2013_14" localSheetId="52">#REF!</definedName>
    <definedName name="_inf2013_14" localSheetId="53">#REF!</definedName>
    <definedName name="_inf2013_14" localSheetId="5">#REF!</definedName>
    <definedName name="_inf2013_14" localSheetId="6">#REF!</definedName>
    <definedName name="_inf2013_14" localSheetId="7">#REF!</definedName>
    <definedName name="_inf2013_14" localSheetId="23">#REF!</definedName>
    <definedName name="_inf2013_14" localSheetId="24">#REF!</definedName>
    <definedName name="_inf2013_14" localSheetId="33">#REF!</definedName>
    <definedName name="_inf2013_14" localSheetId="47">#REF!</definedName>
    <definedName name="_inf2013_14" localSheetId="48">#REF!</definedName>
    <definedName name="_inf2013_14">#REF!</definedName>
    <definedName name="_inf20131" localSheetId="55">#REF!</definedName>
    <definedName name="_inf20131" localSheetId="56">#REF!</definedName>
    <definedName name="_inf20131" localSheetId="57">#REF!</definedName>
    <definedName name="_inf20131" localSheetId="81">#REF!</definedName>
    <definedName name="_inf20131" localSheetId="82">#REF!</definedName>
    <definedName name="_inf20131" localSheetId="31">#REF!</definedName>
    <definedName name="_inf20131" localSheetId="44">#REF!</definedName>
    <definedName name="_inf20131" localSheetId="26">#REF!</definedName>
    <definedName name="_inf20131" localSheetId="27">#REF!</definedName>
    <definedName name="_inf20131" localSheetId="43">#REF!</definedName>
    <definedName name="_inf20131" localSheetId="73">#REF!</definedName>
    <definedName name="_inf20131" localSheetId="62">#REF!</definedName>
    <definedName name="_inf20131" localSheetId="64">#REF!</definedName>
    <definedName name="_inf20131" localSheetId="58">#REF!</definedName>
    <definedName name="_inf20131" localSheetId="49">#REF!</definedName>
    <definedName name="_inf20131" localSheetId="50">#REF!</definedName>
    <definedName name="_inf20131" localSheetId="22">#REF!</definedName>
    <definedName name="_inf20131" localSheetId="54">#REF!</definedName>
    <definedName name="_inf20131" localSheetId="52">#REF!</definedName>
    <definedName name="_inf20131" localSheetId="53">#REF!</definedName>
    <definedName name="_inf20131" localSheetId="5">#REF!</definedName>
    <definedName name="_inf20131" localSheetId="6">#REF!</definedName>
    <definedName name="_inf20131" localSheetId="7">#REF!</definedName>
    <definedName name="_inf20131" localSheetId="23">#REF!</definedName>
    <definedName name="_inf20131" localSheetId="24">#REF!</definedName>
    <definedName name="_inf20131" localSheetId="33">#REF!</definedName>
    <definedName name="_inf20131" localSheetId="47">#REF!</definedName>
    <definedName name="_inf20131" localSheetId="48">#REF!</definedName>
    <definedName name="_inf20131">#REF!</definedName>
    <definedName name="_inf2014" localSheetId="55">#REF!</definedName>
    <definedName name="_inf2014" localSheetId="56">#REF!</definedName>
    <definedName name="_inf2014" localSheetId="57">#REF!</definedName>
    <definedName name="_inf2014" localSheetId="81">#REF!</definedName>
    <definedName name="_inf2014" localSheetId="82">#REF!</definedName>
    <definedName name="_inf2014" localSheetId="31">#REF!</definedName>
    <definedName name="_inf2014" localSheetId="44">#REF!</definedName>
    <definedName name="_inf2014" localSheetId="26">#REF!</definedName>
    <definedName name="_inf2014" localSheetId="27">#REF!</definedName>
    <definedName name="_inf2014" localSheetId="43">#REF!</definedName>
    <definedName name="_inf2014" localSheetId="73">#REF!</definedName>
    <definedName name="_inf2014" localSheetId="62">#REF!</definedName>
    <definedName name="_inf2014" localSheetId="64">#REF!</definedName>
    <definedName name="_inf2014" localSheetId="58">#REF!</definedName>
    <definedName name="_inf2014" localSheetId="49">#REF!</definedName>
    <definedName name="_inf2014" localSheetId="50">#REF!</definedName>
    <definedName name="_inf2014" localSheetId="22">#REF!</definedName>
    <definedName name="_inf2014" localSheetId="54">#REF!</definedName>
    <definedName name="_inf2014" localSheetId="52">#REF!</definedName>
    <definedName name="_inf2014" localSheetId="53">#REF!</definedName>
    <definedName name="_inf2014" localSheetId="5">#REF!</definedName>
    <definedName name="_inf2014" localSheetId="6">#REF!</definedName>
    <definedName name="_inf2014" localSheetId="7">#REF!</definedName>
    <definedName name="_inf2014" localSheetId="23">#REF!</definedName>
    <definedName name="_inf2014" localSheetId="24">#REF!</definedName>
    <definedName name="_inf2014" localSheetId="33">#REF!</definedName>
    <definedName name="_inf2014" localSheetId="47">#REF!</definedName>
    <definedName name="_inf2014" localSheetId="48">#REF!</definedName>
    <definedName name="_inf2014">#REF!</definedName>
    <definedName name="_inf2014_14" localSheetId="55">#REF!</definedName>
    <definedName name="_inf2014_14" localSheetId="56">#REF!</definedName>
    <definedName name="_inf2014_14" localSheetId="57">#REF!</definedName>
    <definedName name="_inf2014_14" localSheetId="81">#REF!</definedName>
    <definedName name="_inf2014_14" localSheetId="82">#REF!</definedName>
    <definedName name="_inf2014_14" localSheetId="31">#REF!</definedName>
    <definedName name="_inf2014_14" localSheetId="44">#REF!</definedName>
    <definedName name="_inf2014_14" localSheetId="26">#REF!</definedName>
    <definedName name="_inf2014_14" localSheetId="27">#REF!</definedName>
    <definedName name="_inf2014_14" localSheetId="43">#REF!</definedName>
    <definedName name="_inf2014_14" localSheetId="73">#REF!</definedName>
    <definedName name="_inf2014_14" localSheetId="62">#REF!</definedName>
    <definedName name="_inf2014_14" localSheetId="64">#REF!</definedName>
    <definedName name="_inf2014_14" localSheetId="58">#REF!</definedName>
    <definedName name="_inf2014_14" localSheetId="49">#REF!</definedName>
    <definedName name="_inf2014_14" localSheetId="50">#REF!</definedName>
    <definedName name="_inf2014_14" localSheetId="22">#REF!</definedName>
    <definedName name="_inf2014_14" localSheetId="54">#REF!</definedName>
    <definedName name="_inf2014_14" localSheetId="52">#REF!</definedName>
    <definedName name="_inf2014_14" localSheetId="53">#REF!</definedName>
    <definedName name="_inf2014_14" localSheetId="5">#REF!</definedName>
    <definedName name="_inf2014_14" localSheetId="6">#REF!</definedName>
    <definedName name="_inf2014_14" localSheetId="7">#REF!</definedName>
    <definedName name="_inf2014_14" localSheetId="23">#REF!</definedName>
    <definedName name="_inf2014_14" localSheetId="24">#REF!</definedName>
    <definedName name="_inf2014_14" localSheetId="33">#REF!</definedName>
    <definedName name="_inf2014_14" localSheetId="47">#REF!</definedName>
    <definedName name="_inf2014_14" localSheetId="48">#REF!</definedName>
    <definedName name="_inf2014_14">#REF!</definedName>
    <definedName name="_inf2015" localSheetId="55">#REF!</definedName>
    <definedName name="_inf2015" localSheetId="56">#REF!</definedName>
    <definedName name="_inf2015" localSheetId="57">#REF!</definedName>
    <definedName name="_inf2015" localSheetId="81">#REF!</definedName>
    <definedName name="_inf2015" localSheetId="82">#REF!</definedName>
    <definedName name="_inf2015" localSheetId="31">#REF!</definedName>
    <definedName name="_inf2015" localSheetId="44">#REF!</definedName>
    <definedName name="_inf2015" localSheetId="26">#REF!</definedName>
    <definedName name="_inf2015" localSheetId="27">#REF!</definedName>
    <definedName name="_inf2015" localSheetId="43">#REF!</definedName>
    <definedName name="_inf2015" localSheetId="73">#REF!</definedName>
    <definedName name="_inf2015" localSheetId="62">#REF!</definedName>
    <definedName name="_inf2015" localSheetId="64">#REF!</definedName>
    <definedName name="_inf2015" localSheetId="58">#REF!</definedName>
    <definedName name="_inf2015" localSheetId="49">#REF!</definedName>
    <definedName name="_inf2015" localSheetId="50">#REF!</definedName>
    <definedName name="_inf2015" localSheetId="22">#REF!</definedName>
    <definedName name="_inf2015" localSheetId="54">#REF!</definedName>
    <definedName name="_inf2015" localSheetId="52">#REF!</definedName>
    <definedName name="_inf2015" localSheetId="53">#REF!</definedName>
    <definedName name="_inf2015" localSheetId="5">#REF!</definedName>
    <definedName name="_inf2015" localSheetId="6">#REF!</definedName>
    <definedName name="_inf2015" localSheetId="7">#REF!</definedName>
    <definedName name="_inf2015" localSheetId="23">#REF!</definedName>
    <definedName name="_inf2015" localSheetId="24">#REF!</definedName>
    <definedName name="_inf2015" localSheetId="33">#REF!</definedName>
    <definedName name="_inf2015" localSheetId="47">#REF!</definedName>
    <definedName name="_inf2015" localSheetId="48">#REF!</definedName>
    <definedName name="_inf2015">#REF!</definedName>
    <definedName name="_inf2015_" localSheetId="55">#REF!</definedName>
    <definedName name="_inf2015_" localSheetId="56">#REF!</definedName>
    <definedName name="_inf2015_" localSheetId="57">#REF!</definedName>
    <definedName name="_inf2015_" localSheetId="81">#REF!</definedName>
    <definedName name="_inf2015_" localSheetId="82">#REF!</definedName>
    <definedName name="_inf2015_" localSheetId="31">#REF!</definedName>
    <definedName name="_inf2015_" localSheetId="44">#REF!</definedName>
    <definedName name="_inf2015_" localSheetId="26">#REF!</definedName>
    <definedName name="_inf2015_" localSheetId="27">#REF!</definedName>
    <definedName name="_inf2015_" localSheetId="43">#REF!</definedName>
    <definedName name="_inf2015_" localSheetId="73">#REF!</definedName>
    <definedName name="_inf2015_" localSheetId="62">#REF!</definedName>
    <definedName name="_inf2015_" localSheetId="64">#REF!</definedName>
    <definedName name="_inf2015_" localSheetId="58">#REF!</definedName>
    <definedName name="_inf2015_" localSheetId="49">#REF!</definedName>
    <definedName name="_inf2015_" localSheetId="50">#REF!</definedName>
    <definedName name="_inf2015_" localSheetId="22">#REF!</definedName>
    <definedName name="_inf2015_" localSheetId="54">#REF!</definedName>
    <definedName name="_inf2015_" localSheetId="52">#REF!</definedName>
    <definedName name="_inf2015_" localSheetId="53">#REF!</definedName>
    <definedName name="_inf2015_" localSheetId="5">#REF!</definedName>
    <definedName name="_inf2015_" localSheetId="6">#REF!</definedName>
    <definedName name="_inf2015_" localSheetId="7">#REF!</definedName>
    <definedName name="_inf2015_" localSheetId="23">#REF!</definedName>
    <definedName name="_inf2015_" localSheetId="24">#REF!</definedName>
    <definedName name="_inf2015_" localSheetId="33">#REF!</definedName>
    <definedName name="_inf2015_" localSheetId="47">#REF!</definedName>
    <definedName name="_inf2015_" localSheetId="48">#REF!</definedName>
    <definedName name="_inf2015_">#REF!</definedName>
    <definedName name="_inf2015_14" localSheetId="55">#REF!</definedName>
    <definedName name="_inf2015_14" localSheetId="56">#REF!</definedName>
    <definedName name="_inf2015_14" localSheetId="57">#REF!</definedName>
    <definedName name="_inf2015_14" localSheetId="81">#REF!</definedName>
    <definedName name="_inf2015_14" localSheetId="82">#REF!</definedName>
    <definedName name="_inf2015_14" localSheetId="31">#REF!</definedName>
    <definedName name="_inf2015_14" localSheetId="44">#REF!</definedName>
    <definedName name="_inf2015_14" localSheetId="26">#REF!</definedName>
    <definedName name="_inf2015_14" localSheetId="27">#REF!</definedName>
    <definedName name="_inf2015_14" localSheetId="43">#REF!</definedName>
    <definedName name="_inf2015_14" localSheetId="73">#REF!</definedName>
    <definedName name="_inf2015_14" localSheetId="62">#REF!</definedName>
    <definedName name="_inf2015_14" localSheetId="64">#REF!</definedName>
    <definedName name="_inf2015_14" localSheetId="58">#REF!</definedName>
    <definedName name="_inf2015_14" localSheetId="49">#REF!</definedName>
    <definedName name="_inf2015_14" localSheetId="50">#REF!</definedName>
    <definedName name="_inf2015_14" localSheetId="22">#REF!</definedName>
    <definedName name="_inf2015_14" localSheetId="54">#REF!</definedName>
    <definedName name="_inf2015_14" localSheetId="52">#REF!</definedName>
    <definedName name="_inf2015_14" localSheetId="53">#REF!</definedName>
    <definedName name="_inf2015_14" localSheetId="5">#REF!</definedName>
    <definedName name="_inf2015_14" localSheetId="6">#REF!</definedName>
    <definedName name="_inf2015_14" localSheetId="7">#REF!</definedName>
    <definedName name="_inf2015_14" localSheetId="23">#REF!</definedName>
    <definedName name="_inf2015_14" localSheetId="24">#REF!</definedName>
    <definedName name="_inf2015_14" localSheetId="33">#REF!</definedName>
    <definedName name="_inf2015_14" localSheetId="47">#REF!</definedName>
    <definedName name="_inf2015_14" localSheetId="48">#REF!</definedName>
    <definedName name="_inf2015_14">#REF!</definedName>
    <definedName name="_inf2016" localSheetId="55">#REF!</definedName>
    <definedName name="_inf2016" localSheetId="56">#REF!</definedName>
    <definedName name="_inf2016" localSheetId="57">#REF!</definedName>
    <definedName name="_inf2016" localSheetId="81">#REF!</definedName>
    <definedName name="_inf2016" localSheetId="82">#REF!</definedName>
    <definedName name="_inf2016" localSheetId="31">#REF!</definedName>
    <definedName name="_inf2016" localSheetId="44">#REF!</definedName>
    <definedName name="_inf2016" localSheetId="26">#REF!</definedName>
    <definedName name="_inf2016" localSheetId="27">#REF!</definedName>
    <definedName name="_inf2016" localSheetId="43">#REF!</definedName>
    <definedName name="_inf2016" localSheetId="73">#REF!</definedName>
    <definedName name="_inf2016" localSheetId="62">#REF!</definedName>
    <definedName name="_inf2016" localSheetId="64">#REF!</definedName>
    <definedName name="_inf2016" localSheetId="58">#REF!</definedName>
    <definedName name="_inf2016" localSheetId="49">#REF!</definedName>
    <definedName name="_inf2016" localSheetId="50">#REF!</definedName>
    <definedName name="_inf2016" localSheetId="22">#REF!</definedName>
    <definedName name="_inf2016" localSheetId="54">#REF!</definedName>
    <definedName name="_inf2016" localSheetId="52">#REF!</definedName>
    <definedName name="_inf2016" localSheetId="53">#REF!</definedName>
    <definedName name="_inf2016" localSheetId="5">#REF!</definedName>
    <definedName name="_inf2016" localSheetId="6">#REF!</definedName>
    <definedName name="_inf2016" localSheetId="7">#REF!</definedName>
    <definedName name="_inf2016" localSheetId="23">#REF!</definedName>
    <definedName name="_inf2016" localSheetId="24">#REF!</definedName>
    <definedName name="_inf2016" localSheetId="33">#REF!</definedName>
    <definedName name="_inf2016" localSheetId="47">#REF!</definedName>
    <definedName name="_inf2016" localSheetId="48">#REF!</definedName>
    <definedName name="_inf2016">#REF!</definedName>
    <definedName name="_mm1" localSheetId="55">[1]ПРОГНОЗ_1!#REF!</definedName>
    <definedName name="_mm1" localSheetId="56">[1]ПРОГНОЗ_1!#REF!</definedName>
    <definedName name="_mm1" localSheetId="57">[1]ПРОГНОЗ_1!#REF!</definedName>
    <definedName name="_mm1" localSheetId="81">[1]ПРОГНОЗ_1!#REF!</definedName>
    <definedName name="_mm1" localSheetId="82">[1]ПРОГНОЗ_1!#REF!</definedName>
    <definedName name="_mm1" localSheetId="26">[1]ПРОГНОЗ_1!#REF!</definedName>
    <definedName name="_mm1" localSheetId="27">[1]ПРОГНОЗ_1!#REF!</definedName>
    <definedName name="_mm1" localSheetId="62">[1]ПРОГНОЗ_1!#REF!</definedName>
    <definedName name="_mm1" localSheetId="64">[1]ПРОГНОЗ_1!#REF!</definedName>
    <definedName name="_mm1" localSheetId="58">[1]ПРОГНОЗ_1!#REF!</definedName>
    <definedName name="_mm1" localSheetId="49">[1]ПРОГНОЗ_1!#REF!</definedName>
    <definedName name="_mm1" localSheetId="50">[1]ПРОГНОЗ_1!#REF!</definedName>
    <definedName name="_mm1" localSheetId="22">[1]ПРОГНОЗ_1!#REF!</definedName>
    <definedName name="_mm1" localSheetId="54">[1]ПРОГНОЗ_1!#REF!</definedName>
    <definedName name="_mm1" localSheetId="52">[1]ПРОГНОЗ_1!#REF!</definedName>
    <definedName name="_mm1" localSheetId="53">[1]ПРОГНОЗ_1!#REF!</definedName>
    <definedName name="_mm1" localSheetId="5">[1]ПРОГНОЗ_1!#REF!</definedName>
    <definedName name="_mm1" localSheetId="6">[1]ПРОГНОЗ_1!#REF!</definedName>
    <definedName name="_mm1" localSheetId="7">[1]ПРОГНОЗ_1!#REF!</definedName>
    <definedName name="_mm1" localSheetId="23">[1]ПРОГНОЗ_1!#REF!</definedName>
    <definedName name="_mm1" localSheetId="24">[1]ПРОГНОЗ_1!#REF!</definedName>
    <definedName name="_mm1" localSheetId="33">[1]ПРОГНОЗ_1!#REF!</definedName>
    <definedName name="_mm1" localSheetId="47">[1]ПРОГНОЗ_1!#REF!</definedName>
    <definedName name="_mm1" localSheetId="48">[1]ПРОГНОЗ_1!#REF!</definedName>
    <definedName name="_mm1">[1]ПРОГНОЗ_1!#REF!</definedName>
    <definedName name="_mm1_14" localSheetId="55">[1]ПРОГНОЗ_1!#REF!</definedName>
    <definedName name="_mm1_14" localSheetId="56">[1]ПРОГНОЗ_1!#REF!</definedName>
    <definedName name="_mm1_14" localSheetId="57">[1]ПРОГНОЗ_1!#REF!</definedName>
    <definedName name="_mm1_14" localSheetId="81">[1]ПРОГНОЗ_1!#REF!</definedName>
    <definedName name="_mm1_14" localSheetId="82">[1]ПРОГНОЗ_1!#REF!</definedName>
    <definedName name="_mm1_14" localSheetId="26">[1]ПРОГНОЗ_1!#REF!</definedName>
    <definedName name="_mm1_14" localSheetId="27">[1]ПРОГНОЗ_1!#REF!</definedName>
    <definedName name="_mm1_14" localSheetId="62">[1]ПРОГНОЗ_1!#REF!</definedName>
    <definedName name="_mm1_14" localSheetId="64">[1]ПРОГНОЗ_1!#REF!</definedName>
    <definedName name="_mm1_14" localSheetId="58">[1]ПРОГНОЗ_1!#REF!</definedName>
    <definedName name="_mm1_14" localSheetId="49">[1]ПРОГНОЗ_1!#REF!</definedName>
    <definedName name="_mm1_14" localSheetId="50">[1]ПРОГНОЗ_1!#REF!</definedName>
    <definedName name="_mm1_14" localSheetId="22">[1]ПРОГНОЗ_1!#REF!</definedName>
    <definedName name="_mm1_14" localSheetId="54">[1]ПРОГНОЗ_1!#REF!</definedName>
    <definedName name="_mm1_14" localSheetId="52">[1]ПРОГНОЗ_1!#REF!</definedName>
    <definedName name="_mm1_14" localSheetId="53">[1]ПРОГНОЗ_1!#REF!</definedName>
    <definedName name="_mm1_14" localSheetId="5">[1]ПРОГНОЗ_1!#REF!</definedName>
    <definedName name="_mm1_14" localSheetId="6">[1]ПРОГНОЗ_1!#REF!</definedName>
    <definedName name="_mm1_14" localSheetId="7">[1]ПРОГНОЗ_1!#REF!</definedName>
    <definedName name="_mm1_14" localSheetId="23">[1]ПРОГНОЗ_1!#REF!</definedName>
    <definedName name="_mm1_14" localSheetId="24">[1]ПРОГНОЗ_1!#REF!</definedName>
    <definedName name="_mm1_14" localSheetId="33">[1]ПРОГНОЗ_1!#REF!</definedName>
    <definedName name="_mm1_14" localSheetId="47">[1]ПРОГНОЗ_1!#REF!</definedName>
    <definedName name="_mm1_14" localSheetId="48">[1]ПРОГНОЗ_1!#REF!</definedName>
    <definedName name="_mm1_14">[1]ПРОГНОЗ_1!#REF!</definedName>
    <definedName name="_xlnm._FilterDatabase" localSheetId="31" hidden="1">'б-т 966 (01.01.20)'!$A$10:$XEJ$27</definedName>
    <definedName name="_xlnm._FilterDatabase" localSheetId="44" hidden="1">'б-т 981 Стим-е (01.01.20)'!$A$10:$XEJ$27</definedName>
    <definedName name="_xlnm._FilterDatabase" localSheetId="26" hidden="1">'б-т 991,992,911 (01.01.20)-2021'!$A$8:$AR$22</definedName>
    <definedName name="_xlnm._FilterDatabase" localSheetId="27" hidden="1">'б-т 991,992,911 (01.01.20)-2022'!$A$8:$AR$22</definedName>
    <definedName name="_xlnm._FilterDatabase" localSheetId="25" hidden="1">'б-т 991,992,911 (14.02.20)-2020'!$A$8:$AR$22</definedName>
    <definedName name="_xlnm._FilterDatabase" localSheetId="43" hidden="1">'б-т Стим-е 954 (01.01.20)'!$A$10:$XEJ$27</definedName>
    <definedName name="_xlnm._FilterDatabase" localSheetId="70" hidden="1">'внеб 947 (21.02.20)'!$A$11:$M$12</definedName>
    <definedName name="_xlnm._FilterDatabase" localSheetId="73" hidden="1">'внеб 963 (23.03.20)'!$A$9:$TS$10</definedName>
    <definedName name="_xlnm._FilterDatabase" localSheetId="86" hidden="1">'Высоцкий 2020'!$A$8:$AS$28</definedName>
    <definedName name="_xlnm._FilterDatabase" localSheetId="92" hidden="1">'Высоцкий 2021'!$A$8:$AS$28</definedName>
    <definedName name="_xlnm._FilterDatabase" localSheetId="98" hidden="1">'Высоцкий 2022'!$A$8:$AS$28</definedName>
    <definedName name="_xlnm._FilterDatabase" localSheetId="84" hidden="1">'ГЦК+Энергия 2020'!$A$8:$AS$57</definedName>
    <definedName name="_xlnm._FilterDatabase" localSheetId="90" hidden="1">'ГЦК+Энергия 2021'!$A$8:$AS$57</definedName>
    <definedName name="_xlnm._FilterDatabase" localSheetId="96" hidden="1">'ГЦК+Энергия 2022'!$A$8:$AS$57</definedName>
    <definedName name="_xlnm._FilterDatabase" localSheetId="51" hidden="1">'иные 212 (917) 2020'!$A$14:$HO$16</definedName>
    <definedName name="_xlnm._FilterDatabase" localSheetId="2" hidden="1">'музей 2020'!$A$8:$AP$30</definedName>
    <definedName name="_xlnm._FilterDatabase" localSheetId="87" hidden="1">'музей 2021'!$A$8:$AP$30</definedName>
    <definedName name="_xlnm._FilterDatabase" localSheetId="93" hidden="1">'музей 2022'!$A$8:$AP$30</definedName>
    <definedName name="_xlnm._FilterDatabase" localSheetId="54" hidden="1">'ОД 966 (21.02.20)'!$A$8:$AF$20</definedName>
    <definedName name="_xlnm._FilterDatabase" localSheetId="66" hidden="1">'расходы самоокупаемые (01.01.20'!$A$14:$G$28</definedName>
    <definedName name="_xlnm._FilterDatabase" localSheetId="59" hidden="1">'реформа ЖКХ 947 (01.01.20)'!$A$8:$O$9</definedName>
    <definedName name="_xlnm._FilterDatabase" localSheetId="3" hidden="1">'Родина 2020'!$A$8:$AS$8</definedName>
    <definedName name="_xlnm._FilterDatabase" localSheetId="88" hidden="1">'Родина 2021'!$A$8:$AS$8</definedName>
    <definedName name="_xlnm._FilterDatabase" localSheetId="94" hidden="1">'Родина 2022'!$A$8:$AS$8</definedName>
    <definedName name="_xlnm._FilterDatabase" localSheetId="15" hidden="1">'самоокуп платные 1220 (131)'!$A$8:$T$12</definedName>
    <definedName name="_xlnm._FilterDatabase" localSheetId="89" hidden="1">'ЦБС 2021'!$A$8:$AS$24</definedName>
    <definedName name="_xlnm._FilterDatabase" localSheetId="95" hidden="1">'ЦБС 2022'!$A$8:$AS$24</definedName>
    <definedName name="_xlnm._FilterDatabase" localSheetId="85" hidden="1">'Юбилейный 2020'!$A$8:$AS$25</definedName>
    <definedName name="_xlnm._FilterDatabase" localSheetId="91" hidden="1">'Юбилейный 2021'!$A$8:$AS$25</definedName>
    <definedName name="_xlnm._FilterDatabase" localSheetId="97" hidden="1">'Юбилейный 2022'!$A$8:$AS$25</definedName>
    <definedName name="ddd" localSheetId="55">[2]ПРОГНОЗ_1!#REF!</definedName>
    <definedName name="ddd" localSheetId="56">[2]ПРОГНОЗ_1!#REF!</definedName>
    <definedName name="ddd" localSheetId="57">[2]ПРОГНОЗ_1!#REF!</definedName>
    <definedName name="ddd" localSheetId="81">[2]ПРОГНОЗ_1!#REF!</definedName>
    <definedName name="ddd" localSheetId="82">[2]ПРОГНОЗ_1!#REF!</definedName>
    <definedName name="ddd" localSheetId="31">[2]ПРОГНОЗ_1!#REF!</definedName>
    <definedName name="ddd" localSheetId="44">[2]ПРОГНОЗ_1!#REF!</definedName>
    <definedName name="ddd" localSheetId="26">[2]ПРОГНОЗ_1!#REF!</definedName>
    <definedName name="ddd" localSheetId="27">[2]ПРОГНОЗ_1!#REF!</definedName>
    <definedName name="ddd" localSheetId="43">[2]ПРОГНОЗ_1!#REF!</definedName>
    <definedName name="ddd" localSheetId="73">[2]ПРОГНОЗ_1!#REF!</definedName>
    <definedName name="ddd" localSheetId="62">[2]ПРОГНОЗ_1!#REF!</definedName>
    <definedName name="ddd" localSheetId="64">[2]ПРОГНОЗ_1!#REF!</definedName>
    <definedName name="ddd" localSheetId="58">[2]ПРОГНОЗ_1!#REF!</definedName>
    <definedName name="ddd" localSheetId="49">[2]ПРОГНОЗ_1!#REF!</definedName>
    <definedName name="ddd" localSheetId="50">[2]ПРОГНОЗ_1!#REF!</definedName>
    <definedName name="ddd" localSheetId="22">[2]ПРОГНОЗ_1!#REF!</definedName>
    <definedName name="ddd" localSheetId="54">[2]ПРОГНОЗ_1!#REF!</definedName>
    <definedName name="ddd" localSheetId="52">[2]ПРОГНОЗ_1!#REF!</definedName>
    <definedName name="ddd" localSheetId="53">[2]ПРОГНОЗ_1!#REF!</definedName>
    <definedName name="ddd" localSheetId="5">[2]ПРОГНОЗ_1!#REF!</definedName>
    <definedName name="ddd" localSheetId="6">[2]ПРОГНОЗ_1!#REF!</definedName>
    <definedName name="ddd" localSheetId="7">[2]ПРОГНОЗ_1!#REF!</definedName>
    <definedName name="ddd" localSheetId="23">[2]ПРОГНОЗ_1!#REF!</definedName>
    <definedName name="ddd" localSheetId="24">[2]ПРОГНОЗ_1!#REF!</definedName>
    <definedName name="ddd" localSheetId="33">[2]ПРОГНОЗ_1!#REF!</definedName>
    <definedName name="ddd" localSheetId="47">[2]ПРОГНОЗ_1!#REF!</definedName>
    <definedName name="ddd" localSheetId="48">[2]ПРОГНОЗ_1!#REF!</definedName>
    <definedName name="ddd">[2]ПРОГНОЗ_1!#REF!</definedName>
    <definedName name="ddd_14" localSheetId="55">[2]ПРОГНОЗ_1!#REF!</definedName>
    <definedName name="ddd_14" localSheetId="56">[2]ПРОГНОЗ_1!#REF!</definedName>
    <definedName name="ddd_14" localSheetId="57">[2]ПРОГНОЗ_1!#REF!</definedName>
    <definedName name="ddd_14" localSheetId="81">[2]ПРОГНОЗ_1!#REF!</definedName>
    <definedName name="ddd_14" localSheetId="82">[2]ПРОГНОЗ_1!#REF!</definedName>
    <definedName name="ddd_14" localSheetId="31">[2]ПРОГНОЗ_1!#REF!</definedName>
    <definedName name="ddd_14" localSheetId="44">[2]ПРОГНОЗ_1!#REF!</definedName>
    <definedName name="ddd_14" localSheetId="26">[2]ПРОГНОЗ_1!#REF!</definedName>
    <definedName name="ddd_14" localSheetId="27">[2]ПРОГНОЗ_1!#REF!</definedName>
    <definedName name="ddd_14" localSheetId="43">[2]ПРОГНОЗ_1!#REF!</definedName>
    <definedName name="ddd_14" localSheetId="73">[2]ПРОГНОЗ_1!#REF!</definedName>
    <definedName name="ddd_14" localSheetId="62">[2]ПРОГНОЗ_1!#REF!</definedName>
    <definedName name="ddd_14" localSheetId="64">[2]ПРОГНОЗ_1!#REF!</definedName>
    <definedName name="ddd_14" localSheetId="58">[2]ПРОГНОЗ_1!#REF!</definedName>
    <definedName name="ddd_14" localSheetId="49">[2]ПРОГНОЗ_1!#REF!</definedName>
    <definedName name="ddd_14" localSheetId="50">[2]ПРОГНОЗ_1!#REF!</definedName>
    <definedName name="ddd_14" localSheetId="22">[2]ПРОГНОЗ_1!#REF!</definedName>
    <definedName name="ddd_14" localSheetId="54">[2]ПРОГНОЗ_1!#REF!</definedName>
    <definedName name="ddd_14" localSheetId="52">[2]ПРОГНОЗ_1!#REF!</definedName>
    <definedName name="ddd_14" localSheetId="53">[2]ПРОГНОЗ_1!#REF!</definedName>
    <definedName name="ddd_14" localSheetId="5">[2]ПРОГНОЗ_1!#REF!</definedName>
    <definedName name="ddd_14" localSheetId="6">[2]ПРОГНОЗ_1!#REF!</definedName>
    <definedName name="ddd_14" localSheetId="7">[2]ПРОГНОЗ_1!#REF!</definedName>
    <definedName name="ddd_14" localSheetId="23">[2]ПРОГНОЗ_1!#REF!</definedName>
    <definedName name="ddd_14" localSheetId="24">[2]ПРОГНОЗ_1!#REF!</definedName>
    <definedName name="ddd_14" localSheetId="33">[2]ПРОГНОЗ_1!#REF!</definedName>
    <definedName name="ddd_14" localSheetId="47">[2]ПРОГНОЗ_1!#REF!</definedName>
    <definedName name="ddd_14" localSheetId="48">[2]ПРОГНОЗ_1!#REF!</definedName>
    <definedName name="ddd_14">[2]ПРОГНОЗ_1!#REF!</definedName>
    <definedName name="Excel_BuiltIn__FilterDatabase_15" localSheetId="55">#REF!</definedName>
    <definedName name="Excel_BuiltIn__FilterDatabase_15" localSheetId="56">#REF!</definedName>
    <definedName name="Excel_BuiltIn__FilterDatabase_15" localSheetId="57">#REF!</definedName>
    <definedName name="Excel_BuiltIn__FilterDatabase_15" localSheetId="81">#REF!</definedName>
    <definedName name="Excel_BuiltIn__FilterDatabase_15" localSheetId="82">#REF!</definedName>
    <definedName name="Excel_BuiltIn__FilterDatabase_15" localSheetId="31">#REF!</definedName>
    <definedName name="Excel_BuiltIn__FilterDatabase_15" localSheetId="44">#REF!</definedName>
    <definedName name="Excel_BuiltIn__FilterDatabase_15" localSheetId="26">#REF!</definedName>
    <definedName name="Excel_BuiltIn__FilterDatabase_15" localSheetId="27">#REF!</definedName>
    <definedName name="Excel_BuiltIn__FilterDatabase_15" localSheetId="43">#REF!</definedName>
    <definedName name="Excel_BuiltIn__FilterDatabase_15" localSheetId="73">#REF!</definedName>
    <definedName name="Excel_BuiltIn__FilterDatabase_15" localSheetId="62">#REF!</definedName>
    <definedName name="Excel_BuiltIn__FilterDatabase_15" localSheetId="64">#REF!</definedName>
    <definedName name="Excel_BuiltIn__FilterDatabase_15" localSheetId="58">#REF!</definedName>
    <definedName name="Excel_BuiltIn__FilterDatabase_15" localSheetId="49">#REF!</definedName>
    <definedName name="Excel_BuiltIn__FilterDatabase_15" localSheetId="50">#REF!</definedName>
    <definedName name="Excel_BuiltIn__FilterDatabase_15" localSheetId="22">#REF!</definedName>
    <definedName name="Excel_BuiltIn__FilterDatabase_15" localSheetId="80">#REF!</definedName>
    <definedName name="Excel_BuiltIn__FilterDatabase_15" localSheetId="54">#REF!</definedName>
    <definedName name="Excel_BuiltIn__FilterDatabase_15" localSheetId="52">#REF!</definedName>
    <definedName name="Excel_BuiltIn__FilterDatabase_15" localSheetId="53">#REF!</definedName>
    <definedName name="Excel_BuiltIn__FilterDatabase_15" localSheetId="5">#REF!</definedName>
    <definedName name="Excel_BuiltIn__FilterDatabase_15" localSheetId="6">#REF!</definedName>
    <definedName name="Excel_BuiltIn__FilterDatabase_15" localSheetId="7">#REF!</definedName>
    <definedName name="Excel_BuiltIn__FilterDatabase_15" localSheetId="23">#REF!</definedName>
    <definedName name="Excel_BuiltIn__FilterDatabase_15" localSheetId="24">#REF!</definedName>
    <definedName name="Excel_BuiltIn__FilterDatabase_15" localSheetId="33">#REF!</definedName>
    <definedName name="Excel_BuiltIn__FilterDatabase_15" localSheetId="47">#REF!</definedName>
    <definedName name="Excel_BuiltIn__FilterDatabase_15" localSheetId="48">#REF!</definedName>
    <definedName name="Excel_BuiltIn__FilterDatabase_15">#REF!</definedName>
    <definedName name="ff" localSheetId="55">#REF!</definedName>
    <definedName name="ff" localSheetId="56">#REF!</definedName>
    <definedName name="ff" localSheetId="57">#REF!</definedName>
    <definedName name="ff" localSheetId="81">#REF!</definedName>
    <definedName name="ff" localSheetId="82">#REF!</definedName>
    <definedName name="ff" localSheetId="31">#REF!</definedName>
    <definedName name="ff" localSheetId="44">#REF!</definedName>
    <definedName name="ff" localSheetId="26">#REF!</definedName>
    <definedName name="ff" localSheetId="27">#REF!</definedName>
    <definedName name="ff" localSheetId="43">#REF!</definedName>
    <definedName name="ff" localSheetId="73">#REF!</definedName>
    <definedName name="ff" localSheetId="62">#REF!</definedName>
    <definedName name="ff" localSheetId="64">#REF!</definedName>
    <definedName name="ff" localSheetId="58">#REF!</definedName>
    <definedName name="ff" localSheetId="49">#REF!</definedName>
    <definedName name="ff" localSheetId="50">#REF!</definedName>
    <definedName name="ff" localSheetId="22">#REF!</definedName>
    <definedName name="ff" localSheetId="54">#REF!</definedName>
    <definedName name="ff" localSheetId="52">#REF!</definedName>
    <definedName name="ff" localSheetId="53">#REF!</definedName>
    <definedName name="ff" localSheetId="5">#REF!</definedName>
    <definedName name="ff" localSheetId="6">#REF!</definedName>
    <definedName name="ff" localSheetId="7">#REF!</definedName>
    <definedName name="ff" localSheetId="23">#REF!</definedName>
    <definedName name="ff" localSheetId="24">#REF!</definedName>
    <definedName name="ff" localSheetId="33">#REF!</definedName>
    <definedName name="ff" localSheetId="47">#REF!</definedName>
    <definedName name="ff" localSheetId="48">#REF!</definedName>
    <definedName name="ff">#REF!</definedName>
    <definedName name="ff_14" localSheetId="55">#REF!</definedName>
    <definedName name="ff_14" localSheetId="56">#REF!</definedName>
    <definedName name="ff_14" localSheetId="57">#REF!</definedName>
    <definedName name="ff_14" localSheetId="81">#REF!</definedName>
    <definedName name="ff_14" localSheetId="82">#REF!</definedName>
    <definedName name="ff_14" localSheetId="31">#REF!</definedName>
    <definedName name="ff_14" localSheetId="44">#REF!</definedName>
    <definedName name="ff_14" localSheetId="26">#REF!</definedName>
    <definedName name="ff_14" localSheetId="27">#REF!</definedName>
    <definedName name="ff_14" localSheetId="43">#REF!</definedName>
    <definedName name="ff_14" localSheetId="73">#REF!</definedName>
    <definedName name="ff_14" localSheetId="62">#REF!</definedName>
    <definedName name="ff_14" localSheetId="64">#REF!</definedName>
    <definedName name="ff_14" localSheetId="58">#REF!</definedName>
    <definedName name="ff_14" localSheetId="49">#REF!</definedName>
    <definedName name="ff_14" localSheetId="50">#REF!</definedName>
    <definedName name="ff_14" localSheetId="22">#REF!</definedName>
    <definedName name="ff_14" localSheetId="54">#REF!</definedName>
    <definedName name="ff_14" localSheetId="52">#REF!</definedName>
    <definedName name="ff_14" localSheetId="53">#REF!</definedName>
    <definedName name="ff_14" localSheetId="5">#REF!</definedName>
    <definedName name="ff_14" localSheetId="6">#REF!</definedName>
    <definedName name="ff_14" localSheetId="7">#REF!</definedName>
    <definedName name="ff_14" localSheetId="23">#REF!</definedName>
    <definedName name="ff_14" localSheetId="24">#REF!</definedName>
    <definedName name="ff_14" localSheetId="33">#REF!</definedName>
    <definedName name="ff_14" localSheetId="47">#REF!</definedName>
    <definedName name="ff_14" localSheetId="48">#REF!</definedName>
    <definedName name="ff_14">#REF!</definedName>
    <definedName name="fffff" localSheetId="55">'[3]Гр5(о)'!#REF!</definedName>
    <definedName name="fffff" localSheetId="56">'[3]Гр5(о)'!#REF!</definedName>
    <definedName name="fffff" localSheetId="57">'[3]Гр5(о)'!#REF!</definedName>
    <definedName name="fffff" localSheetId="81">'[3]Гр5(о)'!#REF!</definedName>
    <definedName name="fffff" localSheetId="82">'[3]Гр5(о)'!#REF!</definedName>
    <definedName name="fffff" localSheetId="31">'[3]Гр5(о)'!#REF!</definedName>
    <definedName name="fffff" localSheetId="44">'[3]Гр5(о)'!#REF!</definedName>
    <definedName name="fffff" localSheetId="26">'[3]Гр5(о)'!#REF!</definedName>
    <definedName name="fffff" localSheetId="27">'[3]Гр5(о)'!#REF!</definedName>
    <definedName name="fffff" localSheetId="43">'[3]Гр5(о)'!#REF!</definedName>
    <definedName name="fffff" localSheetId="73">'[3]Гр5(о)'!#REF!</definedName>
    <definedName name="fffff" localSheetId="62">'[3]Гр5(о)'!#REF!</definedName>
    <definedName name="fffff" localSheetId="64">'[3]Гр5(о)'!#REF!</definedName>
    <definedName name="fffff" localSheetId="58">'[3]Гр5(о)'!#REF!</definedName>
    <definedName name="fffff" localSheetId="49">'[3]Гр5(о)'!#REF!</definedName>
    <definedName name="fffff" localSheetId="50">'[3]Гр5(о)'!#REF!</definedName>
    <definedName name="fffff" localSheetId="22">'[3]Гр5(о)'!#REF!</definedName>
    <definedName name="fffff" localSheetId="54">'[3]Гр5(о)'!#REF!</definedName>
    <definedName name="fffff" localSheetId="52">'[3]Гр5(о)'!#REF!</definedName>
    <definedName name="fffff" localSheetId="53">'[3]Гр5(о)'!#REF!</definedName>
    <definedName name="fffff" localSheetId="5">'[3]Гр5(о)'!#REF!</definedName>
    <definedName name="fffff" localSheetId="6">'[3]Гр5(о)'!#REF!</definedName>
    <definedName name="fffff" localSheetId="7">'[3]Гр5(о)'!#REF!</definedName>
    <definedName name="fffff" localSheetId="23">'[3]Гр5(о)'!#REF!</definedName>
    <definedName name="fffff" localSheetId="24">'[3]Гр5(о)'!#REF!</definedName>
    <definedName name="fffff" localSheetId="33">'[3]Гр5(о)'!#REF!</definedName>
    <definedName name="fffff" localSheetId="47">'[3]Гр5(о)'!#REF!</definedName>
    <definedName name="fffff" localSheetId="48">'[3]Гр5(о)'!#REF!</definedName>
    <definedName name="fffff">'[3]Гр5(о)'!#REF!</definedName>
    <definedName name="fffff_14" localSheetId="55">'[3]Гр5(о)'!#REF!</definedName>
    <definedName name="fffff_14" localSheetId="56">'[3]Гр5(о)'!#REF!</definedName>
    <definedName name="fffff_14" localSheetId="57">'[3]Гр5(о)'!#REF!</definedName>
    <definedName name="fffff_14" localSheetId="81">'[3]Гр5(о)'!#REF!</definedName>
    <definedName name="fffff_14" localSheetId="82">'[3]Гр5(о)'!#REF!</definedName>
    <definedName name="fffff_14" localSheetId="26">'[3]Гр5(о)'!#REF!</definedName>
    <definedName name="fffff_14" localSheetId="27">'[3]Гр5(о)'!#REF!</definedName>
    <definedName name="fffff_14" localSheetId="62">'[3]Гр5(о)'!#REF!</definedName>
    <definedName name="fffff_14" localSheetId="64">'[3]Гр5(о)'!#REF!</definedName>
    <definedName name="fffff_14" localSheetId="58">'[3]Гр5(о)'!#REF!</definedName>
    <definedName name="fffff_14" localSheetId="49">'[3]Гр5(о)'!#REF!</definedName>
    <definedName name="fffff_14" localSheetId="50">'[3]Гр5(о)'!#REF!</definedName>
    <definedName name="fffff_14" localSheetId="22">'[3]Гр5(о)'!#REF!</definedName>
    <definedName name="fffff_14" localSheetId="54">'[3]Гр5(о)'!#REF!</definedName>
    <definedName name="fffff_14" localSheetId="52">'[3]Гр5(о)'!#REF!</definedName>
    <definedName name="fffff_14" localSheetId="53">'[3]Гр5(о)'!#REF!</definedName>
    <definedName name="fffff_14" localSheetId="5">'[3]Гр5(о)'!#REF!</definedName>
    <definedName name="fffff_14" localSheetId="6">'[3]Гр5(о)'!#REF!</definedName>
    <definedName name="fffff_14" localSheetId="7">'[3]Гр5(о)'!#REF!</definedName>
    <definedName name="fffff_14" localSheetId="23">'[3]Гр5(о)'!#REF!</definedName>
    <definedName name="fffff_14" localSheetId="24">'[3]Гр5(о)'!#REF!</definedName>
    <definedName name="fffff_14" localSheetId="33">'[3]Гр5(о)'!#REF!</definedName>
    <definedName name="fffff_14" localSheetId="47">'[3]Гр5(о)'!#REF!</definedName>
    <definedName name="fffff_14" localSheetId="48">'[3]Гр5(о)'!#REF!</definedName>
    <definedName name="fffff_14">'[3]Гр5(о)'!#REF!</definedName>
    <definedName name="gggg" localSheetId="55">#REF!</definedName>
    <definedName name="gggg" localSheetId="56">#REF!</definedName>
    <definedName name="gggg" localSheetId="57">#REF!</definedName>
    <definedName name="gggg" localSheetId="81">#REF!</definedName>
    <definedName name="gggg" localSheetId="82">#REF!</definedName>
    <definedName name="gggg" localSheetId="31">#REF!</definedName>
    <definedName name="gggg" localSheetId="44">#REF!</definedName>
    <definedName name="gggg" localSheetId="26">#REF!</definedName>
    <definedName name="gggg" localSheetId="27">#REF!</definedName>
    <definedName name="gggg" localSheetId="43">#REF!</definedName>
    <definedName name="gggg" localSheetId="73">#REF!</definedName>
    <definedName name="gggg" localSheetId="62">#REF!</definedName>
    <definedName name="gggg" localSheetId="64">#REF!</definedName>
    <definedName name="gggg" localSheetId="58">#REF!</definedName>
    <definedName name="gggg" localSheetId="49">#REF!</definedName>
    <definedName name="gggg" localSheetId="50">#REF!</definedName>
    <definedName name="gggg" localSheetId="22">#REF!</definedName>
    <definedName name="gggg" localSheetId="80">#REF!</definedName>
    <definedName name="gggg" localSheetId="54">#REF!</definedName>
    <definedName name="gggg" localSheetId="52">#REF!</definedName>
    <definedName name="gggg" localSheetId="53">#REF!</definedName>
    <definedName name="gggg" localSheetId="5">#REF!</definedName>
    <definedName name="gggg" localSheetId="6">#REF!</definedName>
    <definedName name="gggg" localSheetId="7">#REF!</definedName>
    <definedName name="gggg" localSheetId="23">#REF!</definedName>
    <definedName name="gggg" localSheetId="24">#REF!</definedName>
    <definedName name="gggg" localSheetId="33">#REF!</definedName>
    <definedName name="gggg" localSheetId="47">#REF!</definedName>
    <definedName name="gggg" localSheetId="48">#REF!</definedName>
    <definedName name="gggg">#REF!</definedName>
    <definedName name="gggg_14" localSheetId="55">#REF!</definedName>
    <definedName name="gggg_14" localSheetId="56">#REF!</definedName>
    <definedName name="gggg_14" localSheetId="57">#REF!</definedName>
    <definedName name="gggg_14" localSheetId="81">#REF!</definedName>
    <definedName name="gggg_14" localSheetId="82">#REF!</definedName>
    <definedName name="gggg_14" localSheetId="31">#REF!</definedName>
    <definedName name="gggg_14" localSheetId="44">#REF!</definedName>
    <definedName name="gggg_14" localSheetId="26">#REF!</definedName>
    <definedName name="gggg_14" localSheetId="27">#REF!</definedName>
    <definedName name="gggg_14" localSheetId="43">#REF!</definedName>
    <definedName name="gggg_14" localSheetId="73">#REF!</definedName>
    <definedName name="gggg_14" localSheetId="62">#REF!</definedName>
    <definedName name="gggg_14" localSheetId="64">#REF!</definedName>
    <definedName name="gggg_14" localSheetId="58">#REF!</definedName>
    <definedName name="gggg_14" localSheetId="49">#REF!</definedName>
    <definedName name="gggg_14" localSheetId="50">#REF!</definedName>
    <definedName name="gggg_14" localSheetId="22">#REF!</definedName>
    <definedName name="gggg_14" localSheetId="54">#REF!</definedName>
    <definedName name="gggg_14" localSheetId="52">#REF!</definedName>
    <definedName name="gggg_14" localSheetId="53">#REF!</definedName>
    <definedName name="gggg_14" localSheetId="5">#REF!</definedName>
    <definedName name="gggg_14" localSheetId="6">#REF!</definedName>
    <definedName name="gggg_14" localSheetId="7">#REF!</definedName>
    <definedName name="gggg_14" localSheetId="23">#REF!</definedName>
    <definedName name="gggg_14" localSheetId="24">#REF!</definedName>
    <definedName name="gggg_14" localSheetId="33">#REF!</definedName>
    <definedName name="gggg_14" localSheetId="47">#REF!</definedName>
    <definedName name="gggg_14" localSheetId="48">#REF!</definedName>
    <definedName name="gggg_14">#REF!</definedName>
    <definedName name="jjjj" localSheetId="55">'[4]Гр5(о)'!#REF!</definedName>
    <definedName name="jjjj" localSheetId="56">'[4]Гр5(о)'!#REF!</definedName>
    <definedName name="jjjj" localSheetId="57">'[4]Гр5(о)'!#REF!</definedName>
    <definedName name="jjjj" localSheetId="81">'[4]Гр5(о)'!#REF!</definedName>
    <definedName name="jjjj" localSheetId="82">'[4]Гр5(о)'!#REF!</definedName>
    <definedName name="jjjj" localSheetId="31">'[4]Гр5(о)'!#REF!</definedName>
    <definedName name="jjjj" localSheetId="44">'[4]Гр5(о)'!#REF!</definedName>
    <definedName name="jjjj" localSheetId="26">'[4]Гр5(о)'!#REF!</definedName>
    <definedName name="jjjj" localSheetId="27">'[4]Гр5(о)'!#REF!</definedName>
    <definedName name="jjjj" localSheetId="43">'[4]Гр5(о)'!#REF!</definedName>
    <definedName name="jjjj" localSheetId="73">'[4]Гр5(о)'!#REF!</definedName>
    <definedName name="jjjj" localSheetId="62">'[4]Гр5(о)'!#REF!</definedName>
    <definedName name="jjjj" localSheetId="64">'[4]Гр5(о)'!#REF!</definedName>
    <definedName name="jjjj" localSheetId="58">'[4]Гр5(о)'!#REF!</definedName>
    <definedName name="jjjj" localSheetId="49">'[4]Гр5(о)'!#REF!</definedName>
    <definedName name="jjjj" localSheetId="50">'[4]Гр5(о)'!#REF!</definedName>
    <definedName name="jjjj" localSheetId="22">'[4]Гр5(о)'!#REF!</definedName>
    <definedName name="jjjj" localSheetId="54">'[4]Гр5(о)'!#REF!</definedName>
    <definedName name="jjjj" localSheetId="52">'[4]Гр5(о)'!#REF!</definedName>
    <definedName name="jjjj" localSheetId="53">'[4]Гр5(о)'!#REF!</definedName>
    <definedName name="jjjj" localSheetId="5">'[4]Гр5(о)'!#REF!</definedName>
    <definedName name="jjjj" localSheetId="6">'[4]Гр5(о)'!#REF!</definedName>
    <definedName name="jjjj" localSheetId="7">'[4]Гр5(о)'!#REF!</definedName>
    <definedName name="jjjj" localSheetId="23">'[4]Гр5(о)'!#REF!</definedName>
    <definedName name="jjjj" localSheetId="24">'[4]Гр5(о)'!#REF!</definedName>
    <definedName name="jjjj" localSheetId="33">'[4]Гр5(о)'!#REF!</definedName>
    <definedName name="jjjj" localSheetId="47">'[4]Гр5(о)'!#REF!</definedName>
    <definedName name="jjjj" localSheetId="48">'[4]Гр5(о)'!#REF!</definedName>
    <definedName name="jjjj">'[4]Гр5(о)'!#REF!</definedName>
    <definedName name="jjjj_14" localSheetId="55">'[4]Гр5(о)'!#REF!</definedName>
    <definedName name="jjjj_14" localSheetId="56">'[4]Гр5(о)'!#REF!</definedName>
    <definedName name="jjjj_14" localSheetId="57">'[4]Гр5(о)'!#REF!</definedName>
    <definedName name="jjjj_14" localSheetId="81">'[4]Гр5(о)'!#REF!</definedName>
    <definedName name="jjjj_14" localSheetId="82">'[4]Гр5(о)'!#REF!</definedName>
    <definedName name="jjjj_14" localSheetId="31">'[4]Гр5(о)'!#REF!</definedName>
    <definedName name="jjjj_14" localSheetId="44">'[4]Гр5(о)'!#REF!</definedName>
    <definedName name="jjjj_14" localSheetId="26">'[4]Гр5(о)'!#REF!</definedName>
    <definedName name="jjjj_14" localSheetId="27">'[4]Гр5(о)'!#REF!</definedName>
    <definedName name="jjjj_14" localSheetId="43">'[4]Гр5(о)'!#REF!</definedName>
    <definedName name="jjjj_14" localSheetId="73">'[4]Гр5(о)'!#REF!</definedName>
    <definedName name="jjjj_14" localSheetId="62">'[4]Гр5(о)'!#REF!</definedName>
    <definedName name="jjjj_14" localSheetId="64">'[4]Гр5(о)'!#REF!</definedName>
    <definedName name="jjjj_14" localSheetId="58">'[4]Гр5(о)'!#REF!</definedName>
    <definedName name="jjjj_14" localSheetId="49">'[4]Гр5(о)'!#REF!</definedName>
    <definedName name="jjjj_14" localSheetId="50">'[4]Гр5(о)'!#REF!</definedName>
    <definedName name="jjjj_14" localSheetId="22">'[4]Гр5(о)'!#REF!</definedName>
    <definedName name="jjjj_14" localSheetId="54">'[4]Гр5(о)'!#REF!</definedName>
    <definedName name="jjjj_14" localSheetId="52">'[4]Гр5(о)'!#REF!</definedName>
    <definedName name="jjjj_14" localSheetId="53">'[4]Гр5(о)'!#REF!</definedName>
    <definedName name="jjjj_14" localSheetId="5">'[4]Гр5(о)'!#REF!</definedName>
    <definedName name="jjjj_14" localSheetId="6">'[4]Гр5(о)'!#REF!</definedName>
    <definedName name="jjjj_14" localSheetId="7">'[4]Гр5(о)'!#REF!</definedName>
    <definedName name="jjjj_14" localSheetId="23">'[4]Гр5(о)'!#REF!</definedName>
    <definedName name="jjjj_14" localSheetId="24">'[4]Гр5(о)'!#REF!</definedName>
    <definedName name="jjjj_14" localSheetId="33">'[4]Гр5(о)'!#REF!</definedName>
    <definedName name="jjjj_14" localSheetId="47">'[4]Гр5(о)'!#REF!</definedName>
    <definedName name="jjjj_14" localSheetId="48">'[4]Гр5(о)'!#REF!</definedName>
    <definedName name="jjjj_14">'[4]Гр5(о)'!#REF!</definedName>
    <definedName name="TABLE" localSheetId="8">'раздел 2'!#REF!</definedName>
    <definedName name="TABLE_2" localSheetId="8">'раздел 2'!#REF!</definedName>
    <definedName name="XDO_?ACTDOMCODE?" localSheetId="55">#REF!</definedName>
    <definedName name="XDO_?ACTDOMCODE?" localSheetId="56">#REF!</definedName>
    <definedName name="XDO_?ACTDOMCODE?" localSheetId="57">#REF!</definedName>
    <definedName name="XDO_?ACTDOMCODE?" localSheetId="81">#REF!</definedName>
    <definedName name="XDO_?ACTDOMCODE?" localSheetId="82">#REF!</definedName>
    <definedName name="XDO_?ACTDOMCODE?" localSheetId="31">#REF!</definedName>
    <definedName name="XDO_?ACTDOMCODE?" localSheetId="44">#REF!</definedName>
    <definedName name="XDO_?ACTDOMCODE?" localSheetId="26">#REF!</definedName>
    <definedName name="XDO_?ACTDOMCODE?" localSheetId="27">#REF!</definedName>
    <definedName name="XDO_?ACTDOMCODE?" localSheetId="43">#REF!</definedName>
    <definedName name="XDO_?ACTDOMCODE?" localSheetId="73">#REF!</definedName>
    <definedName name="XDO_?ACTDOMCODE?" localSheetId="62">#REF!</definedName>
    <definedName name="XDO_?ACTDOMCODE?" localSheetId="64">#REF!</definedName>
    <definedName name="XDO_?ACTDOMCODE?" localSheetId="58">#REF!</definedName>
    <definedName name="XDO_?ACTDOMCODE?" localSheetId="49">#REF!</definedName>
    <definedName name="XDO_?ACTDOMCODE?" localSheetId="50">#REF!</definedName>
    <definedName name="XDO_?ACTDOMCODE?" localSheetId="22">#REF!</definedName>
    <definedName name="XDO_?ACTDOMCODE?" localSheetId="80">#REF!</definedName>
    <definedName name="XDO_?ACTDOMCODE?" localSheetId="54">#REF!</definedName>
    <definedName name="XDO_?ACTDOMCODE?" localSheetId="52">#REF!</definedName>
    <definedName name="XDO_?ACTDOMCODE?" localSheetId="53">#REF!</definedName>
    <definedName name="XDO_?ACTDOMCODE?" localSheetId="5">#REF!</definedName>
    <definedName name="XDO_?ACTDOMCODE?" localSheetId="6">#REF!</definedName>
    <definedName name="XDO_?ACTDOMCODE?" localSheetId="7">#REF!</definedName>
    <definedName name="XDO_?ACTDOMCODE?" localSheetId="23">#REF!</definedName>
    <definedName name="XDO_?ACTDOMCODE?" localSheetId="24">#REF!</definedName>
    <definedName name="XDO_?ACTDOMCODE?" localSheetId="33">#REF!</definedName>
    <definedName name="XDO_?ACTDOMCODE?" localSheetId="47">#REF!</definedName>
    <definedName name="XDO_?ACTDOMCODE?" localSheetId="48">#REF!</definedName>
    <definedName name="XDO_?ACTDOMCODE?">#REF!</definedName>
    <definedName name="XDO_?ACTDOMNAME?" localSheetId="55">#REF!</definedName>
    <definedName name="XDO_?ACTDOMNAME?" localSheetId="56">#REF!</definedName>
    <definedName name="XDO_?ACTDOMNAME?" localSheetId="57">#REF!</definedName>
    <definedName name="XDO_?ACTDOMNAME?" localSheetId="81">#REF!</definedName>
    <definedName name="XDO_?ACTDOMNAME?" localSheetId="82">#REF!</definedName>
    <definedName name="XDO_?ACTDOMNAME?" localSheetId="31">#REF!</definedName>
    <definedName name="XDO_?ACTDOMNAME?" localSheetId="44">#REF!</definedName>
    <definedName name="XDO_?ACTDOMNAME?" localSheetId="26">#REF!</definedName>
    <definedName name="XDO_?ACTDOMNAME?" localSheetId="27">#REF!</definedName>
    <definedName name="XDO_?ACTDOMNAME?" localSheetId="43">#REF!</definedName>
    <definedName name="XDO_?ACTDOMNAME?" localSheetId="73">#REF!</definedName>
    <definedName name="XDO_?ACTDOMNAME?" localSheetId="62">#REF!</definedName>
    <definedName name="XDO_?ACTDOMNAME?" localSheetId="64">#REF!</definedName>
    <definedName name="XDO_?ACTDOMNAME?" localSheetId="58">#REF!</definedName>
    <definedName name="XDO_?ACTDOMNAME?" localSheetId="49">#REF!</definedName>
    <definedName name="XDO_?ACTDOMNAME?" localSheetId="50">#REF!</definedName>
    <definedName name="XDO_?ACTDOMNAME?" localSheetId="22">#REF!</definedName>
    <definedName name="XDO_?ACTDOMNAME?" localSheetId="54">#REF!</definedName>
    <definedName name="XDO_?ACTDOMNAME?" localSheetId="52">#REF!</definedName>
    <definedName name="XDO_?ACTDOMNAME?" localSheetId="53">#REF!</definedName>
    <definedName name="XDO_?ACTDOMNAME?" localSheetId="5">#REF!</definedName>
    <definedName name="XDO_?ACTDOMNAME?" localSheetId="6">#REF!</definedName>
    <definedName name="XDO_?ACTDOMNAME?" localSheetId="7">#REF!</definedName>
    <definedName name="XDO_?ACTDOMNAME?" localSheetId="23">#REF!</definedName>
    <definedName name="XDO_?ACTDOMNAME?" localSheetId="24">#REF!</definedName>
    <definedName name="XDO_?ACTDOMNAME?" localSheetId="33">#REF!</definedName>
    <definedName name="XDO_?ACTDOMNAME?" localSheetId="47">#REF!</definedName>
    <definedName name="XDO_?ACTDOMNAME?" localSheetId="48">#REF!</definedName>
    <definedName name="XDO_?ACTDOMNAME?">#REF!</definedName>
    <definedName name="XDO_?BELONG210FL?" localSheetId="55">#REF!</definedName>
    <definedName name="XDO_?BELONG210FL?" localSheetId="56">#REF!</definedName>
    <definedName name="XDO_?BELONG210FL?" localSheetId="57">#REF!</definedName>
    <definedName name="XDO_?BELONG210FL?" localSheetId="81">#REF!</definedName>
    <definedName name="XDO_?BELONG210FL?" localSheetId="82">#REF!</definedName>
    <definedName name="XDO_?BELONG210FL?" localSheetId="31">#REF!</definedName>
    <definedName name="XDO_?BELONG210FL?" localSheetId="44">#REF!</definedName>
    <definedName name="XDO_?BELONG210FL?" localSheetId="26">#REF!</definedName>
    <definedName name="XDO_?BELONG210FL?" localSheetId="27">#REF!</definedName>
    <definedName name="XDO_?BELONG210FL?" localSheetId="43">#REF!</definedName>
    <definedName name="XDO_?BELONG210FL?" localSheetId="73">#REF!</definedName>
    <definedName name="XDO_?BELONG210FL?" localSheetId="62">#REF!</definedName>
    <definedName name="XDO_?BELONG210FL?" localSheetId="64">#REF!</definedName>
    <definedName name="XDO_?BELONG210FL?" localSheetId="58">#REF!</definedName>
    <definedName name="XDO_?BELONG210FL?" localSheetId="49">#REF!</definedName>
    <definedName name="XDO_?BELONG210FL?" localSheetId="50">#REF!</definedName>
    <definedName name="XDO_?BELONG210FL?" localSheetId="22">#REF!</definedName>
    <definedName name="XDO_?BELONG210FL?" localSheetId="54">#REF!</definedName>
    <definedName name="XDO_?BELONG210FL?" localSheetId="52">#REF!</definedName>
    <definedName name="XDO_?BELONG210FL?" localSheetId="53">#REF!</definedName>
    <definedName name="XDO_?BELONG210FL?" localSheetId="5">#REF!</definedName>
    <definedName name="XDO_?BELONG210FL?" localSheetId="6">#REF!</definedName>
    <definedName name="XDO_?BELONG210FL?" localSheetId="7">#REF!</definedName>
    <definedName name="XDO_?BELONG210FL?" localSheetId="23">#REF!</definedName>
    <definedName name="XDO_?BELONG210FL?" localSheetId="24">#REF!</definedName>
    <definedName name="XDO_?BELONG210FL?" localSheetId="33">#REF!</definedName>
    <definedName name="XDO_?BELONG210FL?" localSheetId="47">#REF!</definedName>
    <definedName name="XDO_?BELONG210FL?" localSheetId="48">#REF!</definedName>
    <definedName name="XDO_?BELONG210FL?">#REF!</definedName>
    <definedName name="XDO_?CSMCTGY_NAME?" localSheetId="55">#REF!</definedName>
    <definedName name="XDO_?CSMCTGY_NAME?" localSheetId="56">#REF!</definedName>
    <definedName name="XDO_?CSMCTGY_NAME?" localSheetId="57">#REF!</definedName>
    <definedName name="XDO_?CSMCTGY_NAME?" localSheetId="81">#REF!</definedName>
    <definedName name="XDO_?CSMCTGY_NAME?" localSheetId="82">#REF!</definedName>
    <definedName name="XDO_?CSMCTGY_NAME?" localSheetId="31">#REF!</definedName>
    <definedName name="XDO_?CSMCTGY_NAME?" localSheetId="44">#REF!</definedName>
    <definedName name="XDO_?CSMCTGY_NAME?" localSheetId="26">#REF!</definedName>
    <definedName name="XDO_?CSMCTGY_NAME?" localSheetId="27">#REF!</definedName>
    <definedName name="XDO_?CSMCTGY_NAME?" localSheetId="43">#REF!</definedName>
    <definedName name="XDO_?CSMCTGY_NAME?" localSheetId="73">#REF!</definedName>
    <definedName name="XDO_?CSMCTGY_NAME?" localSheetId="62">#REF!</definedName>
    <definedName name="XDO_?CSMCTGY_NAME?" localSheetId="64">#REF!</definedName>
    <definedName name="XDO_?CSMCTGY_NAME?" localSheetId="58">#REF!</definedName>
    <definedName name="XDO_?CSMCTGY_NAME?" localSheetId="49">#REF!</definedName>
    <definedName name="XDO_?CSMCTGY_NAME?" localSheetId="50">#REF!</definedName>
    <definedName name="XDO_?CSMCTGY_NAME?" localSheetId="22">#REF!</definedName>
    <definedName name="XDO_?CSMCTGY_NAME?" localSheetId="54">#REF!</definedName>
    <definedName name="XDO_?CSMCTGY_NAME?" localSheetId="52">#REF!</definedName>
    <definedName name="XDO_?CSMCTGY_NAME?" localSheetId="53">#REF!</definedName>
    <definedName name="XDO_?CSMCTGY_NAME?" localSheetId="5">#REF!</definedName>
    <definedName name="XDO_?CSMCTGY_NAME?" localSheetId="6">#REF!</definedName>
    <definedName name="XDO_?CSMCTGY_NAME?" localSheetId="7">#REF!</definedName>
    <definedName name="XDO_?CSMCTGY_NAME?" localSheetId="23">#REF!</definedName>
    <definedName name="XDO_?CSMCTGY_NAME?" localSheetId="24">#REF!</definedName>
    <definedName name="XDO_?CSMCTGY_NAME?" localSheetId="33">#REF!</definedName>
    <definedName name="XDO_?CSMCTGY_NAME?" localSheetId="47">#REF!</definedName>
    <definedName name="XDO_?CSMCTGY_NAME?" localSheetId="48">#REF!</definedName>
    <definedName name="XDO_?CSMCTGY_NAME?">#REF!</definedName>
    <definedName name="XDO_?INSTKND_NAME?" localSheetId="55">#REF!</definedName>
    <definedName name="XDO_?INSTKND_NAME?" localSheetId="56">#REF!</definedName>
    <definedName name="XDO_?INSTKND_NAME?" localSheetId="57">#REF!</definedName>
    <definedName name="XDO_?INSTKND_NAME?" localSheetId="81">#REF!</definedName>
    <definedName name="XDO_?INSTKND_NAME?" localSheetId="82">#REF!</definedName>
    <definedName name="XDO_?INSTKND_NAME?" localSheetId="31">#REF!</definedName>
    <definedName name="XDO_?INSTKND_NAME?" localSheetId="44">#REF!</definedName>
    <definedName name="XDO_?INSTKND_NAME?" localSheetId="26">#REF!</definedName>
    <definedName name="XDO_?INSTKND_NAME?" localSheetId="27">#REF!</definedName>
    <definedName name="XDO_?INSTKND_NAME?" localSheetId="43">#REF!</definedName>
    <definedName name="XDO_?INSTKND_NAME?" localSheetId="73">#REF!</definedName>
    <definedName name="XDO_?INSTKND_NAME?" localSheetId="62">#REF!</definedName>
    <definedName name="XDO_?INSTKND_NAME?" localSheetId="64">#REF!</definedName>
    <definedName name="XDO_?INSTKND_NAME?" localSheetId="58">#REF!</definedName>
    <definedName name="XDO_?INSTKND_NAME?" localSheetId="49">#REF!</definedName>
    <definedName name="XDO_?INSTKND_NAME?" localSheetId="50">#REF!</definedName>
    <definedName name="XDO_?INSTKND_NAME?" localSheetId="22">#REF!</definedName>
    <definedName name="XDO_?INSTKND_NAME?" localSheetId="54">#REF!</definedName>
    <definedName name="XDO_?INSTKND_NAME?" localSheetId="52">#REF!</definedName>
    <definedName name="XDO_?INSTKND_NAME?" localSheetId="53">#REF!</definedName>
    <definedName name="XDO_?INSTKND_NAME?" localSheetId="5">#REF!</definedName>
    <definedName name="XDO_?INSTKND_NAME?" localSheetId="6">#REF!</definedName>
    <definedName name="XDO_?INSTKND_NAME?" localSheetId="7">#REF!</definedName>
    <definedName name="XDO_?INSTKND_NAME?" localSheetId="23">#REF!</definedName>
    <definedName name="XDO_?INSTKND_NAME?" localSheetId="24">#REF!</definedName>
    <definedName name="XDO_?INSTKND_NAME?" localSheetId="33">#REF!</definedName>
    <definedName name="XDO_?INSTKND_NAME?" localSheetId="47">#REF!</definedName>
    <definedName name="XDO_?INSTKND_NAME?" localSheetId="48">#REF!</definedName>
    <definedName name="XDO_?INSTKND_NAME?">#REF!</definedName>
    <definedName name="XDO_?LGLACT_APPROVEDBY?" localSheetId="55">#REF!</definedName>
    <definedName name="XDO_?LGLACT_APPROVEDBY?" localSheetId="56">#REF!</definedName>
    <definedName name="XDO_?LGLACT_APPROVEDBY?" localSheetId="57">#REF!</definedName>
    <definedName name="XDO_?LGLACT_APPROVEDBY?" localSheetId="81">#REF!</definedName>
    <definedName name="XDO_?LGLACT_APPROVEDBY?" localSheetId="82">#REF!</definedName>
    <definedName name="XDO_?LGLACT_APPROVEDBY?" localSheetId="31">#REF!</definedName>
    <definedName name="XDO_?LGLACT_APPROVEDBY?" localSheetId="44">#REF!</definedName>
    <definedName name="XDO_?LGLACT_APPROVEDBY?" localSheetId="26">#REF!</definedName>
    <definedName name="XDO_?LGLACT_APPROVEDBY?" localSheetId="27">#REF!</definedName>
    <definedName name="XDO_?LGLACT_APPROVEDBY?" localSheetId="43">#REF!</definedName>
    <definedName name="XDO_?LGLACT_APPROVEDBY?" localSheetId="73">#REF!</definedName>
    <definedName name="XDO_?LGLACT_APPROVEDBY?" localSheetId="62">#REF!</definedName>
    <definedName name="XDO_?LGLACT_APPROVEDBY?" localSheetId="64">#REF!</definedName>
    <definedName name="XDO_?LGLACT_APPROVEDBY?" localSheetId="58">#REF!</definedName>
    <definedName name="XDO_?LGLACT_APPROVEDBY?" localSheetId="49">#REF!</definedName>
    <definedName name="XDO_?LGLACT_APPROVEDBY?" localSheetId="50">#REF!</definedName>
    <definedName name="XDO_?LGLACT_APPROVEDBY?" localSheetId="22">#REF!</definedName>
    <definedName name="XDO_?LGLACT_APPROVEDBY?" localSheetId="54">#REF!</definedName>
    <definedName name="XDO_?LGLACT_APPROVEDBY?" localSheetId="52">#REF!</definedName>
    <definedName name="XDO_?LGLACT_APPROVEDBY?" localSheetId="53">#REF!</definedName>
    <definedName name="XDO_?LGLACT_APPROVEDBY?" localSheetId="5">#REF!</definedName>
    <definedName name="XDO_?LGLACT_APPROVEDBY?" localSheetId="6">#REF!</definedName>
    <definedName name="XDO_?LGLACT_APPROVEDBY?" localSheetId="7">#REF!</definedName>
    <definedName name="XDO_?LGLACT_APPROVEDBY?" localSheetId="23">#REF!</definedName>
    <definedName name="XDO_?LGLACT_APPROVEDBY?" localSheetId="24">#REF!</definedName>
    <definedName name="XDO_?LGLACT_APPROVEDBY?" localSheetId="33">#REF!</definedName>
    <definedName name="XDO_?LGLACT_APPROVEDBY?" localSheetId="47">#REF!</definedName>
    <definedName name="XDO_?LGLACT_APPROVEDBY?" localSheetId="48">#REF!</definedName>
    <definedName name="XDO_?LGLACT_APPROVEDBY?">#REF!</definedName>
    <definedName name="XDO_?LGLACT_APPRVDAT?" localSheetId="55">#REF!</definedName>
    <definedName name="XDO_?LGLACT_APPRVDAT?" localSheetId="56">#REF!</definedName>
    <definedName name="XDO_?LGLACT_APPRVDAT?" localSheetId="57">#REF!</definedName>
    <definedName name="XDO_?LGLACT_APPRVDAT?" localSheetId="81">#REF!</definedName>
    <definedName name="XDO_?LGLACT_APPRVDAT?" localSheetId="82">#REF!</definedName>
    <definedName name="XDO_?LGLACT_APPRVDAT?" localSheetId="31">#REF!</definedName>
    <definedName name="XDO_?LGLACT_APPRVDAT?" localSheetId="44">#REF!</definedName>
    <definedName name="XDO_?LGLACT_APPRVDAT?" localSheetId="26">#REF!</definedName>
    <definedName name="XDO_?LGLACT_APPRVDAT?" localSheetId="27">#REF!</definedName>
    <definedName name="XDO_?LGLACT_APPRVDAT?" localSheetId="43">#REF!</definedName>
    <definedName name="XDO_?LGLACT_APPRVDAT?" localSheetId="73">#REF!</definedName>
    <definedName name="XDO_?LGLACT_APPRVDAT?" localSheetId="62">#REF!</definedName>
    <definedName name="XDO_?LGLACT_APPRVDAT?" localSheetId="64">#REF!</definedName>
    <definedName name="XDO_?LGLACT_APPRVDAT?" localSheetId="58">#REF!</definedName>
    <definedName name="XDO_?LGLACT_APPRVDAT?" localSheetId="49">#REF!</definedName>
    <definedName name="XDO_?LGLACT_APPRVDAT?" localSheetId="50">#REF!</definedName>
    <definedName name="XDO_?LGLACT_APPRVDAT?" localSheetId="22">#REF!</definedName>
    <definedName name="XDO_?LGLACT_APPRVDAT?" localSheetId="54">#REF!</definedName>
    <definedName name="XDO_?LGLACT_APPRVDAT?" localSheetId="52">#REF!</definedName>
    <definedName name="XDO_?LGLACT_APPRVDAT?" localSheetId="53">#REF!</definedName>
    <definedName name="XDO_?LGLACT_APPRVDAT?" localSheetId="5">#REF!</definedName>
    <definedName name="XDO_?LGLACT_APPRVDAT?" localSheetId="6">#REF!</definedName>
    <definedName name="XDO_?LGLACT_APPRVDAT?" localSheetId="7">#REF!</definedName>
    <definedName name="XDO_?LGLACT_APPRVDAT?" localSheetId="23">#REF!</definedName>
    <definedName name="XDO_?LGLACT_APPRVDAT?" localSheetId="24">#REF!</definedName>
    <definedName name="XDO_?LGLACT_APPRVDAT?" localSheetId="33">#REF!</definedName>
    <definedName name="XDO_?LGLACT_APPRVDAT?" localSheetId="47">#REF!</definedName>
    <definedName name="XDO_?LGLACT_APPRVDAT?" localSheetId="48">#REF!</definedName>
    <definedName name="XDO_?LGLACT_APPRVDAT?">#REF!</definedName>
    <definedName name="XDO_?LGLACT_NAME?" localSheetId="55">#REF!</definedName>
    <definedName name="XDO_?LGLACT_NAME?" localSheetId="56">#REF!</definedName>
    <definedName name="XDO_?LGLACT_NAME?" localSheetId="57">#REF!</definedName>
    <definedName name="XDO_?LGLACT_NAME?" localSheetId="81">#REF!</definedName>
    <definedName name="XDO_?LGLACT_NAME?" localSheetId="82">#REF!</definedName>
    <definedName name="XDO_?LGLACT_NAME?" localSheetId="31">#REF!</definedName>
    <definedName name="XDO_?LGLACT_NAME?" localSheetId="44">#REF!</definedName>
    <definedName name="XDO_?LGLACT_NAME?" localSheetId="26">#REF!</definedName>
    <definedName name="XDO_?LGLACT_NAME?" localSheetId="27">#REF!</definedName>
    <definedName name="XDO_?LGLACT_NAME?" localSheetId="43">#REF!</definedName>
    <definedName name="XDO_?LGLACT_NAME?" localSheetId="73">#REF!</definedName>
    <definedName name="XDO_?LGLACT_NAME?" localSheetId="62">#REF!</definedName>
    <definedName name="XDO_?LGLACT_NAME?" localSheetId="64">#REF!</definedName>
    <definedName name="XDO_?LGLACT_NAME?" localSheetId="58">#REF!</definedName>
    <definedName name="XDO_?LGLACT_NAME?" localSheetId="49">#REF!</definedName>
    <definedName name="XDO_?LGLACT_NAME?" localSheetId="50">#REF!</definedName>
    <definedName name="XDO_?LGLACT_NAME?" localSheetId="22">#REF!</definedName>
    <definedName name="XDO_?LGLACT_NAME?" localSheetId="54">#REF!</definedName>
    <definedName name="XDO_?LGLACT_NAME?" localSheetId="52">#REF!</definedName>
    <definedName name="XDO_?LGLACT_NAME?" localSheetId="53">#REF!</definedName>
    <definedName name="XDO_?LGLACT_NAME?" localSheetId="5">#REF!</definedName>
    <definedName name="XDO_?LGLACT_NAME?" localSheetId="6">#REF!</definedName>
    <definedName name="XDO_?LGLACT_NAME?" localSheetId="7">#REF!</definedName>
    <definedName name="XDO_?LGLACT_NAME?" localSheetId="23">#REF!</definedName>
    <definedName name="XDO_?LGLACT_NAME?" localSheetId="24">#REF!</definedName>
    <definedName name="XDO_?LGLACT_NAME?" localSheetId="33">#REF!</definedName>
    <definedName name="XDO_?LGLACT_NAME?" localSheetId="47">#REF!</definedName>
    <definedName name="XDO_?LGLACT_NAME?" localSheetId="48">#REF!</definedName>
    <definedName name="XDO_?LGLACT_NAME?">#REF!</definedName>
    <definedName name="XDO_?NAME_1?" localSheetId="55">#REF!</definedName>
    <definedName name="XDO_?NAME_1?" localSheetId="56">#REF!</definedName>
    <definedName name="XDO_?NAME_1?" localSheetId="57">#REF!</definedName>
    <definedName name="XDO_?NAME_1?" localSheetId="81">#REF!</definedName>
    <definedName name="XDO_?NAME_1?" localSheetId="82">#REF!</definedName>
    <definedName name="XDO_?NAME_1?" localSheetId="31">#REF!</definedName>
    <definedName name="XDO_?NAME_1?" localSheetId="44">#REF!</definedName>
    <definedName name="XDO_?NAME_1?" localSheetId="26">#REF!</definedName>
    <definedName name="XDO_?NAME_1?" localSheetId="27">#REF!</definedName>
    <definedName name="XDO_?NAME_1?" localSheetId="43">#REF!</definedName>
    <definedName name="XDO_?NAME_1?" localSheetId="73">#REF!</definedName>
    <definedName name="XDO_?NAME_1?" localSheetId="62">#REF!</definedName>
    <definedName name="XDO_?NAME_1?" localSheetId="64">#REF!</definedName>
    <definedName name="XDO_?NAME_1?" localSheetId="58">#REF!</definedName>
    <definedName name="XDO_?NAME_1?" localSheetId="49">#REF!</definedName>
    <definedName name="XDO_?NAME_1?" localSheetId="50">#REF!</definedName>
    <definedName name="XDO_?NAME_1?" localSheetId="22">#REF!</definedName>
    <definedName name="XDO_?NAME_1?" localSheetId="54">#REF!</definedName>
    <definedName name="XDO_?NAME_1?" localSheetId="52">#REF!</definedName>
    <definedName name="XDO_?NAME_1?" localSheetId="53">#REF!</definedName>
    <definedName name="XDO_?NAME_1?" localSheetId="5">#REF!</definedName>
    <definedName name="XDO_?NAME_1?" localSheetId="6">#REF!</definedName>
    <definedName name="XDO_?NAME_1?" localSheetId="7">#REF!</definedName>
    <definedName name="XDO_?NAME_1?" localSheetId="23">#REF!</definedName>
    <definedName name="XDO_?NAME_1?" localSheetId="24">#REF!</definedName>
    <definedName name="XDO_?NAME_1?" localSheetId="33">#REF!</definedName>
    <definedName name="XDO_?NAME_1?" localSheetId="47">#REF!</definedName>
    <definedName name="XDO_?NAME_1?" localSheetId="48">#REF!</definedName>
    <definedName name="XDO_?NAME_1?">#REF!</definedName>
    <definedName name="XDO_?NAME_2?" localSheetId="55">#REF!</definedName>
    <definedName name="XDO_?NAME_2?" localSheetId="56">#REF!</definedName>
    <definedName name="XDO_?NAME_2?" localSheetId="57">#REF!</definedName>
    <definedName name="XDO_?NAME_2?" localSheetId="81">#REF!</definedName>
    <definedName name="XDO_?NAME_2?" localSheetId="82">#REF!</definedName>
    <definedName name="XDO_?NAME_2?" localSheetId="31">#REF!</definedName>
    <definedName name="XDO_?NAME_2?" localSheetId="44">#REF!</definedName>
    <definedName name="XDO_?NAME_2?" localSheetId="26">#REF!</definedName>
    <definedName name="XDO_?NAME_2?" localSheetId="27">#REF!</definedName>
    <definedName name="XDO_?NAME_2?" localSheetId="43">#REF!</definedName>
    <definedName name="XDO_?NAME_2?" localSheetId="73">#REF!</definedName>
    <definedName name="XDO_?NAME_2?" localSheetId="62">#REF!</definedName>
    <definedName name="XDO_?NAME_2?" localSheetId="64">#REF!</definedName>
    <definedName name="XDO_?NAME_2?" localSheetId="58">#REF!</definedName>
    <definedName name="XDO_?NAME_2?" localSheetId="49">#REF!</definedName>
    <definedName name="XDO_?NAME_2?" localSheetId="50">#REF!</definedName>
    <definedName name="XDO_?NAME_2?" localSheetId="22">#REF!</definedName>
    <definedName name="XDO_?NAME_2?" localSheetId="54">#REF!</definedName>
    <definedName name="XDO_?NAME_2?" localSheetId="52">#REF!</definedName>
    <definedName name="XDO_?NAME_2?" localSheetId="53">#REF!</definedName>
    <definedName name="XDO_?NAME_2?" localSheetId="5">#REF!</definedName>
    <definedName name="XDO_?NAME_2?" localSheetId="6">#REF!</definedName>
    <definedName name="XDO_?NAME_2?" localSheetId="7">#REF!</definedName>
    <definedName name="XDO_?NAME_2?" localSheetId="23">#REF!</definedName>
    <definedName name="XDO_?NAME_2?" localSheetId="24">#REF!</definedName>
    <definedName name="XDO_?NAME_2?" localSheetId="33">#REF!</definedName>
    <definedName name="XDO_?NAME_2?" localSheetId="47">#REF!</definedName>
    <definedName name="XDO_?NAME_2?" localSheetId="48">#REF!</definedName>
    <definedName name="XDO_?NAME_2?">#REF!</definedName>
    <definedName name="XDO_?NAME_CODE?" localSheetId="55">#REF!</definedName>
    <definedName name="XDO_?NAME_CODE?" localSheetId="56">#REF!</definedName>
    <definedName name="XDO_?NAME_CODE?" localSheetId="57">#REF!</definedName>
    <definedName name="XDO_?NAME_CODE?" localSheetId="81">#REF!</definedName>
    <definedName name="XDO_?NAME_CODE?" localSheetId="82">#REF!</definedName>
    <definedName name="XDO_?NAME_CODE?" localSheetId="31">#REF!</definedName>
    <definedName name="XDO_?NAME_CODE?" localSheetId="44">#REF!</definedName>
    <definedName name="XDO_?NAME_CODE?" localSheetId="26">#REF!</definedName>
    <definedName name="XDO_?NAME_CODE?" localSheetId="27">#REF!</definedName>
    <definedName name="XDO_?NAME_CODE?" localSheetId="43">#REF!</definedName>
    <definedName name="XDO_?NAME_CODE?" localSheetId="73">#REF!</definedName>
    <definedName name="XDO_?NAME_CODE?" localSheetId="62">#REF!</definedName>
    <definedName name="XDO_?NAME_CODE?" localSheetId="64">#REF!</definedName>
    <definedName name="XDO_?NAME_CODE?" localSheetId="58">#REF!</definedName>
    <definedName name="XDO_?NAME_CODE?" localSheetId="49">#REF!</definedName>
    <definedName name="XDO_?NAME_CODE?" localSheetId="50">#REF!</definedName>
    <definedName name="XDO_?NAME_CODE?" localSheetId="22">#REF!</definedName>
    <definedName name="XDO_?NAME_CODE?" localSheetId="54">#REF!</definedName>
    <definedName name="XDO_?NAME_CODE?" localSheetId="52">#REF!</definedName>
    <definedName name="XDO_?NAME_CODE?" localSheetId="53">#REF!</definedName>
    <definedName name="XDO_?NAME_CODE?" localSheetId="5">#REF!</definedName>
    <definedName name="XDO_?NAME_CODE?" localSheetId="6">#REF!</definedName>
    <definedName name="XDO_?NAME_CODE?" localSheetId="7">#REF!</definedName>
    <definedName name="XDO_?NAME_CODE?" localSheetId="23">#REF!</definedName>
    <definedName name="XDO_?NAME_CODE?" localSheetId="24">#REF!</definedName>
    <definedName name="XDO_?NAME_CODE?" localSheetId="33">#REF!</definedName>
    <definedName name="XDO_?NAME_CODE?" localSheetId="47">#REF!</definedName>
    <definedName name="XDO_?NAME_CODE?" localSheetId="48">#REF!</definedName>
    <definedName name="XDO_?NAME_CODE?">#REF!</definedName>
    <definedName name="XDO_?NAME_NAME?" localSheetId="55">#REF!</definedName>
    <definedName name="XDO_?NAME_NAME?" localSheetId="56">#REF!</definedName>
    <definedName name="XDO_?NAME_NAME?" localSheetId="57">#REF!</definedName>
    <definedName name="XDO_?NAME_NAME?" localSheetId="81">#REF!</definedName>
    <definedName name="XDO_?NAME_NAME?" localSheetId="82">#REF!</definedName>
    <definedName name="XDO_?NAME_NAME?" localSheetId="31">#REF!</definedName>
    <definedName name="XDO_?NAME_NAME?" localSheetId="44">#REF!</definedName>
    <definedName name="XDO_?NAME_NAME?" localSheetId="26">#REF!</definedName>
    <definedName name="XDO_?NAME_NAME?" localSheetId="27">#REF!</definedName>
    <definedName name="XDO_?NAME_NAME?" localSheetId="43">#REF!</definedName>
    <definedName name="XDO_?NAME_NAME?" localSheetId="73">#REF!</definedName>
    <definedName name="XDO_?NAME_NAME?" localSheetId="62">#REF!</definedName>
    <definedName name="XDO_?NAME_NAME?" localSheetId="64">#REF!</definedName>
    <definedName name="XDO_?NAME_NAME?" localSheetId="58">#REF!</definedName>
    <definedName name="XDO_?NAME_NAME?" localSheetId="49">#REF!</definedName>
    <definedName name="XDO_?NAME_NAME?" localSheetId="50">#REF!</definedName>
    <definedName name="XDO_?NAME_NAME?" localSheetId="22">#REF!</definedName>
    <definedName name="XDO_?NAME_NAME?" localSheetId="54">#REF!</definedName>
    <definedName name="XDO_?NAME_NAME?" localSheetId="52">#REF!</definedName>
    <definedName name="XDO_?NAME_NAME?" localSheetId="53">#REF!</definedName>
    <definedName name="XDO_?NAME_NAME?" localSheetId="5">#REF!</definedName>
    <definedName name="XDO_?NAME_NAME?" localSheetId="6">#REF!</definedName>
    <definedName name="XDO_?NAME_NAME?" localSheetId="7">#REF!</definedName>
    <definedName name="XDO_?NAME_NAME?" localSheetId="23">#REF!</definedName>
    <definedName name="XDO_?NAME_NAME?" localSheetId="24">#REF!</definedName>
    <definedName name="XDO_?NAME_NAME?" localSheetId="33">#REF!</definedName>
    <definedName name="XDO_?NAME_NAME?" localSheetId="47">#REF!</definedName>
    <definedName name="XDO_?NAME_NAME?" localSheetId="48">#REF!</definedName>
    <definedName name="XDO_?NAME_NAME?">#REF!</definedName>
    <definedName name="XDO_?NCSRLYBELONG210FL?" localSheetId="55">#REF!</definedName>
    <definedName name="XDO_?NCSRLYBELONG210FL?" localSheetId="56">#REF!</definedName>
    <definedName name="XDO_?NCSRLYBELONG210FL?" localSheetId="57">#REF!</definedName>
    <definedName name="XDO_?NCSRLYBELONG210FL?" localSheetId="81">#REF!</definedName>
    <definedName name="XDO_?NCSRLYBELONG210FL?" localSheetId="82">#REF!</definedName>
    <definedName name="XDO_?NCSRLYBELONG210FL?" localSheetId="31">#REF!</definedName>
    <definedName name="XDO_?NCSRLYBELONG210FL?" localSheetId="44">#REF!</definedName>
    <definedName name="XDO_?NCSRLYBELONG210FL?" localSheetId="26">#REF!</definedName>
    <definedName name="XDO_?NCSRLYBELONG210FL?" localSheetId="27">#REF!</definedName>
    <definedName name="XDO_?NCSRLYBELONG210FL?" localSheetId="43">#REF!</definedName>
    <definedName name="XDO_?NCSRLYBELONG210FL?" localSheetId="73">#REF!</definedName>
    <definedName name="XDO_?NCSRLYBELONG210FL?" localSheetId="62">#REF!</definedName>
    <definedName name="XDO_?NCSRLYBELONG210FL?" localSheetId="64">#REF!</definedName>
    <definedName name="XDO_?NCSRLYBELONG210FL?" localSheetId="58">#REF!</definedName>
    <definedName name="XDO_?NCSRLYBELONG210FL?" localSheetId="49">#REF!</definedName>
    <definedName name="XDO_?NCSRLYBELONG210FL?" localSheetId="50">#REF!</definedName>
    <definedName name="XDO_?NCSRLYBELONG210FL?" localSheetId="22">#REF!</definedName>
    <definedName name="XDO_?NCSRLYBELONG210FL?" localSheetId="54">#REF!</definedName>
    <definedName name="XDO_?NCSRLYBELONG210FL?" localSheetId="52">#REF!</definedName>
    <definedName name="XDO_?NCSRLYBELONG210FL?" localSheetId="53">#REF!</definedName>
    <definedName name="XDO_?NCSRLYBELONG210FL?" localSheetId="5">#REF!</definedName>
    <definedName name="XDO_?NCSRLYBELONG210FL?" localSheetId="6">#REF!</definedName>
    <definedName name="XDO_?NCSRLYBELONG210FL?" localSheetId="7">#REF!</definedName>
    <definedName name="XDO_?NCSRLYBELONG210FL?" localSheetId="23">#REF!</definedName>
    <definedName name="XDO_?NCSRLYBELONG210FL?" localSheetId="24">#REF!</definedName>
    <definedName name="XDO_?NCSRLYBELONG210FL?" localSheetId="33">#REF!</definedName>
    <definedName name="XDO_?NCSRLYBELONG210FL?" localSheetId="47">#REF!</definedName>
    <definedName name="XDO_?NCSRLYBELONG210FL?" localSheetId="48">#REF!</definedName>
    <definedName name="XDO_?NCSRLYBELONG210FL?">#REF!</definedName>
    <definedName name="XDO_?NPA_DESCRIPTIONS?" localSheetId="55">#REF!</definedName>
    <definedName name="XDO_?NPA_DESCRIPTIONS?" localSheetId="56">#REF!</definedName>
    <definedName name="XDO_?NPA_DESCRIPTIONS?" localSheetId="57">#REF!</definedName>
    <definedName name="XDO_?NPA_DESCRIPTIONS?" localSheetId="81">#REF!</definedName>
    <definedName name="XDO_?NPA_DESCRIPTIONS?" localSheetId="82">#REF!</definedName>
    <definedName name="XDO_?NPA_DESCRIPTIONS?" localSheetId="31">#REF!</definedName>
    <definedName name="XDO_?NPA_DESCRIPTIONS?" localSheetId="44">#REF!</definedName>
    <definedName name="XDO_?NPA_DESCRIPTIONS?" localSheetId="26">#REF!</definedName>
    <definedName name="XDO_?NPA_DESCRIPTIONS?" localSheetId="27">#REF!</definedName>
    <definedName name="XDO_?NPA_DESCRIPTIONS?" localSheetId="43">#REF!</definedName>
    <definedName name="XDO_?NPA_DESCRIPTIONS?" localSheetId="73">#REF!</definedName>
    <definedName name="XDO_?NPA_DESCRIPTIONS?" localSheetId="62">#REF!</definedName>
    <definedName name="XDO_?NPA_DESCRIPTIONS?" localSheetId="64">#REF!</definedName>
    <definedName name="XDO_?NPA_DESCRIPTIONS?" localSheetId="58">#REF!</definedName>
    <definedName name="XDO_?NPA_DESCRIPTIONS?" localSheetId="49">#REF!</definedName>
    <definedName name="XDO_?NPA_DESCRIPTIONS?" localSheetId="50">#REF!</definedName>
    <definedName name="XDO_?NPA_DESCRIPTIONS?" localSheetId="22">#REF!</definedName>
    <definedName name="XDO_?NPA_DESCRIPTIONS?" localSheetId="54">#REF!</definedName>
    <definedName name="XDO_?NPA_DESCRIPTIONS?" localSheetId="52">#REF!</definedName>
    <definedName name="XDO_?NPA_DESCRIPTIONS?" localSheetId="53">#REF!</definedName>
    <definedName name="XDO_?NPA_DESCRIPTIONS?" localSheetId="5">#REF!</definedName>
    <definedName name="XDO_?NPA_DESCRIPTIONS?" localSheetId="6">#REF!</definedName>
    <definedName name="XDO_?NPA_DESCRIPTIONS?" localSheetId="7">#REF!</definedName>
    <definedName name="XDO_?NPA_DESCRIPTIONS?" localSheetId="23">#REF!</definedName>
    <definedName name="XDO_?NPA_DESCRIPTIONS?" localSheetId="24">#REF!</definedName>
    <definedName name="XDO_?NPA_DESCRIPTIONS?" localSheetId="33">#REF!</definedName>
    <definedName name="XDO_?NPA_DESCRIPTIONS?" localSheetId="47">#REF!</definedName>
    <definedName name="XDO_?NPA_DESCRIPTIONS?" localSheetId="48">#REF!</definedName>
    <definedName name="XDO_?NPA_DESCRIPTIONS?">#REF!</definedName>
    <definedName name="XDO_?PBL_NAMES?" localSheetId="55">#REF!</definedName>
    <definedName name="XDO_?PBL_NAMES?" localSheetId="56">#REF!</definedName>
    <definedName name="XDO_?PBL_NAMES?" localSheetId="57">#REF!</definedName>
    <definedName name="XDO_?PBL_NAMES?" localSheetId="81">#REF!</definedName>
    <definedName name="XDO_?PBL_NAMES?" localSheetId="82">#REF!</definedName>
    <definedName name="XDO_?PBL_NAMES?" localSheetId="31">#REF!</definedName>
    <definedName name="XDO_?PBL_NAMES?" localSheetId="44">#REF!</definedName>
    <definedName name="XDO_?PBL_NAMES?" localSheetId="26">#REF!</definedName>
    <definedName name="XDO_?PBL_NAMES?" localSheetId="27">#REF!</definedName>
    <definedName name="XDO_?PBL_NAMES?" localSheetId="43">#REF!</definedName>
    <definedName name="XDO_?PBL_NAMES?" localSheetId="73">#REF!</definedName>
    <definedName name="XDO_?PBL_NAMES?" localSheetId="62">#REF!</definedName>
    <definedName name="XDO_?PBL_NAMES?" localSheetId="64">#REF!</definedName>
    <definedName name="XDO_?PBL_NAMES?" localSheetId="58">#REF!</definedName>
    <definedName name="XDO_?PBL_NAMES?" localSheetId="49">#REF!</definedName>
    <definedName name="XDO_?PBL_NAMES?" localSheetId="50">#REF!</definedName>
    <definedName name="XDO_?PBL_NAMES?" localSheetId="22">#REF!</definedName>
    <definedName name="XDO_?PBL_NAMES?" localSheetId="54">#REF!</definedName>
    <definedName name="XDO_?PBL_NAMES?" localSheetId="52">#REF!</definedName>
    <definedName name="XDO_?PBL_NAMES?" localSheetId="53">#REF!</definedName>
    <definedName name="XDO_?PBL_NAMES?" localSheetId="5">#REF!</definedName>
    <definedName name="XDO_?PBL_NAMES?" localSheetId="6">#REF!</definedName>
    <definedName name="XDO_?PBL_NAMES?" localSheetId="7">#REF!</definedName>
    <definedName name="XDO_?PBL_NAMES?" localSheetId="23">#REF!</definedName>
    <definedName name="XDO_?PBL_NAMES?" localSheetId="24">#REF!</definedName>
    <definedName name="XDO_?PBL_NAMES?" localSheetId="33">#REF!</definedName>
    <definedName name="XDO_?PBL_NAMES?" localSheetId="47">#REF!</definedName>
    <definedName name="XDO_?PBL_NAMES?" localSheetId="48">#REF!</definedName>
    <definedName name="XDO_?PBL_NAMES?">#REF!</definedName>
    <definedName name="XDO_?QI_NAME?" localSheetId="55">#REF!</definedName>
    <definedName name="XDO_?QI_NAME?" localSheetId="56">#REF!</definedName>
    <definedName name="XDO_?QI_NAME?" localSheetId="57">#REF!</definedName>
    <definedName name="XDO_?QI_NAME?" localSheetId="81">#REF!</definedName>
    <definedName name="XDO_?QI_NAME?" localSheetId="82">#REF!</definedName>
    <definedName name="XDO_?QI_NAME?" localSheetId="31">#REF!</definedName>
    <definedName name="XDO_?QI_NAME?" localSheetId="44">#REF!</definedName>
    <definedName name="XDO_?QI_NAME?" localSheetId="26">#REF!</definedName>
    <definedName name="XDO_?QI_NAME?" localSheetId="27">#REF!</definedName>
    <definedName name="XDO_?QI_NAME?" localSheetId="43">#REF!</definedName>
    <definedName name="XDO_?QI_NAME?" localSheetId="73">#REF!</definedName>
    <definedName name="XDO_?QI_NAME?" localSheetId="62">#REF!</definedName>
    <definedName name="XDO_?QI_NAME?" localSheetId="64">#REF!</definedName>
    <definedName name="XDO_?QI_NAME?" localSheetId="58">#REF!</definedName>
    <definedName name="XDO_?QI_NAME?" localSheetId="49">#REF!</definedName>
    <definedName name="XDO_?QI_NAME?" localSheetId="50">#REF!</definedName>
    <definedName name="XDO_?QI_NAME?" localSheetId="22">#REF!</definedName>
    <definedName name="XDO_?QI_NAME?" localSheetId="54">#REF!</definedName>
    <definedName name="XDO_?QI_NAME?" localSheetId="52">#REF!</definedName>
    <definedName name="XDO_?QI_NAME?" localSheetId="53">#REF!</definedName>
    <definedName name="XDO_?QI_NAME?" localSheetId="5">#REF!</definedName>
    <definedName name="XDO_?QI_NAME?" localSheetId="6">#REF!</definedName>
    <definedName name="XDO_?QI_NAME?" localSheetId="7">#REF!</definedName>
    <definedName name="XDO_?QI_NAME?" localSheetId="23">#REF!</definedName>
    <definedName name="XDO_?QI_NAME?" localSheetId="24">#REF!</definedName>
    <definedName name="XDO_?QI_NAME?" localSheetId="33">#REF!</definedName>
    <definedName name="XDO_?QI_NAME?" localSheetId="47">#REF!</definedName>
    <definedName name="XDO_?QI_NAME?" localSheetId="48">#REF!</definedName>
    <definedName name="XDO_?QI_NAME?">#REF!</definedName>
    <definedName name="XDO_?RCA_CODE?" localSheetId="55">#REF!</definedName>
    <definedName name="XDO_?RCA_CODE?" localSheetId="56">#REF!</definedName>
    <definedName name="XDO_?RCA_CODE?" localSheetId="57">#REF!</definedName>
    <definedName name="XDO_?RCA_CODE?" localSheetId="81">#REF!</definedName>
    <definedName name="XDO_?RCA_CODE?" localSheetId="82">#REF!</definedName>
    <definedName name="XDO_?RCA_CODE?" localSheetId="31">#REF!</definedName>
    <definedName name="XDO_?RCA_CODE?" localSheetId="44">#REF!</definedName>
    <definedName name="XDO_?RCA_CODE?" localSheetId="26">#REF!</definedName>
    <definedName name="XDO_?RCA_CODE?" localSheetId="27">#REF!</definedName>
    <definedName name="XDO_?RCA_CODE?" localSheetId="43">#REF!</definedName>
    <definedName name="XDO_?RCA_CODE?" localSheetId="73">#REF!</definedName>
    <definedName name="XDO_?RCA_CODE?" localSheetId="62">#REF!</definedName>
    <definedName name="XDO_?RCA_CODE?" localSheetId="64">#REF!</definedName>
    <definedName name="XDO_?RCA_CODE?" localSheetId="58">#REF!</definedName>
    <definedName name="XDO_?RCA_CODE?" localSheetId="49">#REF!</definedName>
    <definedName name="XDO_?RCA_CODE?" localSheetId="50">#REF!</definedName>
    <definedName name="XDO_?RCA_CODE?" localSheetId="22">#REF!</definedName>
    <definedName name="XDO_?RCA_CODE?" localSheetId="54">#REF!</definedName>
    <definedName name="XDO_?RCA_CODE?" localSheetId="52">#REF!</definedName>
    <definedName name="XDO_?RCA_CODE?" localSheetId="53">#REF!</definedName>
    <definedName name="XDO_?RCA_CODE?" localSheetId="5">#REF!</definedName>
    <definedName name="XDO_?RCA_CODE?" localSheetId="6">#REF!</definedName>
    <definedName name="XDO_?RCA_CODE?" localSheetId="7">#REF!</definedName>
    <definedName name="XDO_?RCA_CODE?" localSheetId="23">#REF!</definedName>
    <definedName name="XDO_?RCA_CODE?" localSheetId="24">#REF!</definedName>
    <definedName name="XDO_?RCA_CODE?" localSheetId="33">#REF!</definedName>
    <definedName name="XDO_?RCA_CODE?" localSheetId="47">#REF!</definedName>
    <definedName name="XDO_?RCA_CODE?" localSheetId="48">#REF!</definedName>
    <definedName name="XDO_?RCA_CODE?">#REF!</definedName>
    <definedName name="XDO_?REGRNUMBER?" localSheetId="55">#REF!</definedName>
    <definedName name="XDO_?REGRNUMBER?" localSheetId="56">#REF!</definedName>
    <definedName name="XDO_?REGRNUMBER?" localSheetId="57">#REF!</definedName>
    <definedName name="XDO_?REGRNUMBER?" localSheetId="81">#REF!</definedName>
    <definedName name="XDO_?REGRNUMBER?" localSheetId="82">#REF!</definedName>
    <definedName name="XDO_?REGRNUMBER?" localSheetId="31">#REF!</definedName>
    <definedName name="XDO_?REGRNUMBER?" localSheetId="44">#REF!</definedName>
    <definedName name="XDO_?REGRNUMBER?" localSheetId="26">#REF!</definedName>
    <definedName name="XDO_?REGRNUMBER?" localSheetId="27">#REF!</definedName>
    <definedName name="XDO_?REGRNUMBER?" localSheetId="43">#REF!</definedName>
    <definedName name="XDO_?REGRNUMBER?" localSheetId="73">#REF!</definedName>
    <definedName name="XDO_?REGRNUMBER?" localSheetId="62">#REF!</definedName>
    <definedName name="XDO_?REGRNUMBER?" localSheetId="64">#REF!</definedName>
    <definedName name="XDO_?REGRNUMBER?" localSheetId="58">#REF!</definedName>
    <definedName name="XDO_?REGRNUMBER?" localSheetId="49">#REF!</definedName>
    <definedName name="XDO_?REGRNUMBER?" localSheetId="50">#REF!</definedName>
    <definedName name="XDO_?REGRNUMBER?" localSheetId="22">#REF!</definedName>
    <definedName name="XDO_?REGRNUMBER?" localSheetId="54">#REF!</definedName>
    <definedName name="XDO_?REGRNUMBER?" localSheetId="52">#REF!</definedName>
    <definedName name="XDO_?REGRNUMBER?" localSheetId="53">#REF!</definedName>
    <definedName name="XDO_?REGRNUMBER?" localSheetId="5">#REF!</definedName>
    <definedName name="XDO_?REGRNUMBER?" localSheetId="6">#REF!</definedName>
    <definedName name="XDO_?REGRNUMBER?" localSheetId="7">#REF!</definedName>
    <definedName name="XDO_?REGRNUMBER?" localSheetId="23">#REF!</definedName>
    <definedName name="XDO_?REGRNUMBER?" localSheetId="24">#REF!</definedName>
    <definedName name="XDO_?REGRNUMBER?" localSheetId="33">#REF!</definedName>
    <definedName name="XDO_?REGRNUMBER?" localSheetId="47">#REF!</definedName>
    <definedName name="XDO_?REGRNUMBER?" localSheetId="48">#REF!</definedName>
    <definedName name="XDO_?REGRNUMBER?">#REF!</definedName>
    <definedName name="XDO_?ROWNUMBER?" localSheetId="55">#REF!</definedName>
    <definedName name="XDO_?ROWNUMBER?" localSheetId="56">#REF!</definedName>
    <definedName name="XDO_?ROWNUMBER?" localSheetId="57">#REF!</definedName>
    <definedName name="XDO_?ROWNUMBER?" localSheetId="81">#REF!</definedName>
    <definedName name="XDO_?ROWNUMBER?" localSheetId="82">#REF!</definedName>
    <definedName name="XDO_?ROWNUMBER?" localSheetId="31">#REF!</definedName>
    <definedName name="XDO_?ROWNUMBER?" localSheetId="44">#REF!</definedName>
    <definedName name="XDO_?ROWNUMBER?" localSheetId="26">#REF!</definedName>
    <definedName name="XDO_?ROWNUMBER?" localSheetId="27">#REF!</definedName>
    <definedName name="XDO_?ROWNUMBER?" localSheetId="43">#REF!</definedName>
    <definedName name="XDO_?ROWNUMBER?" localSheetId="73">#REF!</definedName>
    <definedName name="XDO_?ROWNUMBER?" localSheetId="62">#REF!</definedName>
    <definedName name="XDO_?ROWNUMBER?" localSheetId="64">#REF!</definedName>
    <definedName name="XDO_?ROWNUMBER?" localSheetId="58">#REF!</definedName>
    <definedName name="XDO_?ROWNUMBER?" localSheetId="49">#REF!</definedName>
    <definedName name="XDO_?ROWNUMBER?" localSheetId="50">#REF!</definedName>
    <definedName name="XDO_?ROWNUMBER?" localSheetId="22">#REF!</definedName>
    <definedName name="XDO_?ROWNUMBER?" localSheetId="54">#REF!</definedName>
    <definedName name="XDO_?ROWNUMBER?" localSheetId="52">#REF!</definedName>
    <definedName name="XDO_?ROWNUMBER?" localSheetId="53">#REF!</definedName>
    <definedName name="XDO_?ROWNUMBER?" localSheetId="5">#REF!</definedName>
    <definedName name="XDO_?ROWNUMBER?" localSheetId="6">#REF!</definedName>
    <definedName name="XDO_?ROWNUMBER?" localSheetId="7">#REF!</definedName>
    <definedName name="XDO_?ROWNUMBER?" localSheetId="23">#REF!</definedName>
    <definedName name="XDO_?ROWNUMBER?" localSheetId="24">#REF!</definedName>
    <definedName name="XDO_?ROWNUMBER?" localSheetId="33">#REF!</definedName>
    <definedName name="XDO_?ROWNUMBER?" localSheetId="47">#REF!</definedName>
    <definedName name="XDO_?ROWNUMBER?" localSheetId="48">#REF!</definedName>
    <definedName name="XDO_?ROWNUMBER?">#REF!</definedName>
    <definedName name="XDO_?RUCLSPRECACS_CODE?" localSheetId="55">#REF!</definedName>
    <definedName name="XDO_?RUCLSPRECACS_CODE?" localSheetId="56">#REF!</definedName>
    <definedName name="XDO_?RUCLSPRECACS_CODE?" localSheetId="57">#REF!</definedName>
    <definedName name="XDO_?RUCLSPRECACS_CODE?" localSheetId="81">#REF!</definedName>
    <definedName name="XDO_?RUCLSPRECACS_CODE?" localSheetId="82">#REF!</definedName>
    <definedName name="XDO_?RUCLSPRECACS_CODE?" localSheetId="31">#REF!</definedName>
    <definedName name="XDO_?RUCLSPRECACS_CODE?" localSheetId="44">#REF!</definedName>
    <definedName name="XDO_?RUCLSPRECACS_CODE?" localSheetId="26">#REF!</definedName>
    <definedName name="XDO_?RUCLSPRECACS_CODE?" localSheetId="27">#REF!</definedName>
    <definedName name="XDO_?RUCLSPRECACS_CODE?" localSheetId="43">#REF!</definedName>
    <definedName name="XDO_?RUCLSPRECACS_CODE?" localSheetId="73">#REF!</definedName>
    <definedName name="XDO_?RUCLSPRECACS_CODE?" localSheetId="62">#REF!</definedName>
    <definedName name="XDO_?RUCLSPRECACS_CODE?" localSheetId="64">#REF!</definedName>
    <definedName name="XDO_?RUCLSPRECACS_CODE?" localSheetId="58">#REF!</definedName>
    <definedName name="XDO_?RUCLSPRECACS_CODE?" localSheetId="49">#REF!</definedName>
    <definedName name="XDO_?RUCLSPRECACS_CODE?" localSheetId="50">#REF!</definedName>
    <definedName name="XDO_?RUCLSPRECACS_CODE?" localSheetId="22">#REF!</definedName>
    <definedName name="XDO_?RUCLSPRECACS_CODE?" localSheetId="54">#REF!</definedName>
    <definedName name="XDO_?RUCLSPRECACS_CODE?" localSheetId="52">#REF!</definedName>
    <definedName name="XDO_?RUCLSPRECACS_CODE?" localSheetId="53">#REF!</definedName>
    <definedName name="XDO_?RUCLSPRECACS_CODE?" localSheetId="5">#REF!</definedName>
    <definedName name="XDO_?RUCLSPRECACS_CODE?" localSheetId="6">#REF!</definedName>
    <definedName name="XDO_?RUCLSPRECACS_CODE?" localSheetId="7">#REF!</definedName>
    <definedName name="XDO_?RUCLSPRECACS_CODE?" localSheetId="23">#REF!</definedName>
    <definedName name="XDO_?RUCLSPRECACS_CODE?" localSheetId="24">#REF!</definedName>
    <definedName name="XDO_?RUCLSPRECACS_CODE?" localSheetId="33">#REF!</definedName>
    <definedName name="XDO_?RUCLSPRECACS_CODE?" localSheetId="47">#REF!</definedName>
    <definedName name="XDO_?RUCLSPRECACS_CODE?" localSheetId="48">#REF!</definedName>
    <definedName name="XDO_?RUCLSPRECACS_CODE?">#REF!</definedName>
    <definedName name="XDO_?SC_NAME_1?" localSheetId="55">#REF!</definedName>
    <definedName name="XDO_?SC_NAME_1?" localSheetId="56">#REF!</definedName>
    <definedName name="XDO_?SC_NAME_1?" localSheetId="57">#REF!</definedName>
    <definedName name="XDO_?SC_NAME_1?" localSheetId="81">#REF!</definedName>
    <definedName name="XDO_?SC_NAME_1?" localSheetId="82">#REF!</definedName>
    <definedName name="XDO_?SC_NAME_1?" localSheetId="31">#REF!</definedName>
    <definedName name="XDO_?SC_NAME_1?" localSheetId="44">#REF!</definedName>
    <definedName name="XDO_?SC_NAME_1?" localSheetId="26">#REF!</definedName>
    <definedName name="XDO_?SC_NAME_1?" localSheetId="27">#REF!</definedName>
    <definedName name="XDO_?SC_NAME_1?" localSheetId="43">#REF!</definedName>
    <definedName name="XDO_?SC_NAME_1?" localSheetId="73">#REF!</definedName>
    <definedName name="XDO_?SC_NAME_1?" localSheetId="62">#REF!</definedName>
    <definedName name="XDO_?SC_NAME_1?" localSheetId="64">#REF!</definedName>
    <definedName name="XDO_?SC_NAME_1?" localSheetId="58">#REF!</definedName>
    <definedName name="XDO_?SC_NAME_1?" localSheetId="49">#REF!</definedName>
    <definedName name="XDO_?SC_NAME_1?" localSheetId="50">#REF!</definedName>
    <definedName name="XDO_?SC_NAME_1?" localSheetId="22">#REF!</definedName>
    <definedName name="XDO_?SC_NAME_1?" localSheetId="54">#REF!</definedName>
    <definedName name="XDO_?SC_NAME_1?" localSheetId="52">#REF!</definedName>
    <definedName name="XDO_?SC_NAME_1?" localSheetId="53">#REF!</definedName>
    <definedName name="XDO_?SC_NAME_1?" localSheetId="5">#REF!</definedName>
    <definedName name="XDO_?SC_NAME_1?" localSheetId="6">#REF!</definedName>
    <definedName name="XDO_?SC_NAME_1?" localSheetId="7">#REF!</definedName>
    <definedName name="XDO_?SC_NAME_1?" localSheetId="23">#REF!</definedName>
    <definedName name="XDO_?SC_NAME_1?" localSheetId="24">#REF!</definedName>
    <definedName name="XDO_?SC_NAME_1?" localSheetId="33">#REF!</definedName>
    <definedName name="XDO_?SC_NAME_1?" localSheetId="47">#REF!</definedName>
    <definedName name="XDO_?SC_NAME_1?" localSheetId="48">#REF!</definedName>
    <definedName name="XDO_?SC_NAME_1?">#REF!</definedName>
    <definedName name="XDO_?SC_NAME_2?" localSheetId="55">#REF!</definedName>
    <definedName name="XDO_?SC_NAME_2?" localSheetId="56">#REF!</definedName>
    <definedName name="XDO_?SC_NAME_2?" localSheetId="57">#REF!</definedName>
    <definedName name="XDO_?SC_NAME_2?" localSheetId="81">#REF!</definedName>
    <definedName name="XDO_?SC_NAME_2?" localSheetId="82">#REF!</definedName>
    <definedName name="XDO_?SC_NAME_2?" localSheetId="31">#REF!</definedName>
    <definedName name="XDO_?SC_NAME_2?" localSheetId="44">#REF!</definedName>
    <definedName name="XDO_?SC_NAME_2?" localSheetId="26">#REF!</definedName>
    <definedName name="XDO_?SC_NAME_2?" localSheetId="27">#REF!</definedName>
    <definedName name="XDO_?SC_NAME_2?" localSheetId="43">#REF!</definedName>
    <definedName name="XDO_?SC_NAME_2?" localSheetId="73">#REF!</definedName>
    <definedName name="XDO_?SC_NAME_2?" localSheetId="62">#REF!</definedName>
    <definedName name="XDO_?SC_NAME_2?" localSheetId="64">#REF!</definedName>
    <definedName name="XDO_?SC_NAME_2?" localSheetId="58">#REF!</definedName>
    <definedName name="XDO_?SC_NAME_2?" localSheetId="49">#REF!</definedName>
    <definedName name="XDO_?SC_NAME_2?" localSheetId="50">#REF!</definedName>
    <definedName name="XDO_?SC_NAME_2?" localSheetId="22">#REF!</definedName>
    <definedName name="XDO_?SC_NAME_2?" localSheetId="54">#REF!</definedName>
    <definedName name="XDO_?SC_NAME_2?" localSheetId="52">#REF!</definedName>
    <definedName name="XDO_?SC_NAME_2?" localSheetId="53">#REF!</definedName>
    <definedName name="XDO_?SC_NAME_2?" localSheetId="5">#REF!</definedName>
    <definedName name="XDO_?SC_NAME_2?" localSheetId="6">#REF!</definedName>
    <definedName name="XDO_?SC_NAME_2?" localSheetId="7">#REF!</definedName>
    <definedName name="XDO_?SC_NAME_2?" localSheetId="23">#REF!</definedName>
    <definedName name="XDO_?SC_NAME_2?" localSheetId="24">#REF!</definedName>
    <definedName name="XDO_?SC_NAME_2?" localSheetId="33">#REF!</definedName>
    <definedName name="XDO_?SC_NAME_2?" localSheetId="47">#REF!</definedName>
    <definedName name="XDO_?SC_NAME_2?" localSheetId="48">#REF!</definedName>
    <definedName name="XDO_?SC_NAME_2?">#REF!</definedName>
    <definedName name="XDO_?SC_NAME_3?" localSheetId="55">#REF!</definedName>
    <definedName name="XDO_?SC_NAME_3?" localSheetId="56">#REF!</definedName>
    <definedName name="XDO_?SC_NAME_3?" localSheetId="57">#REF!</definedName>
    <definedName name="XDO_?SC_NAME_3?" localSheetId="81">#REF!</definedName>
    <definedName name="XDO_?SC_NAME_3?" localSheetId="82">#REF!</definedName>
    <definedName name="XDO_?SC_NAME_3?" localSheetId="31">#REF!</definedName>
    <definedName name="XDO_?SC_NAME_3?" localSheetId="44">#REF!</definedName>
    <definedName name="XDO_?SC_NAME_3?" localSheetId="26">#REF!</definedName>
    <definedName name="XDO_?SC_NAME_3?" localSheetId="27">#REF!</definedName>
    <definedName name="XDO_?SC_NAME_3?" localSheetId="43">#REF!</definedName>
    <definedName name="XDO_?SC_NAME_3?" localSheetId="73">#REF!</definedName>
    <definedName name="XDO_?SC_NAME_3?" localSheetId="62">#REF!</definedName>
    <definedName name="XDO_?SC_NAME_3?" localSheetId="64">#REF!</definedName>
    <definedName name="XDO_?SC_NAME_3?" localSheetId="58">#REF!</definedName>
    <definedName name="XDO_?SC_NAME_3?" localSheetId="49">#REF!</definedName>
    <definedName name="XDO_?SC_NAME_3?" localSheetId="50">#REF!</definedName>
    <definedName name="XDO_?SC_NAME_3?" localSheetId="22">#REF!</definedName>
    <definedName name="XDO_?SC_NAME_3?" localSheetId="54">#REF!</definedName>
    <definedName name="XDO_?SC_NAME_3?" localSheetId="52">#REF!</definedName>
    <definedName name="XDO_?SC_NAME_3?" localSheetId="53">#REF!</definedName>
    <definedName name="XDO_?SC_NAME_3?" localSheetId="5">#REF!</definedName>
    <definedName name="XDO_?SC_NAME_3?" localSheetId="6">#REF!</definedName>
    <definedName name="XDO_?SC_NAME_3?" localSheetId="7">#REF!</definedName>
    <definedName name="XDO_?SC_NAME_3?" localSheetId="23">#REF!</definedName>
    <definedName name="XDO_?SC_NAME_3?" localSheetId="24">#REF!</definedName>
    <definedName name="XDO_?SC_NAME_3?" localSheetId="33">#REF!</definedName>
    <definedName name="XDO_?SC_NAME_3?" localSheetId="47">#REF!</definedName>
    <definedName name="XDO_?SC_NAME_3?" localSheetId="48">#REF!</definedName>
    <definedName name="XDO_?SC_NAME_3?">#REF!</definedName>
    <definedName name="XDO_?SVCKIND?" localSheetId="55">#REF!</definedName>
    <definedName name="XDO_?SVCKIND?" localSheetId="56">#REF!</definedName>
    <definedName name="XDO_?SVCKIND?" localSheetId="57">#REF!</definedName>
    <definedName name="XDO_?SVCKIND?" localSheetId="81">#REF!</definedName>
    <definedName name="XDO_?SVCKIND?" localSheetId="82">#REF!</definedName>
    <definedName name="XDO_?SVCKIND?" localSheetId="31">#REF!</definedName>
    <definedName name="XDO_?SVCKIND?" localSheetId="44">#REF!</definedName>
    <definedName name="XDO_?SVCKIND?" localSheetId="26">#REF!</definedName>
    <definedName name="XDO_?SVCKIND?" localSheetId="27">#REF!</definedName>
    <definedName name="XDO_?SVCKIND?" localSheetId="43">#REF!</definedName>
    <definedName name="XDO_?SVCKIND?" localSheetId="73">#REF!</definedName>
    <definedName name="XDO_?SVCKIND?" localSheetId="62">#REF!</definedName>
    <definedName name="XDO_?SVCKIND?" localSheetId="64">#REF!</definedName>
    <definedName name="XDO_?SVCKIND?" localSheetId="58">#REF!</definedName>
    <definedName name="XDO_?SVCKIND?" localSheetId="49">#REF!</definedName>
    <definedName name="XDO_?SVCKIND?" localSheetId="50">#REF!</definedName>
    <definedName name="XDO_?SVCKIND?" localSheetId="22">#REF!</definedName>
    <definedName name="XDO_?SVCKIND?" localSheetId="54">#REF!</definedName>
    <definedName name="XDO_?SVCKIND?" localSheetId="52">#REF!</definedName>
    <definedName name="XDO_?SVCKIND?" localSheetId="53">#REF!</definedName>
    <definedName name="XDO_?SVCKIND?" localSheetId="5">#REF!</definedName>
    <definedName name="XDO_?SVCKIND?" localSheetId="6">#REF!</definedName>
    <definedName name="XDO_?SVCKIND?" localSheetId="7">#REF!</definedName>
    <definedName name="XDO_?SVCKIND?" localSheetId="23">#REF!</definedName>
    <definedName name="XDO_?SVCKIND?" localSheetId="24">#REF!</definedName>
    <definedName name="XDO_?SVCKIND?" localSheetId="33">#REF!</definedName>
    <definedName name="XDO_?SVCKIND?" localSheetId="47">#REF!</definedName>
    <definedName name="XDO_?SVCKIND?" localSheetId="48">#REF!</definedName>
    <definedName name="XDO_?SVCKIND?">#REF!</definedName>
    <definedName name="XDO_?SVCPAID?" localSheetId="55">#REF!</definedName>
    <definedName name="XDO_?SVCPAID?" localSheetId="56">#REF!</definedName>
    <definedName name="XDO_?SVCPAID?" localSheetId="57">#REF!</definedName>
    <definedName name="XDO_?SVCPAID?" localSheetId="81">#REF!</definedName>
    <definedName name="XDO_?SVCPAID?" localSheetId="82">#REF!</definedName>
    <definedName name="XDO_?SVCPAID?" localSheetId="31">#REF!</definedName>
    <definedName name="XDO_?SVCPAID?" localSheetId="44">#REF!</definedName>
    <definedName name="XDO_?SVCPAID?" localSheetId="26">#REF!</definedName>
    <definedName name="XDO_?SVCPAID?" localSheetId="27">#REF!</definedName>
    <definedName name="XDO_?SVCPAID?" localSheetId="43">#REF!</definedName>
    <definedName name="XDO_?SVCPAID?" localSheetId="73">#REF!</definedName>
    <definedName name="XDO_?SVCPAID?" localSheetId="62">#REF!</definedName>
    <definedName name="XDO_?SVCPAID?" localSheetId="64">#REF!</definedName>
    <definedName name="XDO_?SVCPAID?" localSheetId="58">#REF!</definedName>
    <definedName name="XDO_?SVCPAID?" localSheetId="49">#REF!</definedName>
    <definedName name="XDO_?SVCPAID?" localSheetId="50">#REF!</definedName>
    <definedName name="XDO_?SVCPAID?" localSheetId="22">#REF!</definedName>
    <definedName name="XDO_?SVCPAID?" localSheetId="54">#REF!</definedName>
    <definedName name="XDO_?SVCPAID?" localSheetId="52">#REF!</definedName>
    <definedName name="XDO_?SVCPAID?" localSheetId="53">#REF!</definedName>
    <definedName name="XDO_?SVCPAID?" localSheetId="5">#REF!</definedName>
    <definedName name="XDO_?SVCPAID?" localSheetId="6">#REF!</definedName>
    <definedName name="XDO_?SVCPAID?" localSheetId="7">#REF!</definedName>
    <definedName name="XDO_?SVCPAID?" localSheetId="23">#REF!</definedName>
    <definedName name="XDO_?SVCPAID?" localSheetId="24">#REF!</definedName>
    <definedName name="XDO_?SVCPAID?" localSheetId="33">#REF!</definedName>
    <definedName name="XDO_?SVCPAID?" localSheetId="47">#REF!</definedName>
    <definedName name="XDO_?SVCPAID?" localSheetId="48">#REF!</definedName>
    <definedName name="XDO_?SVCPAID?">#REF!</definedName>
    <definedName name="XDO_?VOLIND_NAME?" localSheetId="55">#REF!</definedName>
    <definedName name="XDO_?VOLIND_NAME?" localSheetId="56">#REF!</definedName>
    <definedName name="XDO_?VOLIND_NAME?" localSheetId="57">#REF!</definedName>
    <definedName name="XDO_?VOLIND_NAME?" localSheetId="81">#REF!</definedName>
    <definedName name="XDO_?VOLIND_NAME?" localSheetId="82">#REF!</definedName>
    <definedName name="XDO_?VOLIND_NAME?" localSheetId="31">#REF!</definedName>
    <definedName name="XDO_?VOLIND_NAME?" localSheetId="44">#REF!</definedName>
    <definedName name="XDO_?VOLIND_NAME?" localSheetId="26">#REF!</definedName>
    <definedName name="XDO_?VOLIND_NAME?" localSheetId="27">#REF!</definedName>
    <definedName name="XDO_?VOLIND_NAME?" localSheetId="43">#REF!</definedName>
    <definedName name="XDO_?VOLIND_NAME?" localSheetId="73">#REF!</definedName>
    <definedName name="XDO_?VOLIND_NAME?" localSheetId="62">#REF!</definedName>
    <definedName name="XDO_?VOLIND_NAME?" localSheetId="64">#REF!</definedName>
    <definedName name="XDO_?VOLIND_NAME?" localSheetId="58">#REF!</definedName>
    <definedName name="XDO_?VOLIND_NAME?" localSheetId="49">#REF!</definedName>
    <definedName name="XDO_?VOLIND_NAME?" localSheetId="50">#REF!</definedName>
    <definedName name="XDO_?VOLIND_NAME?" localSheetId="22">#REF!</definedName>
    <definedName name="XDO_?VOLIND_NAME?" localSheetId="54">#REF!</definedName>
    <definedName name="XDO_?VOLIND_NAME?" localSheetId="52">#REF!</definedName>
    <definedName name="XDO_?VOLIND_NAME?" localSheetId="53">#REF!</definedName>
    <definedName name="XDO_?VOLIND_NAME?" localSheetId="5">#REF!</definedName>
    <definedName name="XDO_?VOLIND_NAME?" localSheetId="6">#REF!</definedName>
    <definedName name="XDO_?VOLIND_NAME?" localSheetId="7">#REF!</definedName>
    <definedName name="XDO_?VOLIND_NAME?" localSheetId="23">#REF!</definedName>
    <definedName name="XDO_?VOLIND_NAME?" localSheetId="24">#REF!</definedName>
    <definedName name="XDO_?VOLIND_NAME?" localSheetId="33">#REF!</definedName>
    <definedName name="XDO_?VOLIND_NAME?" localSheetId="47">#REF!</definedName>
    <definedName name="XDO_?VOLIND_NAME?" localSheetId="48">#REF!</definedName>
    <definedName name="XDO_?VOLIND_NAME?">#REF!</definedName>
    <definedName name="XDO_GROUP_?HEADER?" localSheetId="55">#REF!</definedName>
    <definedName name="XDO_GROUP_?HEADER?" localSheetId="56">#REF!</definedName>
    <definedName name="XDO_GROUP_?HEADER?" localSheetId="57">#REF!</definedName>
    <definedName name="XDO_GROUP_?HEADER?" localSheetId="81">#REF!</definedName>
    <definedName name="XDO_GROUP_?HEADER?" localSheetId="82">#REF!</definedName>
    <definedName name="XDO_GROUP_?HEADER?" localSheetId="31">#REF!</definedName>
    <definedName name="XDO_GROUP_?HEADER?" localSheetId="44">#REF!</definedName>
    <definedName name="XDO_GROUP_?HEADER?" localSheetId="26">#REF!</definedName>
    <definedName name="XDO_GROUP_?HEADER?" localSheetId="27">#REF!</definedName>
    <definedName name="XDO_GROUP_?HEADER?" localSheetId="43">#REF!</definedName>
    <definedName name="XDO_GROUP_?HEADER?" localSheetId="73">#REF!</definedName>
    <definedName name="XDO_GROUP_?HEADER?" localSheetId="62">#REF!</definedName>
    <definedName name="XDO_GROUP_?HEADER?" localSheetId="64">#REF!</definedName>
    <definedName name="XDO_GROUP_?HEADER?" localSheetId="58">#REF!</definedName>
    <definedName name="XDO_GROUP_?HEADER?" localSheetId="49">#REF!</definedName>
    <definedName name="XDO_GROUP_?HEADER?" localSheetId="50">#REF!</definedName>
    <definedName name="XDO_GROUP_?HEADER?" localSheetId="22">#REF!</definedName>
    <definedName name="XDO_GROUP_?HEADER?" localSheetId="54">#REF!</definedName>
    <definedName name="XDO_GROUP_?HEADER?" localSheetId="52">#REF!</definedName>
    <definedName name="XDO_GROUP_?HEADER?" localSheetId="53">#REF!</definedName>
    <definedName name="XDO_GROUP_?HEADER?" localSheetId="5">#REF!</definedName>
    <definedName name="XDO_GROUP_?HEADER?" localSheetId="6">#REF!</definedName>
    <definedName name="XDO_GROUP_?HEADER?" localSheetId="7">#REF!</definedName>
    <definedName name="XDO_GROUP_?HEADER?" localSheetId="23">#REF!</definedName>
    <definedName name="XDO_GROUP_?HEADER?" localSheetId="24">#REF!</definedName>
    <definedName name="XDO_GROUP_?HEADER?" localSheetId="33">#REF!</definedName>
    <definedName name="XDO_GROUP_?HEADER?" localSheetId="47">#REF!</definedName>
    <definedName name="XDO_GROUP_?HEADER?" localSheetId="48">#REF!</definedName>
    <definedName name="XDO_GROUP_?HEADER?">#REF!</definedName>
    <definedName name="XDO_GROUP_?SERVICE_LIST?" localSheetId="55">#REF!</definedName>
    <definedName name="XDO_GROUP_?SERVICE_LIST?" localSheetId="56">#REF!</definedName>
    <definedName name="XDO_GROUP_?SERVICE_LIST?" localSheetId="57">#REF!</definedName>
    <definedName name="XDO_GROUP_?SERVICE_LIST?" localSheetId="81">#REF!</definedName>
    <definedName name="XDO_GROUP_?SERVICE_LIST?" localSheetId="82">#REF!</definedName>
    <definedName name="XDO_GROUP_?SERVICE_LIST?" localSheetId="31">#REF!</definedName>
    <definedName name="XDO_GROUP_?SERVICE_LIST?" localSheetId="44">#REF!</definedName>
    <definedName name="XDO_GROUP_?SERVICE_LIST?" localSheetId="26">#REF!</definedName>
    <definedName name="XDO_GROUP_?SERVICE_LIST?" localSheetId="27">#REF!</definedName>
    <definedName name="XDO_GROUP_?SERVICE_LIST?" localSheetId="43">#REF!</definedName>
    <definedName name="XDO_GROUP_?SERVICE_LIST?" localSheetId="73">#REF!</definedName>
    <definedName name="XDO_GROUP_?SERVICE_LIST?" localSheetId="62">#REF!</definedName>
    <definedName name="XDO_GROUP_?SERVICE_LIST?" localSheetId="64">#REF!</definedName>
    <definedName name="XDO_GROUP_?SERVICE_LIST?" localSheetId="58">#REF!</definedName>
    <definedName name="XDO_GROUP_?SERVICE_LIST?" localSheetId="49">#REF!</definedName>
    <definedName name="XDO_GROUP_?SERVICE_LIST?" localSheetId="50">#REF!</definedName>
    <definedName name="XDO_GROUP_?SERVICE_LIST?" localSheetId="22">#REF!</definedName>
    <definedName name="XDO_GROUP_?SERVICE_LIST?" localSheetId="54">#REF!</definedName>
    <definedName name="XDO_GROUP_?SERVICE_LIST?" localSheetId="52">#REF!</definedName>
    <definedName name="XDO_GROUP_?SERVICE_LIST?" localSheetId="53">#REF!</definedName>
    <definedName name="XDO_GROUP_?SERVICE_LIST?" localSheetId="5">#REF!</definedName>
    <definedName name="XDO_GROUP_?SERVICE_LIST?" localSheetId="6">#REF!</definedName>
    <definedName name="XDO_GROUP_?SERVICE_LIST?" localSheetId="7">#REF!</definedName>
    <definedName name="XDO_GROUP_?SERVICE_LIST?" localSheetId="23">#REF!</definedName>
    <definedName name="XDO_GROUP_?SERVICE_LIST?" localSheetId="24">#REF!</definedName>
    <definedName name="XDO_GROUP_?SERVICE_LIST?" localSheetId="33">#REF!</definedName>
    <definedName name="XDO_GROUP_?SERVICE_LIST?" localSheetId="47">#REF!</definedName>
    <definedName name="XDO_GROUP_?SERVICE_LIST?" localSheetId="48">#REF!</definedName>
    <definedName name="XDO_GROUP_?SERVICE_LIST?">#REF!</definedName>
    <definedName name="Z_0D464A68_0AFC_4E36_9F6C_1192CC0F8CCE_.wvu.PrintArea" localSheetId="34" hidden="1">'б-т 922 (01.01.20)'!$A$1:$V$95</definedName>
    <definedName name="Z_0D464A68_0AFC_4E36_9F6C_1192CC0F8CCE_.wvu.PrintTitles" localSheetId="34" hidden="1">'б-т 922 (01.01.20)'!$4:$7</definedName>
    <definedName name="Z_0D464A68_0AFC_4E36_9F6C_1192CC0F8CCE_.wvu.Rows" localSheetId="34" hidden="1">'б-т 922 (01.01.20)'!$9:$14,'б-т 922 (01.01.20)'!$17:$57,'б-т 922 (01.01.20)'!$60:$63,'б-т 922 (01.01.20)'!$66:$66,'б-т 922 (01.01.20)'!$70:$81</definedName>
    <definedName name="Z_226041ED_D450_401B_8C1D_07549622E3BE_.wvu.FilterData" localSheetId="31" hidden="1">'б-т 966 (01.01.20)'!$A$7:$XEJ$27</definedName>
    <definedName name="Z_226041ED_D450_401B_8C1D_07549622E3BE_.wvu.FilterData" localSheetId="44" hidden="1">'б-т 981 Стим-е (01.01.20)'!$A$7:$XEJ$27</definedName>
    <definedName name="Z_226041ED_D450_401B_8C1D_07549622E3BE_.wvu.FilterData" localSheetId="43" hidden="1">'б-т Стим-е 954 (01.01.20)'!$A$7:$XEJ$27</definedName>
    <definedName name="Z_226041ED_D450_401B_8C1D_07549622E3BE_.wvu.FilterData" localSheetId="54" hidden="1">'ОД 966 (21.02.20)'!$A$8:$AF$20</definedName>
    <definedName name="Z_226041ED_D450_401B_8C1D_07549622E3BE_.wvu.PrintArea" localSheetId="31" hidden="1">'б-т 966 (01.01.20)'!$A$1:$Z$62</definedName>
    <definedName name="Z_226041ED_D450_401B_8C1D_07549622E3BE_.wvu.PrintArea" localSheetId="44" hidden="1">'б-т 981 Стим-е (01.01.20)'!$A$3:$Z$61</definedName>
    <definedName name="Z_226041ED_D450_401B_8C1D_07549622E3BE_.wvu.PrintArea" localSheetId="43" hidden="1">'б-т Стим-е 954 (01.01.20)'!$A$1:$Z$61</definedName>
    <definedName name="Z_226041ED_D450_401B_8C1D_07549622E3BE_.wvu.PrintArea" localSheetId="54" hidden="1">'ОД 966 (21.02.20)'!$A$1:$Z$20</definedName>
    <definedName name="Z_226041ED_D450_401B_8C1D_07549622E3BE_.wvu.PrintTitles" localSheetId="31" hidden="1">'б-т 966 (01.01.20)'!$5:$10</definedName>
    <definedName name="Z_226041ED_D450_401B_8C1D_07549622E3BE_.wvu.PrintTitles" localSheetId="44" hidden="1">'б-т 981 Стим-е (01.01.20)'!$5:$10</definedName>
    <definedName name="Z_226041ED_D450_401B_8C1D_07549622E3BE_.wvu.PrintTitles" localSheetId="43" hidden="1">'б-т Стим-е 954 (01.01.20)'!$5:$10</definedName>
    <definedName name="Z_226041ED_D450_401B_8C1D_07549622E3BE_.wvu.PrintTitles" localSheetId="54" hidden="1">'ОД 966 (21.02.20)'!$5:$7</definedName>
    <definedName name="Z_270E5523_482A_4D7F_B53F_4B64CE2BB0C6_.wvu.FilterData" localSheetId="31" hidden="1">'б-т 966 (01.01.20)'!$A$10:$TZ$27</definedName>
    <definedName name="Z_270E5523_482A_4D7F_B53F_4B64CE2BB0C6_.wvu.FilterData" localSheetId="44" hidden="1">'б-т 981 Стим-е (01.01.20)'!$A$10:$TZ$27</definedName>
    <definedName name="Z_270E5523_482A_4D7F_B53F_4B64CE2BB0C6_.wvu.FilterData" localSheetId="43" hidden="1">'б-т Стим-е 954 (01.01.20)'!$A$10:$TZ$27</definedName>
    <definedName name="Z_315FD781_1D10_45CD_AEED_85C7BD9F72F9_.wvu.FilterData" localSheetId="31" hidden="1">'б-т 966 (01.01.20)'!$A$10:$TZ$27</definedName>
    <definedName name="Z_315FD781_1D10_45CD_AEED_85C7BD9F72F9_.wvu.FilterData" localSheetId="44" hidden="1">'б-т 981 Стим-е (01.01.20)'!$A$10:$TZ$27</definedName>
    <definedName name="Z_315FD781_1D10_45CD_AEED_85C7BD9F72F9_.wvu.FilterData" localSheetId="43" hidden="1">'б-т Стим-е 954 (01.01.20)'!$A$10:$TZ$27</definedName>
    <definedName name="Z_315FD781_1D10_45CD_AEED_85C7BD9F72F9_.wvu.FilterData" localSheetId="54" hidden="1">'ОД 966 (21.02.20)'!$A$8:$AF$20</definedName>
    <definedName name="Z_315FD781_1D10_45CD_AEED_85C7BD9F72F9_.wvu.PrintArea" localSheetId="31" hidden="1">'б-т 966 (01.01.20)'!$A$1:$Z$62</definedName>
    <definedName name="Z_315FD781_1D10_45CD_AEED_85C7BD9F72F9_.wvu.PrintArea" localSheetId="44" hidden="1">'б-т 981 Стим-е (01.01.20)'!$A$3:$Z$61</definedName>
    <definedName name="Z_315FD781_1D10_45CD_AEED_85C7BD9F72F9_.wvu.PrintArea" localSheetId="43" hidden="1">'б-т Стим-е 954 (01.01.20)'!$A$1:$Z$61</definedName>
    <definedName name="Z_315FD781_1D10_45CD_AEED_85C7BD9F72F9_.wvu.PrintArea" localSheetId="54" hidden="1">'ОД 966 (21.02.20)'!$A$1:$Z$20</definedName>
    <definedName name="Z_315FD781_1D10_45CD_AEED_85C7BD9F72F9_.wvu.PrintTitles" localSheetId="31" hidden="1">'б-т 966 (01.01.20)'!$5:$10</definedName>
    <definedName name="Z_315FD781_1D10_45CD_AEED_85C7BD9F72F9_.wvu.PrintTitles" localSheetId="44" hidden="1">'б-т 981 Стим-е (01.01.20)'!$5:$10</definedName>
    <definedName name="Z_315FD781_1D10_45CD_AEED_85C7BD9F72F9_.wvu.PrintTitles" localSheetId="43" hidden="1">'б-т Стим-е 954 (01.01.20)'!$5:$10</definedName>
    <definedName name="Z_315FD781_1D10_45CD_AEED_85C7BD9F72F9_.wvu.PrintTitles" localSheetId="54" hidden="1">'ОД 966 (21.02.20)'!$5:$7</definedName>
    <definedName name="Z_315FD781_1D10_45CD_AEED_85C7BD9F72F9_.wvu.Rows" localSheetId="31" hidden="1">'б-т 966 (01.01.20)'!#REF!</definedName>
    <definedName name="Z_315FD781_1D10_45CD_AEED_85C7BD9F72F9_.wvu.Rows" localSheetId="44" hidden="1">'б-т 981 Стим-е (01.01.20)'!#REF!</definedName>
    <definedName name="Z_315FD781_1D10_45CD_AEED_85C7BD9F72F9_.wvu.Rows" localSheetId="43" hidden="1">'б-т Стим-е 954 (01.01.20)'!#REF!</definedName>
    <definedName name="Z_327AB8CB_B7FC_44FF_802D_A1515DAABD37_.wvu.PrintArea" localSheetId="34" hidden="1">'б-т 922 (01.01.20)'!$A$1:$V$95</definedName>
    <definedName name="Z_327AB8CB_B7FC_44FF_802D_A1515DAABD37_.wvu.PrintTitles" localSheetId="34" hidden="1">'б-т 922 (01.01.20)'!$4:$7</definedName>
    <definedName name="Z_327AB8CB_B7FC_44FF_802D_A1515DAABD37_.wvu.Rows" localSheetId="34" hidden="1">'б-т 922 (01.01.20)'!$9:$14,'б-т 922 (01.01.20)'!$17:$57,'б-т 922 (01.01.20)'!$60:$63,'б-т 922 (01.01.20)'!$66:$66,'б-т 922 (01.01.20)'!$70:$81</definedName>
    <definedName name="Z_32C9DB6F_3FF6_443F_A97E_B7BFA1B79CE5_.wvu.Cols" localSheetId="31" hidden="1">'б-т 966 (01.01.20)'!$AE:$AH,'б-т 966 (01.01.20)'!$JN:$JO,'б-т 966 (01.01.20)'!$JQ:$JS,'б-т 966 (01.01.20)'!$KA:$KD,'б-т 966 (01.01.20)'!$TJ:$TK,'б-т 966 (01.01.20)'!$TM:$TO,'б-т 966 (01.01.20)'!$TW:$TZ</definedName>
    <definedName name="Z_32C9DB6F_3FF6_443F_A97E_B7BFA1B79CE5_.wvu.Cols" localSheetId="44" hidden="1">'б-т 981 Стим-е (01.01.20)'!$AE:$AH,'б-т 981 Стим-е (01.01.20)'!$JN:$JO,'б-т 981 Стим-е (01.01.20)'!$JQ:$JS,'б-т 981 Стим-е (01.01.20)'!$KA:$KD,'б-т 981 Стим-е (01.01.20)'!$TJ:$TK,'б-т 981 Стим-е (01.01.20)'!$TM:$TO,'б-т 981 Стим-е (01.01.20)'!$TW:$TZ</definedName>
    <definedName name="Z_32C9DB6F_3FF6_443F_A97E_B7BFA1B79CE5_.wvu.Cols" localSheetId="43" hidden="1">'б-т Стим-е 954 (01.01.20)'!$AE:$AH,'б-т Стим-е 954 (01.01.20)'!$JN:$JO,'б-т Стим-е 954 (01.01.20)'!$JQ:$JS,'б-т Стим-е 954 (01.01.20)'!$KA:$KD,'б-т Стим-е 954 (01.01.20)'!$TJ:$TK,'б-т Стим-е 954 (01.01.20)'!$TM:$TO,'б-т Стим-е 954 (01.01.20)'!$TW:$TZ</definedName>
    <definedName name="Z_32C9DB6F_3FF6_443F_A97E_B7BFA1B79CE5_.wvu.Cols" localSheetId="73" hidden="1">'внеб 963 (23.03.20)'!$X:$AA,'внеб 963 (23.03.20)'!$JG:$JH,'внеб 963 (23.03.20)'!$JJ:$JL,'внеб 963 (23.03.20)'!$JT:$JW,'внеб 963 (23.03.20)'!$TC:$TD,'внеб 963 (23.03.20)'!$TF:$TH,'внеб 963 (23.03.20)'!$TP:$TS</definedName>
    <definedName name="Z_32C9DB6F_3FF6_443F_A97E_B7BFA1B79CE5_.wvu.FilterData" localSheetId="31" hidden="1">'б-т 966 (01.01.20)'!$A$10:$TZ$27</definedName>
    <definedName name="Z_32C9DB6F_3FF6_443F_A97E_B7BFA1B79CE5_.wvu.FilterData" localSheetId="44" hidden="1">'б-т 981 Стим-е (01.01.20)'!$A$10:$TZ$27</definedName>
    <definedName name="Z_32C9DB6F_3FF6_443F_A97E_B7BFA1B79CE5_.wvu.FilterData" localSheetId="43" hidden="1">'б-т Стим-е 954 (01.01.20)'!$A$10:$TZ$27</definedName>
    <definedName name="Z_32C9DB6F_3FF6_443F_A97E_B7BFA1B79CE5_.wvu.FilterData" localSheetId="73" hidden="1">'внеб 963 (23.03.20)'!$A$9:$TS$10</definedName>
    <definedName name="Z_32C9DB6F_3FF6_443F_A97E_B7BFA1B79CE5_.wvu.FilterData" localSheetId="54" hidden="1">'ОД 966 (21.02.20)'!$A$8:$AF$20</definedName>
    <definedName name="Z_32C9DB6F_3FF6_443F_A97E_B7BFA1B79CE5_.wvu.PrintArea" localSheetId="31" hidden="1">'б-т 966 (01.01.20)'!$A$1:$Z$37</definedName>
    <definedName name="Z_32C9DB6F_3FF6_443F_A97E_B7BFA1B79CE5_.wvu.PrintArea" localSheetId="44" hidden="1">'б-т 981 Стим-е (01.01.20)'!$A$3:$Z$36</definedName>
    <definedName name="Z_32C9DB6F_3FF6_443F_A97E_B7BFA1B79CE5_.wvu.PrintArea" localSheetId="43" hidden="1">'б-т Стим-е 954 (01.01.20)'!$A$1:$Z$36</definedName>
    <definedName name="Z_32C9DB6F_3FF6_443F_A97E_B7BFA1B79CE5_.wvu.PrintArea" localSheetId="73" hidden="1">'внеб 963 (23.03.20)'!$A$1:$S$10</definedName>
    <definedName name="Z_32C9DB6F_3FF6_443F_A97E_B7BFA1B79CE5_.wvu.PrintArea" localSheetId="54" hidden="1">'ОД 966 (21.02.20)'!$A$1:$Z$20</definedName>
    <definedName name="Z_32C9DB6F_3FF6_443F_A97E_B7BFA1B79CE5_.wvu.PrintTitles" localSheetId="31" hidden="1">'б-т 966 (01.01.20)'!$5:$10</definedName>
    <definedName name="Z_32C9DB6F_3FF6_443F_A97E_B7BFA1B79CE5_.wvu.PrintTitles" localSheetId="44" hidden="1">'б-т 981 Стим-е (01.01.20)'!$5:$10</definedName>
    <definedName name="Z_32C9DB6F_3FF6_443F_A97E_B7BFA1B79CE5_.wvu.PrintTitles" localSheetId="43" hidden="1">'б-т Стим-е 954 (01.01.20)'!$5:$10</definedName>
    <definedName name="Z_32C9DB6F_3FF6_443F_A97E_B7BFA1B79CE5_.wvu.PrintTitles" localSheetId="73" hidden="1">'внеб 963 (23.03.20)'!$5:$9</definedName>
    <definedName name="Z_32C9DB6F_3FF6_443F_A97E_B7BFA1B79CE5_.wvu.PrintTitles" localSheetId="54" hidden="1">'ОД 966 (21.02.20)'!$5:$7</definedName>
    <definedName name="Z_350A36D2_5E8D_4D4D_B730_4922C7EE805F_.wvu.FilterData" localSheetId="31" hidden="1">'б-т 966 (01.01.20)'!$A$10:$TZ$27</definedName>
    <definedName name="Z_350A36D2_5E8D_4D4D_B730_4922C7EE805F_.wvu.FilterData" localSheetId="44" hidden="1">'б-т 981 Стим-е (01.01.20)'!$A$10:$TZ$27</definedName>
    <definedName name="Z_350A36D2_5E8D_4D4D_B730_4922C7EE805F_.wvu.FilterData" localSheetId="43" hidden="1">'б-т Стим-е 954 (01.01.20)'!$A$10:$TZ$27</definedName>
    <definedName name="Z_3CBA0A9F_7D7D_4323_B56D_204A951E9D4F_.wvu.FilterData" localSheetId="31" hidden="1">'б-т 966 (01.01.20)'!$A$10:$TZ$27</definedName>
    <definedName name="Z_3CBA0A9F_7D7D_4323_B56D_204A951E9D4F_.wvu.FilterData" localSheetId="44" hidden="1">'б-т 981 Стим-е (01.01.20)'!$A$10:$TZ$27</definedName>
    <definedName name="Z_3CBA0A9F_7D7D_4323_B56D_204A951E9D4F_.wvu.FilterData" localSheetId="43" hidden="1">'б-т Стим-е 954 (01.01.20)'!$A$10:$TZ$27</definedName>
    <definedName name="Z_3F4EB8B1_EC3F_4153_800F_660B3AE91CDB_.wvu.PrintArea" localSheetId="34" hidden="1">'б-т 922 (01.01.20)'!$A$1:$V$95</definedName>
    <definedName name="Z_3F4EB8B1_EC3F_4153_800F_660B3AE91CDB_.wvu.PrintTitles" localSheetId="34" hidden="1">'б-т 922 (01.01.20)'!$4:$7</definedName>
    <definedName name="Z_3F4EB8B1_EC3F_4153_800F_660B3AE91CDB_.wvu.Rows" localSheetId="34" hidden="1">'б-т 922 (01.01.20)'!$9:$14,'б-т 922 (01.01.20)'!$17:$57,'б-т 922 (01.01.20)'!$60:$63,'б-т 922 (01.01.20)'!$66:$66,'б-т 922 (01.01.20)'!$70:$81</definedName>
    <definedName name="Z_48C2E349_CD7F_4B96_856C_6375C1F571BA_.wvu.FilterData" localSheetId="31" hidden="1">'б-т 966 (01.01.20)'!$A$10:$TZ$27</definedName>
    <definedName name="Z_48C2E349_CD7F_4B96_856C_6375C1F571BA_.wvu.FilterData" localSheetId="44" hidden="1">'б-т 981 Стим-е (01.01.20)'!$A$10:$TZ$27</definedName>
    <definedName name="Z_48C2E349_CD7F_4B96_856C_6375C1F571BA_.wvu.FilterData" localSheetId="43" hidden="1">'б-т Стим-е 954 (01.01.20)'!$A$10:$TZ$27</definedName>
    <definedName name="Z_4FB876CB_C66B_4BD5_971D_C45BB7C41271_.wvu.Cols" localSheetId="31" hidden="1">'б-т 966 (01.01.20)'!$D:$G,'б-т 966 (01.01.20)'!$AE:$AH,'б-т 966 (01.01.20)'!$JN:$JO,'б-т 966 (01.01.20)'!$JQ:$JS,'б-т 966 (01.01.20)'!$KA:$KD,'б-т 966 (01.01.20)'!$TJ:$TK,'б-т 966 (01.01.20)'!$TM:$TO,'б-т 966 (01.01.20)'!$TW:$TZ</definedName>
    <definedName name="Z_4FB876CB_C66B_4BD5_971D_C45BB7C41271_.wvu.Cols" localSheetId="44" hidden="1">'б-т 981 Стим-е (01.01.20)'!$D:$G,'б-т 981 Стим-е (01.01.20)'!$AE:$AH,'б-т 981 Стим-е (01.01.20)'!$JN:$JO,'б-т 981 Стим-е (01.01.20)'!$JQ:$JS,'б-т 981 Стим-е (01.01.20)'!$KA:$KD,'б-т 981 Стим-е (01.01.20)'!$TJ:$TK,'б-т 981 Стим-е (01.01.20)'!$TM:$TO,'б-т 981 Стим-е (01.01.20)'!$TW:$TZ</definedName>
    <definedName name="Z_4FB876CB_C66B_4BD5_971D_C45BB7C41271_.wvu.Cols" localSheetId="43" hidden="1">'б-т Стим-е 954 (01.01.20)'!$D:$G,'б-т Стим-е 954 (01.01.20)'!$AE:$AH,'б-т Стим-е 954 (01.01.20)'!$JN:$JO,'б-т Стим-е 954 (01.01.20)'!$JQ:$JS,'б-т Стим-е 954 (01.01.20)'!$KA:$KD,'б-т Стим-е 954 (01.01.20)'!$TJ:$TK,'б-т Стим-е 954 (01.01.20)'!$TM:$TO,'б-т Стим-е 954 (01.01.20)'!$TW:$TZ</definedName>
    <definedName name="Z_4FB876CB_C66B_4BD5_971D_C45BB7C41271_.wvu.Cols" localSheetId="73" hidden="1">'внеб 963 (23.03.20)'!$C:$N,'внеб 963 (23.03.20)'!$X:$AA,'внеб 963 (23.03.20)'!$JG:$JH,'внеб 963 (23.03.20)'!$JJ:$JL,'внеб 963 (23.03.20)'!$JT:$JW,'внеб 963 (23.03.20)'!$TC:$TD,'внеб 963 (23.03.20)'!$TF:$TH,'внеб 963 (23.03.20)'!$TP:$TS</definedName>
    <definedName name="Z_4FB876CB_C66B_4BD5_971D_C45BB7C41271_.wvu.FilterData" localSheetId="31" hidden="1">'б-т 966 (01.01.20)'!$A$10:$TZ$27</definedName>
    <definedName name="Z_4FB876CB_C66B_4BD5_971D_C45BB7C41271_.wvu.FilterData" localSheetId="44" hidden="1">'б-т 981 Стим-е (01.01.20)'!$A$10:$TZ$27</definedName>
    <definedName name="Z_4FB876CB_C66B_4BD5_971D_C45BB7C41271_.wvu.FilterData" localSheetId="43" hidden="1">'б-т Стим-е 954 (01.01.20)'!$A$10:$TZ$27</definedName>
    <definedName name="Z_4FB876CB_C66B_4BD5_971D_C45BB7C41271_.wvu.FilterData" localSheetId="73" hidden="1">'внеб 963 (23.03.20)'!$A$9:$TS$10</definedName>
    <definedName name="Z_4FB876CB_C66B_4BD5_971D_C45BB7C41271_.wvu.FilterData" localSheetId="54" hidden="1">'ОД 966 (21.02.20)'!$A$8:$AF$20</definedName>
    <definedName name="Z_4FB876CB_C66B_4BD5_971D_C45BB7C41271_.wvu.PrintArea" localSheetId="31" hidden="1">'б-т 966 (01.01.20)'!$A$1:$Z$37</definedName>
    <definedName name="Z_4FB876CB_C66B_4BD5_971D_C45BB7C41271_.wvu.PrintArea" localSheetId="44" hidden="1">'б-т 981 Стим-е (01.01.20)'!$A$3:$Z$36</definedName>
    <definedName name="Z_4FB876CB_C66B_4BD5_971D_C45BB7C41271_.wvu.PrintArea" localSheetId="43" hidden="1">'б-т Стим-е 954 (01.01.20)'!$A$1:$Z$36</definedName>
    <definedName name="Z_4FB876CB_C66B_4BD5_971D_C45BB7C41271_.wvu.PrintArea" localSheetId="73" hidden="1">'внеб 963 (23.03.20)'!$A$1:$S$10</definedName>
    <definedName name="Z_4FB876CB_C66B_4BD5_971D_C45BB7C41271_.wvu.PrintArea" localSheetId="54" hidden="1">'ОД 966 (21.02.20)'!$A$1:$Z$20</definedName>
    <definedName name="Z_4FB876CB_C66B_4BD5_971D_C45BB7C41271_.wvu.PrintTitles" localSheetId="31" hidden="1">'б-т 966 (01.01.20)'!$5:$10</definedName>
    <definedName name="Z_4FB876CB_C66B_4BD5_971D_C45BB7C41271_.wvu.PrintTitles" localSheetId="44" hidden="1">'б-т 981 Стим-е (01.01.20)'!$5:$10</definedName>
    <definedName name="Z_4FB876CB_C66B_4BD5_971D_C45BB7C41271_.wvu.PrintTitles" localSheetId="43" hidden="1">'б-т Стим-е 954 (01.01.20)'!$5:$10</definedName>
    <definedName name="Z_4FB876CB_C66B_4BD5_971D_C45BB7C41271_.wvu.PrintTitles" localSheetId="73" hidden="1">'внеб 963 (23.03.20)'!$5:$9</definedName>
    <definedName name="Z_4FB876CB_C66B_4BD5_971D_C45BB7C41271_.wvu.PrintTitles" localSheetId="54" hidden="1">'ОД 966 (21.02.20)'!$5:$7</definedName>
    <definedName name="Z_4FB876CB_C66B_4BD5_971D_C45BB7C41271_.wvu.Rows" localSheetId="31" hidden="1">'б-т 966 (01.01.20)'!$27:$27</definedName>
    <definedName name="Z_4FB876CB_C66B_4BD5_971D_C45BB7C41271_.wvu.Rows" localSheetId="44" hidden="1">'б-т 981 Стим-е (01.01.20)'!$27:$27</definedName>
    <definedName name="Z_4FB876CB_C66B_4BD5_971D_C45BB7C41271_.wvu.Rows" localSheetId="43" hidden="1">'б-т Стим-е 954 (01.01.20)'!$27:$27</definedName>
    <definedName name="Z_4FB876CB_C66B_4BD5_971D_C45BB7C41271_.wvu.Rows" localSheetId="73" hidden="1">'внеб 963 (23.03.20)'!#REF!</definedName>
    <definedName name="Z_4FB876CB_C66B_4BD5_971D_C45BB7C41271_.wvu.Rows" localSheetId="54" hidden="1">'ОД 966 (21.02.20)'!#REF!</definedName>
    <definedName name="Z_530856E5_7347_40B7_BE98_1E446B8E35E2_.wvu.Cols" localSheetId="31" hidden="1">'б-т 966 (01.01.20)'!$D:$G,'б-т 966 (01.01.20)'!$V:$Y,'б-т 966 (01.01.20)'!$AE:$AH,'б-т 966 (01.01.20)'!$JN:$JO,'б-т 966 (01.01.20)'!$JQ:$JS,'б-т 966 (01.01.20)'!$KA:$KD,'б-т 966 (01.01.20)'!$TJ:$TK,'б-т 966 (01.01.20)'!$TM:$TO,'б-т 966 (01.01.20)'!$TW:$TZ</definedName>
    <definedName name="Z_530856E5_7347_40B7_BE98_1E446B8E35E2_.wvu.Cols" localSheetId="44" hidden="1">'б-т 981 Стим-е (01.01.20)'!$D:$G,'б-т 981 Стим-е (01.01.20)'!$V:$Y,'б-т 981 Стим-е (01.01.20)'!$AE:$AH,'б-т 981 Стим-е (01.01.20)'!$JN:$JO,'б-т 981 Стим-е (01.01.20)'!$JQ:$JS,'б-т 981 Стим-е (01.01.20)'!$KA:$KD,'б-т 981 Стим-е (01.01.20)'!$TJ:$TK,'б-т 981 Стим-е (01.01.20)'!$TM:$TO,'б-т 981 Стим-е (01.01.20)'!$TW:$TZ</definedName>
    <definedName name="Z_530856E5_7347_40B7_BE98_1E446B8E35E2_.wvu.Cols" localSheetId="43" hidden="1">'б-т Стим-е 954 (01.01.20)'!$D:$G,'б-т Стим-е 954 (01.01.20)'!$V:$Y,'б-т Стим-е 954 (01.01.20)'!$AE:$AH,'б-т Стим-е 954 (01.01.20)'!$JN:$JO,'б-т Стим-е 954 (01.01.20)'!$JQ:$JS,'б-т Стим-е 954 (01.01.20)'!$KA:$KD,'б-т Стим-е 954 (01.01.20)'!$TJ:$TK,'б-т Стим-е 954 (01.01.20)'!$TM:$TO,'б-т Стим-е 954 (01.01.20)'!$TW:$TZ</definedName>
    <definedName name="Z_530856E5_7347_40B7_BE98_1E446B8E35E2_.wvu.Cols" localSheetId="73" hidden="1">'внеб 963 (23.03.20)'!$C:$N,'внеб 963 (23.03.20)'!$R:$S,'внеб 963 (23.03.20)'!$X:$AA,'внеб 963 (23.03.20)'!$JG:$JH,'внеб 963 (23.03.20)'!$JJ:$JL,'внеб 963 (23.03.20)'!$JT:$JW,'внеб 963 (23.03.20)'!$TC:$TD,'внеб 963 (23.03.20)'!$TF:$TH,'внеб 963 (23.03.20)'!$TP:$TS</definedName>
    <definedName name="Z_530856E5_7347_40B7_BE98_1E446B8E35E2_.wvu.Cols" localSheetId="54" hidden="1">'ОД 966 (21.02.20)'!$E:$H</definedName>
    <definedName name="Z_530856E5_7347_40B7_BE98_1E446B8E35E2_.wvu.FilterData" localSheetId="31" hidden="1">'б-т 966 (01.01.20)'!$A$10:$TZ$27</definedName>
    <definedName name="Z_530856E5_7347_40B7_BE98_1E446B8E35E2_.wvu.FilterData" localSheetId="44" hidden="1">'б-т 981 Стим-е (01.01.20)'!$A$10:$TZ$27</definedName>
    <definedName name="Z_530856E5_7347_40B7_BE98_1E446B8E35E2_.wvu.FilterData" localSheetId="43" hidden="1">'б-т Стим-е 954 (01.01.20)'!$A$10:$TZ$27</definedName>
    <definedName name="Z_530856E5_7347_40B7_BE98_1E446B8E35E2_.wvu.FilterData" localSheetId="73" hidden="1">'внеб 963 (23.03.20)'!$A$9:$TS$10</definedName>
    <definedName name="Z_530856E5_7347_40B7_BE98_1E446B8E35E2_.wvu.FilterData" localSheetId="54" hidden="1">'ОД 966 (21.02.20)'!$A$8:$AF$20</definedName>
    <definedName name="Z_530856E5_7347_40B7_BE98_1E446B8E35E2_.wvu.PrintArea" localSheetId="31" hidden="1">'б-т 966 (01.01.20)'!$A$1:$Z$37</definedName>
    <definedName name="Z_530856E5_7347_40B7_BE98_1E446B8E35E2_.wvu.PrintArea" localSheetId="44" hidden="1">'б-т 981 Стим-е (01.01.20)'!$A$3:$Z$36</definedName>
    <definedName name="Z_530856E5_7347_40B7_BE98_1E446B8E35E2_.wvu.PrintArea" localSheetId="43" hidden="1">'б-т Стим-е 954 (01.01.20)'!$A$1:$Z$36</definedName>
    <definedName name="Z_530856E5_7347_40B7_BE98_1E446B8E35E2_.wvu.PrintArea" localSheetId="73" hidden="1">'внеб 963 (23.03.20)'!$A$1:$S$10</definedName>
    <definedName name="Z_530856E5_7347_40B7_BE98_1E446B8E35E2_.wvu.PrintArea" localSheetId="54" hidden="1">'ОД 966 (21.02.20)'!$A$1:$Z$20</definedName>
    <definedName name="Z_530856E5_7347_40B7_BE98_1E446B8E35E2_.wvu.PrintTitles" localSheetId="31" hidden="1">'б-т 966 (01.01.20)'!$5:$10</definedName>
    <definedName name="Z_530856E5_7347_40B7_BE98_1E446B8E35E2_.wvu.PrintTitles" localSheetId="44" hidden="1">'б-т 981 Стим-е (01.01.20)'!$5:$10</definedName>
    <definedName name="Z_530856E5_7347_40B7_BE98_1E446B8E35E2_.wvu.PrintTitles" localSheetId="43" hidden="1">'б-т Стим-е 954 (01.01.20)'!$5:$10</definedName>
    <definedName name="Z_530856E5_7347_40B7_BE98_1E446B8E35E2_.wvu.PrintTitles" localSheetId="73" hidden="1">'внеб 963 (23.03.20)'!$5:$9</definedName>
    <definedName name="Z_530856E5_7347_40B7_BE98_1E446B8E35E2_.wvu.PrintTitles" localSheetId="54" hidden="1">'ОД 966 (21.02.20)'!$5:$7</definedName>
    <definedName name="Z_530856E5_7347_40B7_BE98_1E446B8E35E2_.wvu.Rows" localSheetId="31" hidden="1">'б-т 966 (01.01.20)'!$38:$67</definedName>
    <definedName name="Z_530856E5_7347_40B7_BE98_1E446B8E35E2_.wvu.Rows" localSheetId="44" hidden="1">'б-т 981 Стим-е (01.01.20)'!$37:$66</definedName>
    <definedName name="Z_530856E5_7347_40B7_BE98_1E446B8E35E2_.wvu.Rows" localSheetId="43" hidden="1">'б-т Стим-е 954 (01.01.20)'!$37:$66</definedName>
    <definedName name="Z_530856E5_7347_40B7_BE98_1E446B8E35E2_.wvu.Rows" localSheetId="73" hidden="1">'внеб 963 (23.03.20)'!#REF!</definedName>
    <definedName name="Z_5D7E3D0F_5C4A_4756_9DB2_60515F9B239F_.wvu.FilterData" localSheetId="31" hidden="1">'б-т 966 (01.01.20)'!$A$10:$TZ$27</definedName>
    <definedName name="Z_5D7E3D0F_5C4A_4756_9DB2_60515F9B239F_.wvu.FilterData" localSheetId="44" hidden="1">'б-т 981 Стим-е (01.01.20)'!$A$10:$TZ$27</definedName>
    <definedName name="Z_5D7E3D0F_5C4A_4756_9DB2_60515F9B239F_.wvu.FilterData" localSheetId="43" hidden="1">'б-т Стим-е 954 (01.01.20)'!$A$10:$TZ$27</definedName>
    <definedName name="Z_5D7E3D0F_5C4A_4756_9DB2_60515F9B239F_.wvu.FilterData" localSheetId="54" hidden="1">'ОД 966 (21.02.20)'!$A$8:$AF$20</definedName>
    <definedName name="Z_6326D2A0_C717_4212_A847_ED7B30D8C51B_.wvu.FilterData" localSheetId="31" hidden="1">'б-т 966 (01.01.20)'!$A$10:$TZ$27</definedName>
    <definedName name="Z_6326D2A0_C717_4212_A847_ED7B30D8C51B_.wvu.FilterData" localSheetId="44" hidden="1">'б-т 981 Стим-е (01.01.20)'!$A$10:$TZ$27</definedName>
    <definedName name="Z_6326D2A0_C717_4212_A847_ED7B30D8C51B_.wvu.FilterData" localSheetId="43" hidden="1">'б-т Стим-е 954 (01.01.20)'!$A$10:$TZ$27</definedName>
    <definedName name="Z_6326D2A0_C717_4212_A847_ED7B30D8C51B_.wvu.FilterData" localSheetId="54" hidden="1">'ОД 966 (21.02.20)'!$A$8:$AF$20</definedName>
    <definedName name="Z_65BEB20B_946C_498C_AA99_C006A0C01DBF_.wvu.FilterData" localSheetId="31" hidden="1">'б-т 966 (01.01.20)'!$A$10:$TZ$27</definedName>
    <definedName name="Z_65BEB20B_946C_498C_AA99_C006A0C01DBF_.wvu.FilterData" localSheetId="44" hidden="1">'б-т 981 Стим-е (01.01.20)'!$A$10:$TZ$27</definedName>
    <definedName name="Z_65BEB20B_946C_498C_AA99_C006A0C01DBF_.wvu.FilterData" localSheetId="43" hidden="1">'б-т Стим-е 954 (01.01.20)'!$A$10:$TZ$27</definedName>
    <definedName name="Z_6D22DA92_DFF2_4603_B03F_4412D00B66BA_.wvu.PrintArea" localSheetId="34" hidden="1">'б-т 922 (01.01.20)'!$A$1:$V$89</definedName>
    <definedName name="Z_6D22DA92_DFF2_4603_B03F_4412D00B66BA_.wvu.PrintTitles" localSheetId="34" hidden="1">'б-т 922 (01.01.20)'!$4:$7</definedName>
    <definedName name="Z_79393A03_60D5_4831_8B56_2937C13B9AC8_.wvu.FilterData" localSheetId="31" hidden="1">'б-т 966 (01.01.20)'!$A$7:$XEJ$27</definedName>
    <definedName name="Z_79393A03_60D5_4831_8B56_2937C13B9AC8_.wvu.FilterData" localSheetId="44" hidden="1">'б-т 981 Стим-е (01.01.20)'!$A$7:$XEJ$27</definedName>
    <definedName name="Z_79393A03_60D5_4831_8B56_2937C13B9AC8_.wvu.FilterData" localSheetId="43" hidden="1">'б-т Стим-е 954 (01.01.20)'!$A$7:$XEJ$27</definedName>
    <definedName name="Z_79393A03_60D5_4831_8B56_2937C13B9AC8_.wvu.FilterData" localSheetId="54" hidden="1">'ОД 966 (21.02.20)'!$A$8:$AF$20</definedName>
    <definedName name="Z_79393A03_60D5_4831_8B56_2937C13B9AC8_.wvu.PrintArea" localSheetId="31" hidden="1">'б-т 966 (01.01.20)'!$A$1:$Z$62</definedName>
    <definedName name="Z_79393A03_60D5_4831_8B56_2937C13B9AC8_.wvu.PrintArea" localSheetId="44" hidden="1">'б-т 981 Стим-е (01.01.20)'!$A$3:$Z$61</definedName>
    <definedName name="Z_79393A03_60D5_4831_8B56_2937C13B9AC8_.wvu.PrintArea" localSheetId="43" hidden="1">'б-т Стим-е 954 (01.01.20)'!$A$1:$Z$61</definedName>
    <definedName name="Z_79393A03_60D5_4831_8B56_2937C13B9AC8_.wvu.PrintArea" localSheetId="54" hidden="1">'ОД 966 (21.02.20)'!$A$1:$Z$20</definedName>
    <definedName name="Z_79393A03_60D5_4831_8B56_2937C13B9AC8_.wvu.PrintTitles" localSheetId="31" hidden="1">'б-т 966 (01.01.20)'!$5:$10</definedName>
    <definedName name="Z_79393A03_60D5_4831_8B56_2937C13B9AC8_.wvu.PrintTitles" localSheetId="44" hidden="1">'б-т 981 Стим-е (01.01.20)'!$5:$10</definedName>
    <definedName name="Z_79393A03_60D5_4831_8B56_2937C13B9AC8_.wvu.PrintTitles" localSheetId="43" hidden="1">'б-т Стим-е 954 (01.01.20)'!$5:$10</definedName>
    <definedName name="Z_79393A03_60D5_4831_8B56_2937C13B9AC8_.wvu.PrintTitles" localSheetId="54" hidden="1">'ОД 966 (21.02.20)'!$5:$7</definedName>
    <definedName name="Z_79393A03_60D5_4831_8B56_2937C13B9AC8_.wvu.Rows" localSheetId="31" hidden="1">'б-т 966 (01.01.20)'!#REF!</definedName>
    <definedName name="Z_79393A03_60D5_4831_8B56_2937C13B9AC8_.wvu.Rows" localSheetId="44" hidden="1">'б-т 981 Стим-е (01.01.20)'!#REF!</definedName>
    <definedName name="Z_79393A03_60D5_4831_8B56_2937C13B9AC8_.wvu.Rows" localSheetId="43" hidden="1">'б-т Стим-е 954 (01.01.20)'!#REF!</definedName>
    <definedName name="Z_7B1E67F4_0B28_4F87_81F5_EB2716D0D2EB_.wvu.Cols" localSheetId="31" hidden="1">'б-т 966 (01.01.20)'!$AE:$AH,'б-т 966 (01.01.20)'!$JN:$JO,'б-т 966 (01.01.20)'!$JQ:$JS,'б-т 966 (01.01.20)'!$KA:$KD,'б-т 966 (01.01.20)'!$TJ:$TK,'б-т 966 (01.01.20)'!$TM:$TO,'б-т 966 (01.01.20)'!$TW:$TZ</definedName>
    <definedName name="Z_7B1E67F4_0B28_4F87_81F5_EB2716D0D2EB_.wvu.Cols" localSheetId="44" hidden="1">'б-т 981 Стим-е (01.01.20)'!$AE:$AH,'б-т 981 Стим-е (01.01.20)'!$JN:$JO,'б-т 981 Стим-е (01.01.20)'!$JQ:$JS,'б-т 981 Стим-е (01.01.20)'!$KA:$KD,'б-т 981 Стим-е (01.01.20)'!$TJ:$TK,'б-т 981 Стим-е (01.01.20)'!$TM:$TO,'б-т 981 Стим-е (01.01.20)'!$TW:$TZ</definedName>
    <definedName name="Z_7B1E67F4_0B28_4F87_81F5_EB2716D0D2EB_.wvu.Cols" localSheetId="43" hidden="1">'б-т Стим-е 954 (01.01.20)'!$AE:$AH,'б-т Стим-е 954 (01.01.20)'!$JN:$JO,'б-т Стим-е 954 (01.01.20)'!$JQ:$JS,'б-т Стим-е 954 (01.01.20)'!$KA:$KD,'б-т Стим-е 954 (01.01.20)'!$TJ:$TK,'б-т Стим-е 954 (01.01.20)'!$TM:$TO,'б-т Стим-е 954 (01.01.20)'!$TW:$TZ</definedName>
    <definedName name="Z_7B1E67F4_0B28_4F87_81F5_EB2716D0D2EB_.wvu.Cols" localSheetId="73" hidden="1">'внеб 963 (23.03.20)'!$X:$AA,'внеб 963 (23.03.20)'!$JG:$JH,'внеб 963 (23.03.20)'!$JJ:$JL,'внеб 963 (23.03.20)'!$JT:$JW,'внеб 963 (23.03.20)'!$TC:$TD,'внеб 963 (23.03.20)'!$TF:$TH,'внеб 963 (23.03.20)'!$TP:$TS</definedName>
    <definedName name="Z_7B1E67F4_0B28_4F87_81F5_EB2716D0D2EB_.wvu.FilterData" localSheetId="31" hidden="1">'б-т 966 (01.01.20)'!$A$10:$TZ$27</definedName>
    <definedName name="Z_7B1E67F4_0B28_4F87_81F5_EB2716D0D2EB_.wvu.FilterData" localSheetId="44" hidden="1">'б-т 981 Стим-е (01.01.20)'!$A$10:$TZ$27</definedName>
    <definedName name="Z_7B1E67F4_0B28_4F87_81F5_EB2716D0D2EB_.wvu.FilterData" localSheetId="43" hidden="1">'б-т Стим-е 954 (01.01.20)'!$A$10:$TZ$27</definedName>
    <definedName name="Z_7B1E67F4_0B28_4F87_81F5_EB2716D0D2EB_.wvu.FilterData" localSheetId="73" hidden="1">'внеб 963 (23.03.20)'!$A$9:$TS$10</definedName>
    <definedName name="Z_7B1E67F4_0B28_4F87_81F5_EB2716D0D2EB_.wvu.FilterData" localSheetId="54" hidden="1">'ОД 966 (21.02.20)'!$A$8:$AF$20</definedName>
    <definedName name="Z_7B1E67F4_0B28_4F87_81F5_EB2716D0D2EB_.wvu.PrintArea" localSheetId="31" hidden="1">'б-т 966 (01.01.20)'!$A$5:$Z$37</definedName>
    <definedName name="Z_7B1E67F4_0B28_4F87_81F5_EB2716D0D2EB_.wvu.PrintArea" localSheetId="44" hidden="1">'б-т 981 Стим-е (01.01.20)'!$A$5:$Z$36</definedName>
    <definedName name="Z_7B1E67F4_0B28_4F87_81F5_EB2716D0D2EB_.wvu.PrintArea" localSheetId="43" hidden="1">'б-т Стим-е 954 (01.01.20)'!$A$5:$Z$36</definedName>
    <definedName name="Z_7B1E67F4_0B28_4F87_81F5_EB2716D0D2EB_.wvu.PrintArea" localSheetId="73" hidden="1">'внеб 963 (23.03.20)'!$A$5:$S$10</definedName>
    <definedName name="Z_7B1E67F4_0B28_4F87_81F5_EB2716D0D2EB_.wvu.PrintArea" localSheetId="54" hidden="1">'ОД 966 (21.02.20)'!$A$1:$Z$20</definedName>
    <definedName name="Z_7B1E67F4_0B28_4F87_81F5_EB2716D0D2EB_.wvu.PrintTitles" localSheetId="31" hidden="1">'б-т 966 (01.01.20)'!$5:$10</definedName>
    <definedName name="Z_7B1E67F4_0B28_4F87_81F5_EB2716D0D2EB_.wvu.PrintTitles" localSheetId="44" hidden="1">'б-т 981 Стим-е (01.01.20)'!$5:$10</definedName>
    <definedName name="Z_7B1E67F4_0B28_4F87_81F5_EB2716D0D2EB_.wvu.PrintTitles" localSheetId="43" hidden="1">'б-т Стим-е 954 (01.01.20)'!$5:$10</definedName>
    <definedName name="Z_7B1E67F4_0B28_4F87_81F5_EB2716D0D2EB_.wvu.PrintTitles" localSheetId="73" hidden="1">'внеб 963 (23.03.20)'!$5:$9</definedName>
    <definedName name="Z_7B1E67F4_0B28_4F87_81F5_EB2716D0D2EB_.wvu.PrintTitles" localSheetId="54" hidden="1">'ОД 966 (21.02.20)'!$5:$7</definedName>
    <definedName name="Z_7B1E67F4_0B28_4F87_81F5_EB2716D0D2EB_.wvu.Rows" localSheetId="31" hidden="1">'б-т 966 (01.01.20)'!$1:$4</definedName>
    <definedName name="Z_7B1E67F4_0B28_4F87_81F5_EB2716D0D2EB_.wvu.Rows" localSheetId="44" hidden="1">'б-т 981 Стим-е (01.01.20)'!$3:$4</definedName>
    <definedName name="Z_7B1E67F4_0B28_4F87_81F5_EB2716D0D2EB_.wvu.Rows" localSheetId="43" hidden="1">'б-т Стим-е 954 (01.01.20)'!$1:$4</definedName>
    <definedName name="Z_7B1E67F4_0B28_4F87_81F5_EB2716D0D2EB_.wvu.Rows" localSheetId="73" hidden="1">'внеб 963 (23.03.20)'!$1:$4</definedName>
    <definedName name="Z_7EA02030_CC58_4256_BE81_65C117BCF683_.wvu.FilterData" localSheetId="31" hidden="1">'б-т 966 (01.01.20)'!$A$10:$TZ$27</definedName>
    <definedName name="Z_7EA02030_CC58_4256_BE81_65C117BCF683_.wvu.FilterData" localSheetId="44" hidden="1">'б-т 981 Стим-е (01.01.20)'!$A$10:$TZ$27</definedName>
    <definedName name="Z_7EA02030_CC58_4256_BE81_65C117BCF683_.wvu.FilterData" localSheetId="43" hidden="1">'б-т Стим-е 954 (01.01.20)'!$A$10:$TZ$27</definedName>
    <definedName name="Z_841B1902_E8C0_43AE_A41A_54A91967F9F9_.wvu.FilterData" localSheetId="31" hidden="1">'б-т 966 (01.01.20)'!$A$10:$TZ$27</definedName>
    <definedName name="Z_841B1902_E8C0_43AE_A41A_54A91967F9F9_.wvu.FilterData" localSheetId="44" hidden="1">'б-т 981 Стим-е (01.01.20)'!$A$10:$TZ$27</definedName>
    <definedName name="Z_841B1902_E8C0_43AE_A41A_54A91967F9F9_.wvu.FilterData" localSheetId="43" hidden="1">'б-т Стим-е 954 (01.01.20)'!$A$10:$TZ$27</definedName>
    <definedName name="Z_876A5D35_AA50_4BD1_8FC1_2E12522C1E3C_.wvu.FilterData" localSheetId="31" hidden="1">'б-т 966 (01.01.20)'!$A$10:$TZ$27</definedName>
    <definedName name="Z_876A5D35_AA50_4BD1_8FC1_2E12522C1E3C_.wvu.FilterData" localSheetId="44" hidden="1">'б-т 981 Стим-е (01.01.20)'!$A$10:$TZ$27</definedName>
    <definedName name="Z_876A5D35_AA50_4BD1_8FC1_2E12522C1E3C_.wvu.FilterData" localSheetId="43" hidden="1">'б-т Стим-е 954 (01.01.20)'!$A$10:$TZ$27</definedName>
    <definedName name="Z_909B551B_C517_441B_8BE5_D5462D847A9D_.wvu.PrintArea" localSheetId="34" hidden="1">'б-т 922 (01.01.20)'!$A$1:$V$95</definedName>
    <definedName name="Z_909B551B_C517_441B_8BE5_D5462D847A9D_.wvu.PrintTitles" localSheetId="34" hidden="1">'б-т 922 (01.01.20)'!$4:$7</definedName>
    <definedName name="Z_909B551B_C517_441B_8BE5_D5462D847A9D_.wvu.Rows" localSheetId="34" hidden="1">'б-т 922 (01.01.20)'!$9:$14,'б-т 922 (01.01.20)'!$17:$57,'б-т 922 (01.01.20)'!$60:$63,'б-т 922 (01.01.20)'!$66:$66,'б-т 922 (01.01.20)'!$70:$81</definedName>
    <definedName name="Z_912C06F4_196A_4ACD_870E_072CDEA6D489_.wvu.FilterData" localSheetId="31" hidden="1">'б-т 966 (01.01.20)'!$A$10:$TZ$27</definedName>
    <definedName name="Z_912C06F4_196A_4ACD_870E_072CDEA6D489_.wvu.FilterData" localSheetId="44" hidden="1">'б-т 981 Стим-е (01.01.20)'!$A$10:$TZ$27</definedName>
    <definedName name="Z_912C06F4_196A_4ACD_870E_072CDEA6D489_.wvu.FilterData" localSheetId="43" hidden="1">'б-т Стим-е 954 (01.01.20)'!$A$10:$TZ$27</definedName>
    <definedName name="Z_912C06F4_196A_4ACD_870E_072CDEA6D489_.wvu.FilterData" localSheetId="54" hidden="1">'ОД 966 (21.02.20)'!$A$8:$AF$20</definedName>
    <definedName name="Z_912C06F4_196A_4ACD_870E_072CDEA6D489_.wvu.PrintArea" localSheetId="31" hidden="1">'б-т 966 (01.01.20)'!$A$1:$Z$62</definedName>
    <definedName name="Z_912C06F4_196A_4ACD_870E_072CDEA6D489_.wvu.PrintArea" localSheetId="44" hidden="1">'б-т 981 Стим-е (01.01.20)'!$A$3:$Z$61</definedName>
    <definedName name="Z_912C06F4_196A_4ACD_870E_072CDEA6D489_.wvu.PrintArea" localSheetId="43" hidden="1">'б-т Стим-е 954 (01.01.20)'!$A$1:$Z$61</definedName>
    <definedName name="Z_912C06F4_196A_4ACD_870E_072CDEA6D489_.wvu.PrintArea" localSheetId="54" hidden="1">'ОД 966 (21.02.20)'!$A$1:$Z$20</definedName>
    <definedName name="Z_912C06F4_196A_4ACD_870E_072CDEA6D489_.wvu.PrintTitles" localSheetId="31" hidden="1">'б-т 966 (01.01.20)'!$5:$10</definedName>
    <definedName name="Z_912C06F4_196A_4ACD_870E_072CDEA6D489_.wvu.PrintTitles" localSheetId="44" hidden="1">'б-т 981 Стим-е (01.01.20)'!$5:$10</definedName>
    <definedName name="Z_912C06F4_196A_4ACD_870E_072CDEA6D489_.wvu.PrintTitles" localSheetId="43" hidden="1">'б-т Стим-е 954 (01.01.20)'!$5:$10</definedName>
    <definedName name="Z_912C06F4_196A_4ACD_870E_072CDEA6D489_.wvu.PrintTitles" localSheetId="54" hidden="1">'ОД 966 (21.02.20)'!$5:$7</definedName>
    <definedName name="Z_912C06F4_196A_4ACD_870E_072CDEA6D489_.wvu.Rows" localSheetId="31" hidden="1">'б-т 966 (01.01.20)'!#REF!</definedName>
    <definedName name="Z_912C06F4_196A_4ACD_870E_072CDEA6D489_.wvu.Rows" localSheetId="44" hidden="1">'б-т 981 Стим-е (01.01.20)'!#REF!</definedName>
    <definedName name="Z_912C06F4_196A_4ACD_870E_072CDEA6D489_.wvu.Rows" localSheetId="43" hidden="1">'б-т Стим-е 954 (01.01.20)'!#REF!</definedName>
    <definedName name="Z_9157E921_F693_41A2_B9C7_9637BCD9C9DE_.wvu.FilterData" localSheetId="31" hidden="1">'б-т 966 (01.01.20)'!$A$7:$XEJ$27</definedName>
    <definedName name="Z_9157E921_F693_41A2_B9C7_9637BCD9C9DE_.wvu.FilterData" localSheetId="44" hidden="1">'б-т 981 Стим-е (01.01.20)'!$A$7:$XEJ$27</definedName>
    <definedName name="Z_9157E921_F693_41A2_B9C7_9637BCD9C9DE_.wvu.FilterData" localSheetId="43" hidden="1">'б-т Стим-е 954 (01.01.20)'!$A$7:$XEJ$27</definedName>
    <definedName name="Z_9157E921_F693_41A2_B9C7_9637BCD9C9DE_.wvu.FilterData" localSheetId="54" hidden="1">'ОД 966 (21.02.20)'!$A$8:$AF$20</definedName>
    <definedName name="Z_9157E921_F693_41A2_B9C7_9637BCD9C9DE_.wvu.PrintArea" localSheetId="31" hidden="1">'б-т 966 (01.01.20)'!$A$1:$Z$62</definedName>
    <definedName name="Z_9157E921_F693_41A2_B9C7_9637BCD9C9DE_.wvu.PrintArea" localSheetId="44" hidden="1">'б-т 981 Стим-е (01.01.20)'!$A$3:$Z$61</definedName>
    <definedName name="Z_9157E921_F693_41A2_B9C7_9637BCD9C9DE_.wvu.PrintArea" localSheetId="43" hidden="1">'б-т Стим-е 954 (01.01.20)'!$A$1:$Z$61</definedName>
    <definedName name="Z_9157E921_F693_41A2_B9C7_9637BCD9C9DE_.wvu.PrintArea" localSheetId="54" hidden="1">'ОД 966 (21.02.20)'!$A$1:$Z$20</definedName>
    <definedName name="Z_9157E921_F693_41A2_B9C7_9637BCD9C9DE_.wvu.PrintTitles" localSheetId="31" hidden="1">'б-т 966 (01.01.20)'!$5:$10</definedName>
    <definedName name="Z_9157E921_F693_41A2_B9C7_9637BCD9C9DE_.wvu.PrintTitles" localSheetId="44" hidden="1">'б-т 981 Стим-е (01.01.20)'!$5:$10</definedName>
    <definedName name="Z_9157E921_F693_41A2_B9C7_9637BCD9C9DE_.wvu.PrintTitles" localSheetId="43" hidden="1">'б-т Стим-е 954 (01.01.20)'!$5:$10</definedName>
    <definedName name="Z_9157E921_F693_41A2_B9C7_9637BCD9C9DE_.wvu.PrintTitles" localSheetId="54" hidden="1">'ОД 966 (21.02.20)'!$5:$7</definedName>
    <definedName name="Z_9157E921_F693_41A2_B9C7_9637BCD9C9DE_.wvu.Rows" localSheetId="31" hidden="1">'б-т 966 (01.01.20)'!#REF!</definedName>
    <definedName name="Z_9157E921_F693_41A2_B9C7_9637BCD9C9DE_.wvu.Rows" localSheetId="44" hidden="1">'б-т 981 Стим-е (01.01.20)'!#REF!</definedName>
    <definedName name="Z_9157E921_F693_41A2_B9C7_9637BCD9C9DE_.wvu.Rows" localSheetId="43" hidden="1">'б-т Стим-е 954 (01.01.20)'!#REF!</definedName>
    <definedName name="Z_91675FBF_119A_4EF5_A3B7_BBAB5CEC819B_.wvu.FilterData" localSheetId="31" hidden="1">'б-т 966 (01.01.20)'!$A$10:$TZ$27</definedName>
    <definedName name="Z_91675FBF_119A_4EF5_A3B7_BBAB5CEC819B_.wvu.FilterData" localSheetId="44" hidden="1">'б-т 981 Стим-е (01.01.20)'!$A$10:$TZ$27</definedName>
    <definedName name="Z_91675FBF_119A_4EF5_A3B7_BBAB5CEC819B_.wvu.FilterData" localSheetId="43" hidden="1">'б-т Стим-е 954 (01.01.20)'!$A$10:$TZ$27</definedName>
    <definedName name="Z_91EB3589_F443_4365_AE23_9E3B5FA1F228_.wvu.Cols" localSheetId="31" hidden="1">'б-т 966 (01.01.20)'!$AE:$AH,'б-т 966 (01.01.20)'!$JN:$JO,'б-т 966 (01.01.20)'!$JQ:$JS,'б-т 966 (01.01.20)'!$KA:$KD,'б-т 966 (01.01.20)'!$TJ:$TK,'б-т 966 (01.01.20)'!$TM:$TO,'б-т 966 (01.01.20)'!$TW:$TZ</definedName>
    <definedName name="Z_91EB3589_F443_4365_AE23_9E3B5FA1F228_.wvu.Cols" localSheetId="44" hidden="1">'б-т 981 Стим-е (01.01.20)'!$AE:$AH,'б-т 981 Стим-е (01.01.20)'!$JN:$JO,'б-т 981 Стим-е (01.01.20)'!$JQ:$JS,'б-т 981 Стим-е (01.01.20)'!$KA:$KD,'б-т 981 Стим-е (01.01.20)'!$TJ:$TK,'б-т 981 Стим-е (01.01.20)'!$TM:$TO,'б-т 981 Стим-е (01.01.20)'!$TW:$TZ</definedName>
    <definedName name="Z_91EB3589_F443_4365_AE23_9E3B5FA1F228_.wvu.Cols" localSheetId="43" hidden="1">'б-т Стим-е 954 (01.01.20)'!$AE:$AH,'б-т Стим-е 954 (01.01.20)'!$JN:$JO,'б-т Стим-е 954 (01.01.20)'!$JQ:$JS,'б-т Стим-е 954 (01.01.20)'!$KA:$KD,'б-т Стим-е 954 (01.01.20)'!$TJ:$TK,'б-т Стим-е 954 (01.01.20)'!$TM:$TO,'б-т Стим-е 954 (01.01.20)'!$TW:$TZ</definedName>
    <definedName name="Z_91EB3589_F443_4365_AE23_9E3B5FA1F228_.wvu.Cols" localSheetId="73" hidden="1">'внеб 963 (23.03.20)'!$X:$AA,'внеб 963 (23.03.20)'!$JG:$JH,'внеб 963 (23.03.20)'!$JJ:$JL,'внеб 963 (23.03.20)'!$JT:$JW,'внеб 963 (23.03.20)'!$TC:$TD,'внеб 963 (23.03.20)'!$TF:$TH,'внеб 963 (23.03.20)'!$TP:$TS</definedName>
    <definedName name="Z_91EB3589_F443_4365_AE23_9E3B5FA1F228_.wvu.FilterData" localSheetId="31" hidden="1">'б-т 966 (01.01.20)'!$A$10:$TZ$27</definedName>
    <definedName name="Z_91EB3589_F443_4365_AE23_9E3B5FA1F228_.wvu.FilterData" localSheetId="44" hidden="1">'б-т 981 Стим-е (01.01.20)'!$A$10:$TZ$27</definedName>
    <definedName name="Z_91EB3589_F443_4365_AE23_9E3B5FA1F228_.wvu.FilterData" localSheetId="43" hidden="1">'б-т Стим-е 954 (01.01.20)'!$A$10:$TZ$27</definedName>
    <definedName name="Z_91EB3589_F443_4365_AE23_9E3B5FA1F228_.wvu.FilterData" localSheetId="73" hidden="1">'внеб 963 (23.03.20)'!$A$9:$TS$10</definedName>
    <definedName name="Z_91EB3589_F443_4365_AE23_9E3B5FA1F228_.wvu.FilterData" localSheetId="54" hidden="1">'ОД 966 (21.02.20)'!$A$8:$AF$20</definedName>
    <definedName name="Z_91EB3589_F443_4365_AE23_9E3B5FA1F228_.wvu.PrintArea" localSheetId="31" hidden="1">'б-т 966 (01.01.20)'!$A$5:$Z$37</definedName>
    <definedName name="Z_91EB3589_F443_4365_AE23_9E3B5FA1F228_.wvu.PrintArea" localSheetId="44" hidden="1">'б-т 981 Стим-е (01.01.20)'!$A$5:$Z$36</definedName>
    <definedName name="Z_91EB3589_F443_4365_AE23_9E3B5FA1F228_.wvu.PrintArea" localSheetId="43" hidden="1">'б-т Стим-е 954 (01.01.20)'!$A$5:$Z$36</definedName>
    <definedName name="Z_91EB3589_F443_4365_AE23_9E3B5FA1F228_.wvu.PrintArea" localSheetId="73" hidden="1">'внеб 963 (23.03.20)'!$A$5:$S$10</definedName>
    <definedName name="Z_91EB3589_F443_4365_AE23_9E3B5FA1F228_.wvu.PrintArea" localSheetId="54" hidden="1">'ОД 966 (21.02.20)'!$A$1:$Z$20</definedName>
    <definedName name="Z_91EB3589_F443_4365_AE23_9E3B5FA1F228_.wvu.PrintTitles" localSheetId="31" hidden="1">'б-т 966 (01.01.20)'!$5:$10</definedName>
    <definedName name="Z_91EB3589_F443_4365_AE23_9E3B5FA1F228_.wvu.PrintTitles" localSheetId="44" hidden="1">'б-т 981 Стим-е (01.01.20)'!$5:$10</definedName>
    <definedName name="Z_91EB3589_F443_4365_AE23_9E3B5FA1F228_.wvu.PrintTitles" localSheetId="43" hidden="1">'б-т Стим-е 954 (01.01.20)'!$5:$10</definedName>
    <definedName name="Z_91EB3589_F443_4365_AE23_9E3B5FA1F228_.wvu.PrintTitles" localSheetId="73" hidden="1">'внеб 963 (23.03.20)'!$5:$9</definedName>
    <definedName name="Z_91EB3589_F443_4365_AE23_9E3B5FA1F228_.wvu.PrintTitles" localSheetId="54" hidden="1">'ОД 966 (21.02.20)'!$5:$7</definedName>
    <definedName name="Z_91EB3589_F443_4365_AE23_9E3B5FA1F228_.wvu.Rows" localSheetId="31" hidden="1">'б-т 966 (01.01.20)'!$1:$4</definedName>
    <definedName name="Z_91EB3589_F443_4365_AE23_9E3B5FA1F228_.wvu.Rows" localSheetId="44" hidden="1">'б-т 981 Стим-е (01.01.20)'!$3:$4</definedName>
    <definedName name="Z_91EB3589_F443_4365_AE23_9E3B5FA1F228_.wvu.Rows" localSheetId="43" hidden="1">'б-т Стим-е 954 (01.01.20)'!$1:$4</definedName>
    <definedName name="Z_91EB3589_F443_4365_AE23_9E3B5FA1F228_.wvu.Rows" localSheetId="73" hidden="1">'внеб 963 (23.03.20)'!$1:$4</definedName>
    <definedName name="Z_A2412CB8_1CDE_4390_AD6D_532EEE2B1306_.wvu.Cols" localSheetId="31" hidden="1">'б-т 966 (01.01.20)'!$D:$G,'б-т 966 (01.01.20)'!$V:$Y,'б-т 966 (01.01.20)'!$AE:$AH,'б-т 966 (01.01.20)'!$JN:$JO,'б-т 966 (01.01.20)'!$JQ:$JS,'б-т 966 (01.01.20)'!$KA:$KD,'б-т 966 (01.01.20)'!$TJ:$TK,'б-т 966 (01.01.20)'!$TM:$TO,'б-т 966 (01.01.20)'!$TW:$TZ</definedName>
    <definedName name="Z_A2412CB8_1CDE_4390_AD6D_532EEE2B1306_.wvu.Cols" localSheetId="44" hidden="1">'б-т 981 Стим-е (01.01.20)'!$D:$G,'б-т 981 Стим-е (01.01.20)'!$V:$Y,'б-т 981 Стим-е (01.01.20)'!$AE:$AH,'б-т 981 Стим-е (01.01.20)'!$JN:$JO,'б-т 981 Стим-е (01.01.20)'!$JQ:$JS,'б-т 981 Стим-е (01.01.20)'!$KA:$KD,'б-т 981 Стим-е (01.01.20)'!$TJ:$TK,'б-т 981 Стим-е (01.01.20)'!$TM:$TO,'б-т 981 Стим-е (01.01.20)'!$TW:$TZ</definedName>
    <definedName name="Z_A2412CB8_1CDE_4390_AD6D_532EEE2B1306_.wvu.Cols" localSheetId="43" hidden="1">'б-т Стим-е 954 (01.01.20)'!$D:$G,'б-т Стим-е 954 (01.01.20)'!$V:$Y,'б-т Стим-е 954 (01.01.20)'!$AE:$AH,'б-т Стим-е 954 (01.01.20)'!$JN:$JO,'б-т Стим-е 954 (01.01.20)'!$JQ:$JS,'б-т Стим-е 954 (01.01.20)'!$KA:$KD,'б-т Стим-е 954 (01.01.20)'!$TJ:$TK,'б-т Стим-е 954 (01.01.20)'!$TM:$TO,'б-т Стим-е 954 (01.01.20)'!$TW:$TZ</definedName>
    <definedName name="Z_A2412CB8_1CDE_4390_AD6D_532EEE2B1306_.wvu.Cols" localSheetId="54" hidden="1">'ОД 966 (21.02.20)'!$E:$H</definedName>
    <definedName name="Z_A2412CB8_1CDE_4390_AD6D_532EEE2B1306_.wvu.FilterData" localSheetId="31" hidden="1">'б-т 966 (01.01.20)'!$A$10:$TZ$27</definedName>
    <definedName name="Z_A2412CB8_1CDE_4390_AD6D_532EEE2B1306_.wvu.FilterData" localSheetId="44" hidden="1">'б-т 981 Стим-е (01.01.20)'!$A$10:$TZ$27</definedName>
    <definedName name="Z_A2412CB8_1CDE_4390_AD6D_532EEE2B1306_.wvu.FilterData" localSheetId="43" hidden="1">'б-т Стим-е 954 (01.01.20)'!$A$10:$TZ$27</definedName>
    <definedName name="Z_A2412CB8_1CDE_4390_AD6D_532EEE2B1306_.wvu.FilterData" localSheetId="54" hidden="1">'ОД 966 (21.02.20)'!$A$8:$AF$20</definedName>
    <definedName name="Z_A2412CB8_1CDE_4390_AD6D_532EEE2B1306_.wvu.PrintArea" localSheetId="31" hidden="1">'б-т 966 (01.01.20)'!$A$1:$Z$37</definedName>
    <definedName name="Z_A2412CB8_1CDE_4390_AD6D_532EEE2B1306_.wvu.PrintArea" localSheetId="44" hidden="1">'б-т 981 Стим-е (01.01.20)'!$A$3:$Z$36</definedName>
    <definedName name="Z_A2412CB8_1CDE_4390_AD6D_532EEE2B1306_.wvu.PrintArea" localSheetId="43" hidden="1">'б-т Стим-е 954 (01.01.20)'!$A$1:$Z$36</definedName>
    <definedName name="Z_A2412CB8_1CDE_4390_AD6D_532EEE2B1306_.wvu.PrintArea" localSheetId="54" hidden="1">'ОД 966 (21.02.20)'!$A$1:$Z$20</definedName>
    <definedName name="Z_A2412CB8_1CDE_4390_AD6D_532EEE2B1306_.wvu.PrintTitles" localSheetId="31" hidden="1">'б-т 966 (01.01.20)'!$5:$10</definedName>
    <definedName name="Z_A2412CB8_1CDE_4390_AD6D_532EEE2B1306_.wvu.PrintTitles" localSheetId="44" hidden="1">'б-т 981 Стим-е (01.01.20)'!$5:$10</definedName>
    <definedName name="Z_A2412CB8_1CDE_4390_AD6D_532EEE2B1306_.wvu.PrintTitles" localSheetId="43" hidden="1">'б-т Стим-е 954 (01.01.20)'!$5:$10</definedName>
    <definedName name="Z_A2412CB8_1CDE_4390_AD6D_532EEE2B1306_.wvu.PrintTitles" localSheetId="54" hidden="1">'ОД 966 (21.02.20)'!$5:$7</definedName>
    <definedName name="Z_A2412CB8_1CDE_4390_AD6D_532EEE2B1306_.wvu.Rows" localSheetId="31" hidden="1">'б-т 966 (01.01.20)'!$38:$67</definedName>
    <definedName name="Z_A2412CB8_1CDE_4390_AD6D_532EEE2B1306_.wvu.Rows" localSheetId="44" hidden="1">'б-т 981 Стим-е (01.01.20)'!$37:$66</definedName>
    <definedName name="Z_A2412CB8_1CDE_4390_AD6D_532EEE2B1306_.wvu.Rows" localSheetId="43" hidden="1">'б-т Стим-е 954 (01.01.20)'!$37:$66</definedName>
    <definedName name="Z_A2D8D2C6_A162_496D_8F2C_F5C3F27761A7_.wvu.FilterData" localSheetId="31" hidden="1">'б-т 966 (01.01.20)'!$A$10:$TZ$27</definedName>
    <definedName name="Z_A2D8D2C6_A162_496D_8F2C_F5C3F27761A7_.wvu.FilterData" localSheetId="44" hidden="1">'б-т 981 Стим-е (01.01.20)'!$A$10:$TZ$27</definedName>
    <definedName name="Z_A2D8D2C6_A162_496D_8F2C_F5C3F27761A7_.wvu.FilterData" localSheetId="43" hidden="1">'б-т Стим-е 954 (01.01.20)'!$A$10:$TZ$27</definedName>
    <definedName name="Z_AB4B5584_6AEA_4D85_878E_486477728477_.wvu.Cols" localSheetId="31" hidden="1">'б-т 966 (01.01.20)'!$AE:$AH,'б-т 966 (01.01.20)'!$JN:$JO,'б-т 966 (01.01.20)'!$JQ:$JS,'б-т 966 (01.01.20)'!$KA:$KD,'б-т 966 (01.01.20)'!$TJ:$TK,'б-т 966 (01.01.20)'!$TM:$TO,'б-т 966 (01.01.20)'!$TW:$TZ</definedName>
    <definedName name="Z_AB4B5584_6AEA_4D85_878E_486477728477_.wvu.Cols" localSheetId="44" hidden="1">'б-т 981 Стим-е (01.01.20)'!$AE:$AH,'б-т 981 Стим-е (01.01.20)'!$JN:$JO,'б-т 981 Стим-е (01.01.20)'!$JQ:$JS,'б-т 981 Стим-е (01.01.20)'!$KA:$KD,'б-т 981 Стим-е (01.01.20)'!$TJ:$TK,'б-т 981 Стим-е (01.01.20)'!$TM:$TO,'б-т 981 Стим-е (01.01.20)'!$TW:$TZ</definedName>
    <definedName name="Z_AB4B5584_6AEA_4D85_878E_486477728477_.wvu.Cols" localSheetId="43" hidden="1">'б-т Стим-е 954 (01.01.20)'!$AE:$AH,'б-т Стим-е 954 (01.01.20)'!$JN:$JO,'б-т Стим-е 954 (01.01.20)'!$JQ:$JS,'б-т Стим-е 954 (01.01.20)'!$KA:$KD,'б-т Стим-е 954 (01.01.20)'!$TJ:$TK,'б-т Стим-е 954 (01.01.20)'!$TM:$TO,'б-т Стим-е 954 (01.01.20)'!$TW:$TZ</definedName>
    <definedName name="Z_AB4B5584_6AEA_4D85_878E_486477728477_.wvu.Cols" localSheetId="73" hidden="1">'внеб 963 (23.03.20)'!$X:$AA,'внеб 963 (23.03.20)'!$JG:$JH,'внеб 963 (23.03.20)'!$JJ:$JL,'внеб 963 (23.03.20)'!$JT:$JW,'внеб 963 (23.03.20)'!$TC:$TD,'внеб 963 (23.03.20)'!$TF:$TH,'внеб 963 (23.03.20)'!$TP:$TS</definedName>
    <definedName name="Z_AB4B5584_6AEA_4D85_878E_486477728477_.wvu.FilterData" localSheetId="31" hidden="1">'б-т 966 (01.01.20)'!$A$10:$TZ$27</definedName>
    <definedName name="Z_AB4B5584_6AEA_4D85_878E_486477728477_.wvu.FilterData" localSheetId="44" hidden="1">'б-т 981 Стим-е (01.01.20)'!$A$10:$TZ$27</definedName>
    <definedName name="Z_AB4B5584_6AEA_4D85_878E_486477728477_.wvu.FilterData" localSheetId="43" hidden="1">'б-т Стим-е 954 (01.01.20)'!$A$10:$TZ$27</definedName>
    <definedName name="Z_AB4B5584_6AEA_4D85_878E_486477728477_.wvu.FilterData" localSheetId="73" hidden="1">'внеб 963 (23.03.20)'!$A$9:$TS$10</definedName>
    <definedName name="Z_AB4B5584_6AEA_4D85_878E_486477728477_.wvu.FilterData" localSheetId="54" hidden="1">'ОД 966 (21.02.20)'!$A$8:$AF$20</definedName>
    <definedName name="Z_AB4B5584_6AEA_4D85_878E_486477728477_.wvu.PrintArea" localSheetId="31" hidden="1">'б-т 966 (01.01.20)'!$A$1:$Z$37</definedName>
    <definedName name="Z_AB4B5584_6AEA_4D85_878E_486477728477_.wvu.PrintArea" localSheetId="44" hidden="1">'б-т 981 Стим-е (01.01.20)'!$A$3:$Z$36</definedName>
    <definedName name="Z_AB4B5584_6AEA_4D85_878E_486477728477_.wvu.PrintArea" localSheetId="43" hidden="1">'б-т Стим-е 954 (01.01.20)'!$A$1:$Z$36</definedName>
    <definedName name="Z_AB4B5584_6AEA_4D85_878E_486477728477_.wvu.PrintArea" localSheetId="73" hidden="1">'внеб 963 (23.03.20)'!$A$1:$S$10</definedName>
    <definedName name="Z_AB4B5584_6AEA_4D85_878E_486477728477_.wvu.PrintArea" localSheetId="54" hidden="1">'ОД 966 (21.02.20)'!$A$1:$Z$20</definedName>
    <definedName name="Z_AB4B5584_6AEA_4D85_878E_486477728477_.wvu.PrintTitles" localSheetId="31" hidden="1">'б-т 966 (01.01.20)'!$5:$10</definedName>
    <definedName name="Z_AB4B5584_6AEA_4D85_878E_486477728477_.wvu.PrintTitles" localSheetId="44" hidden="1">'б-т 981 Стим-е (01.01.20)'!$5:$10</definedName>
    <definedName name="Z_AB4B5584_6AEA_4D85_878E_486477728477_.wvu.PrintTitles" localSheetId="43" hidden="1">'б-т Стим-е 954 (01.01.20)'!$5:$10</definedName>
    <definedName name="Z_AB4B5584_6AEA_4D85_878E_486477728477_.wvu.PrintTitles" localSheetId="73" hidden="1">'внеб 963 (23.03.20)'!$5:$9</definedName>
    <definedName name="Z_AB4B5584_6AEA_4D85_878E_486477728477_.wvu.PrintTitles" localSheetId="54" hidden="1">'ОД 966 (21.02.20)'!$5:$7</definedName>
    <definedName name="Z_ADB4C8A9_B118_4C3A_B6EA_5A970AFD7966_.wvu.PrintArea" localSheetId="34" hidden="1">'б-т 922 (01.01.20)'!$A$1:$V$95</definedName>
    <definedName name="Z_ADB4C8A9_B118_4C3A_B6EA_5A970AFD7966_.wvu.PrintTitles" localSheetId="34" hidden="1">'б-т 922 (01.01.20)'!$4:$7</definedName>
    <definedName name="Z_ADB4C8A9_B118_4C3A_B6EA_5A970AFD7966_.wvu.Rows" localSheetId="34" hidden="1">'б-т 922 (01.01.20)'!$9:$14,'б-т 922 (01.01.20)'!$17:$57,'б-т 922 (01.01.20)'!$60:$63,'б-т 922 (01.01.20)'!$66:$66,'б-т 922 (01.01.20)'!$70:$81</definedName>
    <definedName name="Z_B9303702_B539_41E3_B399_C955A4003539_.wvu.FilterData" localSheetId="31" hidden="1">'б-т 966 (01.01.20)'!$A$10:$TZ$27</definedName>
    <definedName name="Z_B9303702_B539_41E3_B399_C955A4003539_.wvu.FilterData" localSheetId="44" hidden="1">'б-т 981 Стим-е (01.01.20)'!$A$10:$TZ$27</definedName>
    <definedName name="Z_B9303702_B539_41E3_B399_C955A4003539_.wvu.FilterData" localSheetId="43" hidden="1">'б-т Стим-е 954 (01.01.20)'!$A$10:$TZ$27</definedName>
    <definedName name="Z_BD0A6D4D_102D_4413_A142_17C883E84C8C_.wvu.FilterData" localSheetId="31" hidden="1">'б-т 966 (01.01.20)'!$A$10:$TZ$27</definedName>
    <definedName name="Z_BD0A6D4D_102D_4413_A142_17C883E84C8C_.wvu.FilterData" localSheetId="44" hidden="1">'б-т 981 Стим-е (01.01.20)'!$A$10:$TZ$27</definedName>
    <definedName name="Z_BD0A6D4D_102D_4413_A142_17C883E84C8C_.wvu.FilterData" localSheetId="43" hidden="1">'б-т Стим-е 954 (01.01.20)'!$A$10:$TZ$27</definedName>
    <definedName name="Z_CB86477E_076F_462B_B424_37689B3FF50D_.wvu.FilterData" localSheetId="31" hidden="1">'б-т 966 (01.01.20)'!$A$10:$TZ$27</definedName>
    <definedName name="Z_CB86477E_076F_462B_B424_37689B3FF50D_.wvu.FilterData" localSheetId="44" hidden="1">'б-т 981 Стим-е (01.01.20)'!$A$10:$TZ$27</definedName>
    <definedName name="Z_CB86477E_076F_462B_B424_37689B3FF50D_.wvu.FilterData" localSheetId="43" hidden="1">'б-т Стим-е 954 (01.01.20)'!$A$10:$TZ$27</definedName>
    <definedName name="Z_D5EEEF5B_BA60_4C0A_8A39_AD4068635FB5_.wvu.FilterData" localSheetId="31" hidden="1">'б-т 966 (01.01.20)'!$A$10:$TZ$27</definedName>
    <definedName name="Z_D5EEEF5B_BA60_4C0A_8A39_AD4068635FB5_.wvu.FilterData" localSheetId="44" hidden="1">'б-т 981 Стим-е (01.01.20)'!$A$10:$TZ$27</definedName>
    <definedName name="Z_D5EEEF5B_BA60_4C0A_8A39_AD4068635FB5_.wvu.FilterData" localSheetId="43" hidden="1">'б-т Стим-е 954 (01.01.20)'!$A$10:$TZ$27</definedName>
    <definedName name="Z_D5EEEF5B_BA60_4C0A_8A39_AD4068635FB5_.wvu.FilterData" localSheetId="54" hidden="1">'ОД 966 (21.02.20)'!$A$8:$AF$20</definedName>
    <definedName name="Z_D5EEEF5B_BA60_4C0A_8A39_AD4068635FB5_.wvu.PrintArea" localSheetId="31" hidden="1">'б-т 966 (01.01.20)'!$A$1:$Z$62</definedName>
    <definedName name="Z_D5EEEF5B_BA60_4C0A_8A39_AD4068635FB5_.wvu.PrintArea" localSheetId="44" hidden="1">'б-т 981 Стим-е (01.01.20)'!$A$3:$Z$61</definedName>
    <definedName name="Z_D5EEEF5B_BA60_4C0A_8A39_AD4068635FB5_.wvu.PrintArea" localSheetId="43" hidden="1">'б-т Стим-е 954 (01.01.20)'!$A$1:$Z$61</definedName>
    <definedName name="Z_D5EEEF5B_BA60_4C0A_8A39_AD4068635FB5_.wvu.PrintArea" localSheetId="54" hidden="1">'ОД 966 (21.02.20)'!$A$1:$Z$20</definedName>
    <definedName name="Z_D5EEEF5B_BA60_4C0A_8A39_AD4068635FB5_.wvu.PrintTitles" localSheetId="31" hidden="1">'б-т 966 (01.01.20)'!$5:$10</definedName>
    <definedName name="Z_D5EEEF5B_BA60_4C0A_8A39_AD4068635FB5_.wvu.PrintTitles" localSheetId="44" hidden="1">'б-т 981 Стим-е (01.01.20)'!$5:$10</definedName>
    <definedName name="Z_D5EEEF5B_BA60_4C0A_8A39_AD4068635FB5_.wvu.PrintTitles" localSheetId="43" hidden="1">'б-т Стим-е 954 (01.01.20)'!$5:$10</definedName>
    <definedName name="Z_D5EEEF5B_BA60_4C0A_8A39_AD4068635FB5_.wvu.PrintTitles" localSheetId="54" hidden="1">'ОД 966 (21.02.20)'!$5:$7</definedName>
    <definedName name="Z_D5EEEF5B_BA60_4C0A_8A39_AD4068635FB5_.wvu.Rows" localSheetId="31" hidden="1">'б-т 966 (01.01.20)'!#REF!</definedName>
    <definedName name="Z_D5EEEF5B_BA60_4C0A_8A39_AD4068635FB5_.wvu.Rows" localSheetId="44" hidden="1">'б-т 981 Стим-е (01.01.20)'!#REF!</definedName>
    <definedName name="Z_D5EEEF5B_BA60_4C0A_8A39_AD4068635FB5_.wvu.Rows" localSheetId="43" hidden="1">'б-т Стим-е 954 (01.01.20)'!#REF!</definedName>
    <definedName name="Z_DA17BC6B_0C58_45B4_89EC_5822E0779CA2_.wvu.Cols" localSheetId="31" hidden="1">'б-т 966 (01.01.20)'!$AE:$AH,'б-т 966 (01.01.20)'!$JN:$JO,'б-т 966 (01.01.20)'!$JQ:$JS,'б-т 966 (01.01.20)'!$KA:$KD,'б-т 966 (01.01.20)'!$TJ:$TK,'б-т 966 (01.01.20)'!$TM:$TO,'б-т 966 (01.01.20)'!$TW:$TZ</definedName>
    <definedName name="Z_DA17BC6B_0C58_45B4_89EC_5822E0779CA2_.wvu.Cols" localSheetId="44" hidden="1">'б-т 981 Стим-е (01.01.20)'!$AE:$AH,'б-т 981 Стим-е (01.01.20)'!$JN:$JO,'б-т 981 Стим-е (01.01.20)'!$JQ:$JS,'б-т 981 Стим-е (01.01.20)'!$KA:$KD,'б-т 981 Стим-е (01.01.20)'!$TJ:$TK,'б-т 981 Стим-е (01.01.20)'!$TM:$TO,'б-т 981 Стим-е (01.01.20)'!$TW:$TZ</definedName>
    <definedName name="Z_DA17BC6B_0C58_45B4_89EC_5822E0779CA2_.wvu.Cols" localSheetId="43" hidden="1">'б-т Стим-е 954 (01.01.20)'!$AE:$AH,'б-т Стим-е 954 (01.01.20)'!$JN:$JO,'б-т Стим-е 954 (01.01.20)'!$JQ:$JS,'б-т Стим-е 954 (01.01.20)'!$KA:$KD,'б-т Стим-е 954 (01.01.20)'!$TJ:$TK,'б-т Стим-е 954 (01.01.20)'!$TM:$TO,'б-т Стим-е 954 (01.01.20)'!$TW:$TZ</definedName>
    <definedName name="Z_DA17BC6B_0C58_45B4_89EC_5822E0779CA2_.wvu.Cols" localSheetId="73" hidden="1">'внеб 963 (23.03.20)'!$X:$AA,'внеб 963 (23.03.20)'!$JG:$JH,'внеб 963 (23.03.20)'!$JJ:$JL,'внеб 963 (23.03.20)'!$JT:$JW,'внеб 963 (23.03.20)'!$TC:$TD,'внеб 963 (23.03.20)'!$TF:$TH,'внеб 963 (23.03.20)'!$TP:$TS</definedName>
    <definedName name="Z_DA17BC6B_0C58_45B4_89EC_5822E0779CA2_.wvu.FilterData" localSheetId="31" hidden="1">'б-т 966 (01.01.20)'!$A$10:$TZ$27</definedName>
    <definedName name="Z_DA17BC6B_0C58_45B4_89EC_5822E0779CA2_.wvu.FilterData" localSheetId="44" hidden="1">'б-т 981 Стим-е (01.01.20)'!$A$10:$TZ$27</definedName>
    <definedName name="Z_DA17BC6B_0C58_45B4_89EC_5822E0779CA2_.wvu.FilterData" localSheetId="43" hidden="1">'б-т Стим-е 954 (01.01.20)'!$A$10:$TZ$27</definedName>
    <definedName name="Z_DA17BC6B_0C58_45B4_89EC_5822E0779CA2_.wvu.FilterData" localSheetId="73" hidden="1">'внеб 963 (23.03.20)'!$A$9:$TS$10</definedName>
    <definedName name="Z_DA17BC6B_0C58_45B4_89EC_5822E0779CA2_.wvu.FilterData" localSheetId="54" hidden="1">'ОД 966 (21.02.20)'!$A$8:$AF$20</definedName>
    <definedName name="Z_DA17BC6B_0C58_45B4_89EC_5822E0779CA2_.wvu.PrintArea" localSheetId="31" hidden="1">'б-т 966 (01.01.20)'!$A$1:$Z$37</definedName>
    <definedName name="Z_DA17BC6B_0C58_45B4_89EC_5822E0779CA2_.wvu.PrintArea" localSheetId="44" hidden="1">'б-т 981 Стим-е (01.01.20)'!$A$3:$Z$36</definedName>
    <definedName name="Z_DA17BC6B_0C58_45B4_89EC_5822E0779CA2_.wvu.PrintArea" localSheetId="43" hidden="1">'б-т Стим-е 954 (01.01.20)'!$A$1:$Z$36</definedName>
    <definedName name="Z_DA17BC6B_0C58_45B4_89EC_5822E0779CA2_.wvu.PrintArea" localSheetId="73" hidden="1">'внеб 963 (23.03.20)'!$A$1:$S$10</definedName>
    <definedName name="Z_DA17BC6B_0C58_45B4_89EC_5822E0779CA2_.wvu.PrintArea" localSheetId="54" hidden="1">'ОД 966 (21.02.20)'!$A$1:$Z$20</definedName>
    <definedName name="Z_DA17BC6B_0C58_45B4_89EC_5822E0779CA2_.wvu.PrintTitles" localSheetId="31" hidden="1">'б-т 966 (01.01.20)'!$5:$10</definedName>
    <definedName name="Z_DA17BC6B_0C58_45B4_89EC_5822E0779CA2_.wvu.PrintTitles" localSheetId="44" hidden="1">'б-т 981 Стим-е (01.01.20)'!$5:$10</definedName>
    <definedName name="Z_DA17BC6B_0C58_45B4_89EC_5822E0779CA2_.wvu.PrintTitles" localSheetId="43" hidden="1">'б-т Стим-е 954 (01.01.20)'!$5:$10</definedName>
    <definedName name="Z_DA17BC6B_0C58_45B4_89EC_5822E0779CA2_.wvu.PrintTitles" localSheetId="73" hidden="1">'внеб 963 (23.03.20)'!$5:$9</definedName>
    <definedName name="Z_DA17BC6B_0C58_45B4_89EC_5822E0779CA2_.wvu.PrintTitles" localSheetId="54" hidden="1">'ОД 966 (21.02.20)'!$5:$7</definedName>
    <definedName name="Z_EE4E0114_3964_4390_83C1_49A8A96C6689_.wvu.FilterData" localSheetId="54" hidden="1">'ОД 966 (21.02.20)'!$A$8:$AF$20</definedName>
    <definedName name="Z_FA3247DF_3CC7_451C_A43F_BEFCCF4AEB40_.wvu.Cols" localSheetId="31" hidden="1">'б-т 966 (01.01.20)'!$AE:$AH,'б-т 966 (01.01.20)'!$JN:$JO,'б-т 966 (01.01.20)'!$JQ:$JS,'б-т 966 (01.01.20)'!$KA:$KD,'б-т 966 (01.01.20)'!$TJ:$TK,'б-т 966 (01.01.20)'!$TM:$TO,'б-т 966 (01.01.20)'!$TW:$TZ</definedName>
    <definedName name="Z_FA3247DF_3CC7_451C_A43F_BEFCCF4AEB40_.wvu.Cols" localSheetId="44" hidden="1">'б-т 981 Стим-е (01.01.20)'!$AE:$AH,'б-т 981 Стим-е (01.01.20)'!$JN:$JO,'б-т 981 Стим-е (01.01.20)'!$JQ:$JS,'б-т 981 Стим-е (01.01.20)'!$KA:$KD,'б-т 981 Стим-е (01.01.20)'!$TJ:$TK,'б-т 981 Стим-е (01.01.20)'!$TM:$TO,'б-т 981 Стим-е (01.01.20)'!$TW:$TZ</definedName>
    <definedName name="Z_FA3247DF_3CC7_451C_A43F_BEFCCF4AEB40_.wvu.Cols" localSheetId="43" hidden="1">'б-т Стим-е 954 (01.01.20)'!$AE:$AH,'б-т Стим-е 954 (01.01.20)'!$JN:$JO,'б-т Стим-е 954 (01.01.20)'!$JQ:$JS,'б-т Стим-е 954 (01.01.20)'!$KA:$KD,'б-т Стим-е 954 (01.01.20)'!$TJ:$TK,'б-т Стим-е 954 (01.01.20)'!$TM:$TO,'б-т Стим-е 954 (01.01.20)'!$TW:$TZ</definedName>
    <definedName name="Z_FA3247DF_3CC7_451C_A43F_BEFCCF4AEB40_.wvu.Cols" localSheetId="73" hidden="1">'внеб 963 (23.03.20)'!$X:$AA,'внеб 963 (23.03.20)'!$JG:$JH,'внеб 963 (23.03.20)'!$JJ:$JL,'внеб 963 (23.03.20)'!$JT:$JW,'внеб 963 (23.03.20)'!$TC:$TD,'внеб 963 (23.03.20)'!$TF:$TH,'внеб 963 (23.03.20)'!$TP:$TS</definedName>
    <definedName name="Z_FA3247DF_3CC7_451C_A43F_BEFCCF4AEB40_.wvu.FilterData" localSheetId="31" hidden="1">'б-т 966 (01.01.20)'!$A$10:$TZ$27</definedName>
    <definedName name="Z_FA3247DF_3CC7_451C_A43F_BEFCCF4AEB40_.wvu.FilterData" localSheetId="44" hidden="1">'б-т 981 Стим-е (01.01.20)'!$A$10:$TZ$27</definedName>
    <definedName name="Z_FA3247DF_3CC7_451C_A43F_BEFCCF4AEB40_.wvu.FilterData" localSheetId="43" hidden="1">'б-т Стим-е 954 (01.01.20)'!$A$10:$TZ$27</definedName>
    <definedName name="Z_FA3247DF_3CC7_451C_A43F_BEFCCF4AEB40_.wvu.FilterData" localSheetId="73" hidden="1">'внеб 963 (23.03.20)'!$A$9:$TS$10</definedName>
    <definedName name="Z_FA3247DF_3CC7_451C_A43F_BEFCCF4AEB40_.wvu.FilterData" localSheetId="54" hidden="1">'ОД 966 (21.02.20)'!$A$8:$AF$20</definedName>
    <definedName name="Z_FA3247DF_3CC7_451C_A43F_BEFCCF4AEB40_.wvu.PrintArea" localSheetId="31" hidden="1">'б-т 966 (01.01.20)'!$A$1:$Z$37</definedName>
    <definedName name="Z_FA3247DF_3CC7_451C_A43F_BEFCCF4AEB40_.wvu.PrintArea" localSheetId="44" hidden="1">'б-т 981 Стим-е (01.01.20)'!$A$3:$Z$36</definedName>
    <definedName name="Z_FA3247DF_3CC7_451C_A43F_BEFCCF4AEB40_.wvu.PrintArea" localSheetId="43" hidden="1">'б-т Стим-е 954 (01.01.20)'!$A$1:$Z$36</definedName>
    <definedName name="Z_FA3247DF_3CC7_451C_A43F_BEFCCF4AEB40_.wvu.PrintArea" localSheetId="73" hidden="1">'внеб 963 (23.03.20)'!$A$1:$S$10</definedName>
    <definedName name="Z_FA3247DF_3CC7_451C_A43F_BEFCCF4AEB40_.wvu.PrintArea" localSheetId="54" hidden="1">'ОД 966 (21.02.20)'!$A$1:$Z$20</definedName>
    <definedName name="Z_FA3247DF_3CC7_451C_A43F_BEFCCF4AEB40_.wvu.PrintTitles" localSheetId="31" hidden="1">'б-т 966 (01.01.20)'!$5:$10</definedName>
    <definedName name="Z_FA3247DF_3CC7_451C_A43F_BEFCCF4AEB40_.wvu.PrintTitles" localSheetId="44" hidden="1">'б-т 981 Стим-е (01.01.20)'!$5:$10</definedName>
    <definedName name="Z_FA3247DF_3CC7_451C_A43F_BEFCCF4AEB40_.wvu.PrintTitles" localSheetId="43" hidden="1">'б-т Стим-е 954 (01.01.20)'!$5:$10</definedName>
    <definedName name="Z_FA3247DF_3CC7_451C_A43F_BEFCCF4AEB40_.wvu.PrintTitles" localSheetId="73" hidden="1">'внеб 963 (23.03.20)'!$5:$9</definedName>
    <definedName name="Z_FA3247DF_3CC7_451C_A43F_BEFCCF4AEB40_.wvu.PrintTitles" localSheetId="54" hidden="1">'ОД 966 (21.02.20)'!$5:$7</definedName>
    <definedName name="Z_FAD34071_9151_4493_A5C6_C65A2C3DF9D9_.wvu.FilterData" localSheetId="31" hidden="1">'б-т 966 (01.01.20)'!$A$10:$TZ$27</definedName>
    <definedName name="Z_FAD34071_9151_4493_A5C6_C65A2C3DF9D9_.wvu.FilterData" localSheetId="44" hidden="1">'б-т 981 Стим-е (01.01.20)'!$A$10:$TZ$27</definedName>
    <definedName name="Z_FAD34071_9151_4493_A5C6_C65A2C3DF9D9_.wvu.FilterData" localSheetId="43" hidden="1">'б-т Стим-е 954 (01.01.20)'!$A$10:$TZ$27</definedName>
    <definedName name="а" localSheetId="55">#REF!</definedName>
    <definedName name="а" localSheetId="56">#REF!</definedName>
    <definedName name="а" localSheetId="57">#REF!</definedName>
    <definedName name="а" localSheetId="81">#REF!</definedName>
    <definedName name="а" localSheetId="82">#REF!</definedName>
    <definedName name="а" localSheetId="26">#REF!</definedName>
    <definedName name="а" localSheetId="27">#REF!</definedName>
    <definedName name="а" localSheetId="62">#REF!</definedName>
    <definedName name="а" localSheetId="64">#REF!</definedName>
    <definedName name="а" localSheetId="58">#REF!</definedName>
    <definedName name="а" localSheetId="49">#REF!</definedName>
    <definedName name="а" localSheetId="50">#REF!</definedName>
    <definedName name="а" localSheetId="22">#REF!</definedName>
    <definedName name="а" localSheetId="52">#REF!</definedName>
    <definedName name="а" localSheetId="53">#REF!</definedName>
    <definedName name="а" localSheetId="5">#REF!</definedName>
    <definedName name="а" localSheetId="6">#REF!</definedName>
    <definedName name="а" localSheetId="7">#REF!</definedName>
    <definedName name="а" localSheetId="33">#REF!</definedName>
    <definedName name="а" localSheetId="47">#REF!</definedName>
    <definedName name="а" localSheetId="48">#REF!</definedName>
    <definedName name="а">#REF!</definedName>
    <definedName name="А1" localSheetId="55">#REF!</definedName>
    <definedName name="А1" localSheetId="56">#REF!</definedName>
    <definedName name="А1" localSheetId="57">#REF!</definedName>
    <definedName name="А1" localSheetId="81">#REF!</definedName>
    <definedName name="А1" localSheetId="82">#REF!</definedName>
    <definedName name="А1" localSheetId="26">#REF!</definedName>
    <definedName name="А1" localSheetId="27">#REF!</definedName>
    <definedName name="А1" localSheetId="25">#REF!</definedName>
    <definedName name="А1" localSheetId="62">#REF!</definedName>
    <definedName name="А1" localSheetId="64">#REF!</definedName>
    <definedName name="А1" localSheetId="86">#REF!</definedName>
    <definedName name="А1" localSheetId="92">#REF!</definedName>
    <definedName name="А1" localSheetId="98">#REF!</definedName>
    <definedName name="А1" localSheetId="84">#REF!</definedName>
    <definedName name="А1" localSheetId="90">#REF!</definedName>
    <definedName name="А1" localSheetId="96">#REF!</definedName>
    <definedName name="А1" localSheetId="58">#REF!</definedName>
    <definedName name="А1" localSheetId="49">#REF!</definedName>
    <definedName name="А1" localSheetId="50">#REF!</definedName>
    <definedName name="А1" localSheetId="22">#REF!</definedName>
    <definedName name="А1" localSheetId="2">#REF!</definedName>
    <definedName name="А1" localSheetId="87">#REF!</definedName>
    <definedName name="А1" localSheetId="93">#REF!</definedName>
    <definedName name="А1" localSheetId="52">#REF!</definedName>
    <definedName name="А1" localSheetId="53">#REF!</definedName>
    <definedName name="А1" localSheetId="5">#REF!</definedName>
    <definedName name="А1" localSheetId="6">#REF!</definedName>
    <definedName name="А1" localSheetId="7">#REF!</definedName>
    <definedName name="А1" localSheetId="3">#REF!</definedName>
    <definedName name="А1" localSheetId="88">#REF!</definedName>
    <definedName name="А1" localSheetId="94">#REF!</definedName>
    <definedName name="А1" localSheetId="1">#REF!</definedName>
    <definedName name="А1" localSheetId="0">#REF!</definedName>
    <definedName name="А1" localSheetId="23">#REF!</definedName>
    <definedName name="А1" localSheetId="24">#REF!</definedName>
    <definedName name="А1" localSheetId="33">#REF!</definedName>
    <definedName name="А1" localSheetId="47">#REF!</definedName>
    <definedName name="А1" localSheetId="48">#REF!</definedName>
    <definedName name="А1" localSheetId="89">#REF!</definedName>
    <definedName name="А1" localSheetId="95">#REF!</definedName>
    <definedName name="А1" localSheetId="85">#REF!</definedName>
    <definedName name="А1" localSheetId="91">#REF!</definedName>
    <definedName name="А1" localSheetId="97">#REF!</definedName>
    <definedName name="А1">#REF!</definedName>
    <definedName name="ааа" localSheetId="55">#REF!</definedName>
    <definedName name="ааа" localSheetId="56">#REF!</definedName>
    <definedName name="ааа" localSheetId="57">#REF!</definedName>
    <definedName name="ааа" localSheetId="81">#REF!</definedName>
    <definedName name="ааа" localSheetId="82">#REF!</definedName>
    <definedName name="ааа" localSheetId="31">#REF!</definedName>
    <definedName name="ааа" localSheetId="44">#REF!</definedName>
    <definedName name="ааа" localSheetId="26">#REF!</definedName>
    <definedName name="ааа" localSheetId="27">#REF!</definedName>
    <definedName name="ааа" localSheetId="43">#REF!</definedName>
    <definedName name="ааа" localSheetId="73">#REF!</definedName>
    <definedName name="ааа" localSheetId="62">#REF!</definedName>
    <definedName name="ааа" localSheetId="64">#REF!</definedName>
    <definedName name="ааа" localSheetId="58">#REF!</definedName>
    <definedName name="ааа" localSheetId="49">#REF!</definedName>
    <definedName name="ааа" localSheetId="50">#REF!</definedName>
    <definedName name="ааа" localSheetId="22">#REF!</definedName>
    <definedName name="ааа" localSheetId="54">#REF!</definedName>
    <definedName name="ааа" localSheetId="52">#REF!</definedName>
    <definedName name="ааа" localSheetId="53">#REF!</definedName>
    <definedName name="ааа" localSheetId="5">#REF!</definedName>
    <definedName name="ааа" localSheetId="6">#REF!</definedName>
    <definedName name="ааа" localSheetId="7">#REF!</definedName>
    <definedName name="ааа" localSheetId="23">#REF!</definedName>
    <definedName name="ааа" localSheetId="24">#REF!</definedName>
    <definedName name="ааа" localSheetId="33">#REF!</definedName>
    <definedName name="ааа" localSheetId="47">#REF!</definedName>
    <definedName name="ааа" localSheetId="48">#REF!</definedName>
    <definedName name="ааа">#REF!</definedName>
    <definedName name="ааа_14" localSheetId="55">#REF!</definedName>
    <definedName name="ааа_14" localSheetId="56">#REF!</definedName>
    <definedName name="ааа_14" localSheetId="57">#REF!</definedName>
    <definedName name="ааа_14" localSheetId="81">#REF!</definedName>
    <definedName name="ааа_14" localSheetId="82">#REF!</definedName>
    <definedName name="ааа_14" localSheetId="31">#REF!</definedName>
    <definedName name="ааа_14" localSheetId="44">#REF!</definedName>
    <definedName name="ааа_14" localSheetId="26">#REF!</definedName>
    <definedName name="ааа_14" localSheetId="27">#REF!</definedName>
    <definedName name="ааа_14" localSheetId="43">#REF!</definedName>
    <definedName name="ааа_14" localSheetId="73">#REF!</definedName>
    <definedName name="ааа_14" localSheetId="62">#REF!</definedName>
    <definedName name="ааа_14" localSheetId="64">#REF!</definedName>
    <definedName name="ааа_14" localSheetId="58">#REF!</definedName>
    <definedName name="ааа_14" localSheetId="49">#REF!</definedName>
    <definedName name="ааа_14" localSheetId="50">#REF!</definedName>
    <definedName name="ааа_14" localSheetId="22">#REF!</definedName>
    <definedName name="ааа_14" localSheetId="54">#REF!</definedName>
    <definedName name="ааа_14" localSheetId="52">#REF!</definedName>
    <definedName name="ааа_14" localSheetId="53">#REF!</definedName>
    <definedName name="ааа_14" localSheetId="5">#REF!</definedName>
    <definedName name="ааа_14" localSheetId="6">#REF!</definedName>
    <definedName name="ааа_14" localSheetId="7">#REF!</definedName>
    <definedName name="ааа_14" localSheetId="23">#REF!</definedName>
    <definedName name="ааа_14" localSheetId="24">#REF!</definedName>
    <definedName name="ааа_14" localSheetId="33">#REF!</definedName>
    <definedName name="ааа_14" localSheetId="47">#REF!</definedName>
    <definedName name="ааа_14" localSheetId="48">#REF!</definedName>
    <definedName name="ааа_14">#REF!</definedName>
    <definedName name="АнМ" localSheetId="55">'[5]Гр5(о)'!#REF!</definedName>
    <definedName name="АнМ" localSheetId="56">'[5]Гр5(о)'!#REF!</definedName>
    <definedName name="АнМ" localSheetId="57">'[5]Гр5(о)'!#REF!</definedName>
    <definedName name="АнМ" localSheetId="81">'[5]Гр5(о)'!#REF!</definedName>
    <definedName name="АнМ" localSheetId="82">'[5]Гр5(о)'!#REF!</definedName>
    <definedName name="АнМ" localSheetId="31">'[5]Гр5(о)'!#REF!</definedName>
    <definedName name="АнМ" localSheetId="44">'[5]Гр5(о)'!#REF!</definedName>
    <definedName name="АнМ" localSheetId="26">'[5]Гр5(о)'!#REF!</definedName>
    <definedName name="АнМ" localSheetId="27">'[5]Гр5(о)'!#REF!</definedName>
    <definedName name="АнМ" localSheetId="43">'[5]Гр5(о)'!#REF!</definedName>
    <definedName name="АнМ" localSheetId="73">'[5]Гр5(о)'!#REF!</definedName>
    <definedName name="АнМ" localSheetId="62">'[5]Гр5(о)'!#REF!</definedName>
    <definedName name="АнМ" localSheetId="64">'[5]Гр5(о)'!#REF!</definedName>
    <definedName name="АнМ" localSheetId="58">'[5]Гр5(о)'!#REF!</definedName>
    <definedName name="АнМ" localSheetId="49">'[5]Гр5(о)'!#REF!</definedName>
    <definedName name="АнМ" localSheetId="50">'[5]Гр5(о)'!#REF!</definedName>
    <definedName name="АнМ" localSheetId="22">'[5]Гр5(о)'!#REF!</definedName>
    <definedName name="АнМ" localSheetId="54">'[5]Гр5(о)'!#REF!</definedName>
    <definedName name="АнМ" localSheetId="52">'[5]Гр5(о)'!#REF!</definedName>
    <definedName name="АнМ" localSheetId="53">'[5]Гр5(о)'!#REF!</definedName>
    <definedName name="АнМ" localSheetId="5">'[5]Гр5(о)'!#REF!</definedName>
    <definedName name="АнМ" localSheetId="6">'[5]Гр5(о)'!#REF!</definedName>
    <definedName name="АнМ" localSheetId="7">'[5]Гр5(о)'!#REF!</definedName>
    <definedName name="АнМ" localSheetId="23">'[5]Гр5(о)'!#REF!</definedName>
    <definedName name="АнМ" localSheetId="24">'[5]Гр5(о)'!#REF!</definedName>
    <definedName name="АнМ" localSheetId="33">'[5]Гр5(о)'!#REF!</definedName>
    <definedName name="АнМ" localSheetId="47">'[5]Гр5(о)'!#REF!</definedName>
    <definedName name="АнМ" localSheetId="48">'[5]Гр5(о)'!#REF!</definedName>
    <definedName name="АнМ">'[5]Гр5(о)'!#REF!</definedName>
    <definedName name="АнМ_14" localSheetId="55">'[5]Гр5(о)'!#REF!</definedName>
    <definedName name="АнМ_14" localSheetId="56">'[5]Гр5(о)'!#REF!</definedName>
    <definedName name="АнМ_14" localSheetId="57">'[5]Гр5(о)'!#REF!</definedName>
    <definedName name="АнМ_14" localSheetId="81">'[5]Гр5(о)'!#REF!</definedName>
    <definedName name="АнМ_14" localSheetId="82">'[5]Гр5(о)'!#REF!</definedName>
    <definedName name="АнМ_14" localSheetId="31">'[5]Гр5(о)'!#REF!</definedName>
    <definedName name="АнМ_14" localSheetId="44">'[5]Гр5(о)'!#REF!</definedName>
    <definedName name="АнМ_14" localSheetId="26">'[5]Гр5(о)'!#REF!</definedName>
    <definedName name="АнМ_14" localSheetId="27">'[5]Гр5(о)'!#REF!</definedName>
    <definedName name="АнМ_14" localSheetId="43">'[5]Гр5(о)'!#REF!</definedName>
    <definedName name="АнМ_14" localSheetId="73">'[5]Гр5(о)'!#REF!</definedName>
    <definedName name="АнМ_14" localSheetId="62">'[5]Гр5(о)'!#REF!</definedName>
    <definedName name="АнМ_14" localSheetId="64">'[5]Гр5(о)'!#REF!</definedName>
    <definedName name="АнМ_14" localSheetId="58">'[5]Гр5(о)'!#REF!</definedName>
    <definedName name="АнМ_14" localSheetId="49">'[5]Гр5(о)'!#REF!</definedName>
    <definedName name="АнМ_14" localSheetId="50">'[5]Гр5(о)'!#REF!</definedName>
    <definedName name="АнМ_14" localSheetId="22">'[5]Гр5(о)'!#REF!</definedName>
    <definedName name="АнМ_14" localSheetId="54">'[5]Гр5(о)'!#REF!</definedName>
    <definedName name="АнМ_14" localSheetId="52">'[5]Гр5(о)'!#REF!</definedName>
    <definedName name="АнМ_14" localSheetId="53">'[5]Гр5(о)'!#REF!</definedName>
    <definedName name="АнМ_14" localSheetId="5">'[5]Гр5(о)'!#REF!</definedName>
    <definedName name="АнМ_14" localSheetId="6">'[5]Гр5(о)'!#REF!</definedName>
    <definedName name="АнМ_14" localSheetId="7">'[5]Гр5(о)'!#REF!</definedName>
    <definedName name="АнМ_14" localSheetId="23">'[5]Гр5(о)'!#REF!</definedName>
    <definedName name="АнМ_14" localSheetId="24">'[5]Гр5(о)'!#REF!</definedName>
    <definedName name="АнМ_14" localSheetId="33">'[5]Гр5(о)'!#REF!</definedName>
    <definedName name="АнМ_14" localSheetId="47">'[5]Гр5(о)'!#REF!</definedName>
    <definedName name="АнМ_14" localSheetId="48">'[5]Гр5(о)'!#REF!</definedName>
    <definedName name="АнМ_14">'[5]Гр5(о)'!#REF!</definedName>
    <definedName name="апоыпао" localSheetId="55">#REF!</definedName>
    <definedName name="апоыпао" localSheetId="56">#REF!</definedName>
    <definedName name="апоыпао" localSheetId="57">#REF!</definedName>
    <definedName name="апоыпао" localSheetId="81">#REF!</definedName>
    <definedName name="апоыпао" localSheetId="82">#REF!</definedName>
    <definedName name="апоыпао" localSheetId="31">#REF!</definedName>
    <definedName name="апоыпао" localSheetId="44">#REF!</definedName>
    <definedName name="апоыпао" localSheetId="26">#REF!</definedName>
    <definedName name="апоыпао" localSheetId="27">#REF!</definedName>
    <definedName name="апоыпао" localSheetId="43">#REF!</definedName>
    <definedName name="апоыпао" localSheetId="73">#REF!</definedName>
    <definedName name="апоыпао" localSheetId="62">#REF!</definedName>
    <definedName name="апоыпао" localSheetId="64">#REF!</definedName>
    <definedName name="апоыпао" localSheetId="58">#REF!</definedName>
    <definedName name="апоыпао" localSheetId="49">#REF!</definedName>
    <definedName name="апоыпао" localSheetId="50">#REF!</definedName>
    <definedName name="апоыпао" localSheetId="22">#REF!</definedName>
    <definedName name="апоыпао" localSheetId="80">#REF!</definedName>
    <definedName name="апоыпао" localSheetId="54">#REF!</definedName>
    <definedName name="апоыпао" localSheetId="52">#REF!</definedName>
    <definedName name="апоыпао" localSheetId="53">#REF!</definedName>
    <definedName name="апоыпао" localSheetId="5">#REF!</definedName>
    <definedName name="апоыпао" localSheetId="6">#REF!</definedName>
    <definedName name="апоыпао" localSheetId="7">#REF!</definedName>
    <definedName name="апоыпао" localSheetId="23">#REF!</definedName>
    <definedName name="апоыпао" localSheetId="24">#REF!</definedName>
    <definedName name="апоыпао" localSheetId="33">#REF!</definedName>
    <definedName name="апоыпао" localSheetId="47">#REF!</definedName>
    <definedName name="апоыпао" localSheetId="48">#REF!</definedName>
    <definedName name="апоыпао">#REF!</definedName>
    <definedName name="афраврр" localSheetId="55">'[4]Гр5(о)'!#REF!</definedName>
    <definedName name="афраврр" localSheetId="56">'[4]Гр5(о)'!#REF!</definedName>
    <definedName name="афраврр" localSheetId="57">'[4]Гр5(о)'!#REF!</definedName>
    <definedName name="афраврр" localSheetId="81">'[4]Гр5(о)'!#REF!</definedName>
    <definedName name="афраврр" localSheetId="82">'[4]Гр5(о)'!#REF!</definedName>
    <definedName name="афраврр" localSheetId="31">'[4]Гр5(о)'!#REF!</definedName>
    <definedName name="афраврр" localSheetId="44">'[4]Гр5(о)'!#REF!</definedName>
    <definedName name="афраврр" localSheetId="26">'[4]Гр5(о)'!#REF!</definedName>
    <definedName name="афраврр" localSheetId="27">'[4]Гр5(о)'!#REF!</definedName>
    <definedName name="афраврр" localSheetId="43">'[4]Гр5(о)'!#REF!</definedName>
    <definedName name="афраврр" localSheetId="73">'[4]Гр5(о)'!#REF!</definedName>
    <definedName name="афраврр" localSheetId="62">'[4]Гр5(о)'!#REF!</definedName>
    <definedName name="афраврр" localSheetId="64">'[4]Гр5(о)'!#REF!</definedName>
    <definedName name="афраврр" localSheetId="58">'[4]Гр5(о)'!#REF!</definedName>
    <definedName name="афраврр" localSheetId="49">'[4]Гр5(о)'!#REF!</definedName>
    <definedName name="афраврр" localSheetId="50">'[4]Гр5(о)'!#REF!</definedName>
    <definedName name="афраврр" localSheetId="22">'[4]Гр5(о)'!#REF!</definedName>
    <definedName name="афраврр" localSheetId="80">'[4]Гр5(о)'!#REF!</definedName>
    <definedName name="афраврр" localSheetId="54">'[4]Гр5(о)'!#REF!</definedName>
    <definedName name="афраврр" localSheetId="52">'[4]Гр5(о)'!#REF!</definedName>
    <definedName name="афраврр" localSheetId="53">'[4]Гр5(о)'!#REF!</definedName>
    <definedName name="афраврр" localSheetId="5">'[4]Гр5(о)'!#REF!</definedName>
    <definedName name="афраврр" localSheetId="6">'[4]Гр5(о)'!#REF!</definedName>
    <definedName name="афраврр" localSheetId="7">'[4]Гр5(о)'!#REF!</definedName>
    <definedName name="афраврр" localSheetId="23">'[4]Гр5(о)'!#REF!</definedName>
    <definedName name="афраврр" localSheetId="24">'[4]Гр5(о)'!#REF!</definedName>
    <definedName name="афраврр" localSheetId="33">'[4]Гр5(о)'!#REF!</definedName>
    <definedName name="афраврр" localSheetId="47">'[4]Гр5(о)'!#REF!</definedName>
    <definedName name="афраврр" localSheetId="48">'[4]Гр5(о)'!#REF!</definedName>
    <definedName name="афраврр">'[4]Гр5(о)'!#REF!</definedName>
    <definedName name="вв" localSheetId="55">[6]ПРОГНОЗ_1!#REF!</definedName>
    <definedName name="вв" localSheetId="56">[6]ПРОГНОЗ_1!#REF!</definedName>
    <definedName name="вв" localSheetId="57">[6]ПРОГНОЗ_1!#REF!</definedName>
    <definedName name="вв" localSheetId="81">[6]ПРОГНОЗ_1!#REF!</definedName>
    <definedName name="вв" localSheetId="82">[6]ПРОГНОЗ_1!#REF!</definedName>
    <definedName name="вв" localSheetId="31">[6]ПРОГНОЗ_1!#REF!</definedName>
    <definedName name="вв" localSheetId="44">[6]ПРОГНОЗ_1!#REF!</definedName>
    <definedName name="вв" localSheetId="26">[6]ПРОГНОЗ_1!#REF!</definedName>
    <definedName name="вв" localSheetId="27">[6]ПРОГНОЗ_1!#REF!</definedName>
    <definedName name="вв" localSheetId="43">[6]ПРОГНОЗ_1!#REF!</definedName>
    <definedName name="вв" localSheetId="73">[6]ПРОГНОЗ_1!#REF!</definedName>
    <definedName name="вв" localSheetId="62">[6]ПРОГНОЗ_1!#REF!</definedName>
    <definedName name="вв" localSheetId="64">[6]ПРОГНОЗ_1!#REF!</definedName>
    <definedName name="вв" localSheetId="58">[6]ПРОГНОЗ_1!#REF!</definedName>
    <definedName name="вв" localSheetId="49">[6]ПРОГНОЗ_1!#REF!</definedName>
    <definedName name="вв" localSheetId="50">[6]ПРОГНОЗ_1!#REF!</definedName>
    <definedName name="вв" localSheetId="22">[6]ПРОГНОЗ_1!#REF!</definedName>
    <definedName name="вв" localSheetId="54">[6]ПРОГНОЗ_1!#REF!</definedName>
    <definedName name="вв" localSheetId="52">[6]ПРОГНОЗ_1!#REF!</definedName>
    <definedName name="вв" localSheetId="53">[6]ПРОГНОЗ_1!#REF!</definedName>
    <definedName name="вв" localSheetId="5">[6]ПРОГНОЗ_1!#REF!</definedName>
    <definedName name="вв" localSheetId="6">[6]ПРОГНОЗ_1!#REF!</definedName>
    <definedName name="вв" localSheetId="7">[6]ПРОГНОЗ_1!#REF!</definedName>
    <definedName name="вв" localSheetId="23">[6]ПРОГНОЗ_1!#REF!</definedName>
    <definedName name="вв" localSheetId="24">[6]ПРОГНОЗ_1!#REF!</definedName>
    <definedName name="вв" localSheetId="33">[6]ПРОГНОЗ_1!#REF!</definedName>
    <definedName name="вв" localSheetId="47">[6]ПРОГНОЗ_1!#REF!</definedName>
    <definedName name="вв" localSheetId="48">[6]ПРОГНОЗ_1!#REF!</definedName>
    <definedName name="вв">[6]ПРОГНОЗ_1!#REF!</definedName>
    <definedName name="вв_14" localSheetId="55">[6]ПРОГНОЗ_1!#REF!</definedName>
    <definedName name="вв_14" localSheetId="56">[6]ПРОГНОЗ_1!#REF!</definedName>
    <definedName name="вв_14" localSheetId="57">[6]ПРОГНОЗ_1!#REF!</definedName>
    <definedName name="вв_14" localSheetId="81">[6]ПРОГНОЗ_1!#REF!</definedName>
    <definedName name="вв_14" localSheetId="82">[6]ПРОГНОЗ_1!#REF!</definedName>
    <definedName name="вв_14" localSheetId="31">[6]ПРОГНОЗ_1!#REF!</definedName>
    <definedName name="вв_14" localSheetId="44">[6]ПРОГНОЗ_1!#REF!</definedName>
    <definedName name="вв_14" localSheetId="26">[6]ПРОГНОЗ_1!#REF!</definedName>
    <definedName name="вв_14" localSheetId="27">[6]ПРОГНОЗ_1!#REF!</definedName>
    <definedName name="вв_14" localSheetId="43">[6]ПРОГНОЗ_1!#REF!</definedName>
    <definedName name="вв_14" localSheetId="73">[6]ПРОГНОЗ_1!#REF!</definedName>
    <definedName name="вв_14" localSheetId="62">[6]ПРОГНОЗ_1!#REF!</definedName>
    <definedName name="вв_14" localSheetId="64">[6]ПРОГНОЗ_1!#REF!</definedName>
    <definedName name="вв_14" localSheetId="58">[6]ПРОГНОЗ_1!#REF!</definedName>
    <definedName name="вв_14" localSheetId="49">[6]ПРОГНОЗ_1!#REF!</definedName>
    <definedName name="вв_14" localSheetId="50">[6]ПРОГНОЗ_1!#REF!</definedName>
    <definedName name="вв_14" localSheetId="22">[6]ПРОГНОЗ_1!#REF!</definedName>
    <definedName name="вв_14" localSheetId="54">[6]ПРОГНОЗ_1!#REF!</definedName>
    <definedName name="вв_14" localSheetId="52">[6]ПРОГНОЗ_1!#REF!</definedName>
    <definedName name="вв_14" localSheetId="53">[6]ПРОГНОЗ_1!#REF!</definedName>
    <definedName name="вв_14" localSheetId="5">[6]ПРОГНОЗ_1!#REF!</definedName>
    <definedName name="вв_14" localSheetId="6">[6]ПРОГНОЗ_1!#REF!</definedName>
    <definedName name="вв_14" localSheetId="7">[6]ПРОГНОЗ_1!#REF!</definedName>
    <definedName name="вв_14" localSheetId="23">[6]ПРОГНОЗ_1!#REF!</definedName>
    <definedName name="вв_14" localSheetId="24">[6]ПРОГНОЗ_1!#REF!</definedName>
    <definedName name="вв_14" localSheetId="33">[6]ПРОГНОЗ_1!#REF!</definedName>
    <definedName name="вв_14" localSheetId="47">[6]ПРОГНОЗ_1!#REF!</definedName>
    <definedName name="вв_14" localSheetId="48">[6]ПРОГНОЗ_1!#REF!</definedName>
    <definedName name="вв_14">[6]ПРОГНОЗ_1!#REF!</definedName>
    <definedName name="влол" localSheetId="55">#REF!</definedName>
    <definedName name="влол" localSheetId="56">#REF!</definedName>
    <definedName name="влол" localSheetId="57">#REF!</definedName>
    <definedName name="влол" localSheetId="81">#REF!</definedName>
    <definedName name="влол" localSheetId="82">#REF!</definedName>
    <definedName name="влол" localSheetId="31">#REF!</definedName>
    <definedName name="влол" localSheetId="44">#REF!</definedName>
    <definedName name="влол" localSheetId="26">#REF!</definedName>
    <definedName name="влол" localSheetId="27">#REF!</definedName>
    <definedName name="влол" localSheetId="43">#REF!</definedName>
    <definedName name="влол" localSheetId="73">#REF!</definedName>
    <definedName name="влол" localSheetId="62">#REF!</definedName>
    <definedName name="влол" localSheetId="64">#REF!</definedName>
    <definedName name="влол" localSheetId="58">#REF!</definedName>
    <definedName name="влол" localSheetId="49">#REF!</definedName>
    <definedName name="влол" localSheetId="50">#REF!</definedName>
    <definedName name="влол" localSheetId="22">#REF!</definedName>
    <definedName name="влол" localSheetId="80">#REF!</definedName>
    <definedName name="влол" localSheetId="54">#REF!</definedName>
    <definedName name="влол" localSheetId="52">#REF!</definedName>
    <definedName name="влол" localSheetId="53">#REF!</definedName>
    <definedName name="влол" localSheetId="5">#REF!</definedName>
    <definedName name="влол" localSheetId="6">#REF!</definedName>
    <definedName name="влол" localSheetId="7">#REF!</definedName>
    <definedName name="влол" localSheetId="23">#REF!</definedName>
    <definedName name="влол" localSheetId="24">#REF!</definedName>
    <definedName name="влол" localSheetId="33">#REF!</definedName>
    <definedName name="влол" localSheetId="47">#REF!</definedName>
    <definedName name="влол" localSheetId="48">#REF!</definedName>
    <definedName name="влол">#REF!</definedName>
    <definedName name="внг" localSheetId="55">#REF!</definedName>
    <definedName name="внг" localSheetId="56">#REF!</definedName>
    <definedName name="внг" localSheetId="57">#REF!</definedName>
    <definedName name="внг" localSheetId="81">#REF!</definedName>
    <definedName name="внг" localSheetId="82">#REF!</definedName>
    <definedName name="внг" localSheetId="26">#REF!</definedName>
    <definedName name="внг" localSheetId="27">#REF!</definedName>
    <definedName name="внг" localSheetId="62">#REF!</definedName>
    <definedName name="внг" localSheetId="64">#REF!</definedName>
    <definedName name="внг" localSheetId="58">#REF!</definedName>
    <definedName name="внг" localSheetId="49">#REF!</definedName>
    <definedName name="внг" localSheetId="50">#REF!</definedName>
    <definedName name="внг" localSheetId="22">#REF!</definedName>
    <definedName name="внг" localSheetId="52">#REF!</definedName>
    <definedName name="внг" localSheetId="53">#REF!</definedName>
    <definedName name="внг" localSheetId="5">#REF!</definedName>
    <definedName name="внг" localSheetId="6">#REF!</definedName>
    <definedName name="внг" localSheetId="7">#REF!</definedName>
    <definedName name="внг" localSheetId="33">#REF!</definedName>
    <definedName name="внг" localSheetId="47">#REF!</definedName>
    <definedName name="внг" localSheetId="48">#REF!</definedName>
    <definedName name="внг">#REF!</definedName>
    <definedName name="вр" localSheetId="55">#REF!</definedName>
    <definedName name="вр" localSheetId="56">#REF!</definedName>
    <definedName name="вр" localSheetId="57">#REF!</definedName>
    <definedName name="вр" localSheetId="81">#REF!</definedName>
    <definedName name="вр" localSheetId="82">#REF!</definedName>
    <definedName name="вр" localSheetId="31">#REF!</definedName>
    <definedName name="вр" localSheetId="44">#REF!</definedName>
    <definedName name="вр" localSheetId="26">#REF!</definedName>
    <definedName name="вр" localSheetId="27">#REF!</definedName>
    <definedName name="вр" localSheetId="43">#REF!</definedName>
    <definedName name="вр" localSheetId="73">#REF!</definedName>
    <definedName name="вр" localSheetId="62">#REF!</definedName>
    <definedName name="вр" localSheetId="64">#REF!</definedName>
    <definedName name="вр" localSheetId="58">#REF!</definedName>
    <definedName name="вр" localSheetId="49">#REF!</definedName>
    <definedName name="вр" localSheetId="50">#REF!</definedName>
    <definedName name="вр" localSheetId="22">#REF!</definedName>
    <definedName name="вр" localSheetId="54">#REF!</definedName>
    <definedName name="вр" localSheetId="52">#REF!</definedName>
    <definedName name="вр" localSheetId="53">#REF!</definedName>
    <definedName name="вр" localSheetId="5">#REF!</definedName>
    <definedName name="вр" localSheetId="6">#REF!</definedName>
    <definedName name="вр" localSheetId="7">#REF!</definedName>
    <definedName name="вр" localSheetId="23">#REF!</definedName>
    <definedName name="вр" localSheetId="24">#REF!</definedName>
    <definedName name="вр" localSheetId="33">#REF!</definedName>
    <definedName name="вр" localSheetId="47">#REF!</definedName>
    <definedName name="вр" localSheetId="48">#REF!</definedName>
    <definedName name="вр">#REF!</definedName>
    <definedName name="ВСХ" localSheetId="55">#REF!</definedName>
    <definedName name="ВСХ" localSheetId="56">#REF!</definedName>
    <definedName name="ВСХ" localSheetId="57">#REF!</definedName>
    <definedName name="ВСХ" localSheetId="81">#REF!</definedName>
    <definedName name="ВСХ" localSheetId="82">#REF!</definedName>
    <definedName name="ВСХ" localSheetId="26">#REF!</definedName>
    <definedName name="ВСХ" localSheetId="27">#REF!</definedName>
    <definedName name="ВСХ" localSheetId="25">#REF!</definedName>
    <definedName name="ВСХ" localSheetId="62">#REF!</definedName>
    <definedName name="ВСХ" localSheetId="64">#REF!</definedName>
    <definedName name="ВСХ" localSheetId="86">#REF!</definedName>
    <definedName name="ВСХ" localSheetId="92">#REF!</definedName>
    <definedName name="ВСХ" localSheetId="98">#REF!</definedName>
    <definedName name="ВСХ" localSheetId="84">#REF!</definedName>
    <definedName name="ВСХ" localSheetId="90">#REF!</definedName>
    <definedName name="ВСХ" localSheetId="96">#REF!</definedName>
    <definedName name="ВСХ" localSheetId="58">#REF!</definedName>
    <definedName name="ВСХ" localSheetId="49">#REF!</definedName>
    <definedName name="ВСХ" localSheetId="50">#REF!</definedName>
    <definedName name="ВСХ" localSheetId="22">#REF!</definedName>
    <definedName name="ВСХ" localSheetId="2">#REF!</definedName>
    <definedName name="ВСХ" localSheetId="87">#REF!</definedName>
    <definedName name="ВСХ" localSheetId="93">#REF!</definedName>
    <definedName name="ВСХ" localSheetId="52">#REF!</definedName>
    <definedName name="ВСХ" localSheetId="53">#REF!</definedName>
    <definedName name="ВСХ" localSheetId="5">#REF!</definedName>
    <definedName name="ВСХ" localSheetId="6">#REF!</definedName>
    <definedName name="ВСХ" localSheetId="7">#REF!</definedName>
    <definedName name="ВСХ" localSheetId="3">#REF!</definedName>
    <definedName name="ВСХ" localSheetId="88">#REF!</definedName>
    <definedName name="ВСХ" localSheetId="94">#REF!</definedName>
    <definedName name="ВСХ" localSheetId="1">#REF!</definedName>
    <definedName name="ВСХ" localSheetId="0">#REF!</definedName>
    <definedName name="ВСХ" localSheetId="23">#REF!</definedName>
    <definedName name="ВСХ" localSheetId="24">#REF!</definedName>
    <definedName name="ВСХ" localSheetId="33">#REF!</definedName>
    <definedName name="ВСХ" localSheetId="47">#REF!</definedName>
    <definedName name="ВСХ" localSheetId="48">#REF!</definedName>
    <definedName name="ВСХ" localSheetId="89">#REF!</definedName>
    <definedName name="ВСХ" localSheetId="95">#REF!</definedName>
    <definedName name="ВСХ" localSheetId="85">#REF!</definedName>
    <definedName name="ВСХ" localSheetId="91">#REF!</definedName>
    <definedName name="ВСХ" localSheetId="97">#REF!</definedName>
    <definedName name="ВСХ">#REF!</definedName>
    <definedName name="График">"Диагр. 4"</definedName>
    <definedName name="_xlnm.Print_Titles" localSheetId="29">'б-т 919 (01.01.20)'!$14:$16</definedName>
    <definedName name="_xlnm.Print_Titles" localSheetId="34">'б-т 922 (01.01.20)'!$4:$7</definedName>
    <definedName name="_xlnm.Print_Titles" localSheetId="37">'б-т 934 (01.01.20)'!$14:$16</definedName>
    <definedName name="_xlnm.Print_Titles" localSheetId="40">'б-т 947 (01.01.20)'!$12:$14</definedName>
    <definedName name="_xlnm.Print_Titles" localSheetId="41">'б-т 953 (01.01.20)'!$17:$19</definedName>
    <definedName name="_xlnm.Print_Titles" localSheetId="42">'б-т 954 (01.01.20)'!$17:$19</definedName>
    <definedName name="_xlnm.Print_Titles" localSheetId="31">'б-т 966 (01.01.20)'!$5:$10</definedName>
    <definedName name="_xlnm.Print_Titles" localSheetId="44">'б-т 981 Стим-е (01.01.20)'!$5:$10</definedName>
    <definedName name="_xlnm.Print_Titles" localSheetId="46">'б-т 995 (01.01.20)'!$5:$8</definedName>
    <definedName name="_xlnm.Print_Titles" localSheetId="43">'б-т Стим-е 954 (01.01.20)'!$5:$10</definedName>
    <definedName name="_xlnm.Print_Titles" localSheetId="70">'внеб 947 (21.02.20)'!$7:$9</definedName>
    <definedName name="_xlnm.Print_Titles" localSheetId="73">'внеб 963 (23.03.20)'!$5:$9</definedName>
    <definedName name="_xlnm.Print_Titles" localSheetId="74">'внеб 971 (23.03.20)'!$6:$11</definedName>
    <definedName name="_xlnm.Print_Titles" localSheetId="75">'внеб 981 (23.03.20)'!$5:$8</definedName>
    <definedName name="_xlnm.Print_Titles" localSheetId="79">'внеб 986 (01.01.20)'!$6:$9</definedName>
    <definedName name="_xlnm.Print_Titles" localSheetId="84">'ГЦК+Энергия 2020'!$5:$7</definedName>
    <definedName name="_xlnm.Print_Titles" localSheetId="90">'ГЦК+Энергия 2021'!$5:$7</definedName>
    <definedName name="_xlnm.Print_Titles" localSheetId="96">'ГЦК+Энергия 2022'!$5:$7</definedName>
    <definedName name="_xlnm.Print_Titles" localSheetId="51">'иные 212 (917) 2020'!$11:$13</definedName>
    <definedName name="_xlnm.Print_Titles" localSheetId="54">'ОД 966 (21.02.20)'!$5:$7</definedName>
    <definedName name="_xlnm.Print_Titles" localSheetId="4">'раздел 1 (2020)'!$A:$C,'раздел 1 (2020)'!$26:$31</definedName>
    <definedName name="_xlnm.Print_Titles" localSheetId="5">'раздел 1 (2021)'!$A:$C,'раздел 1 (2021)'!$14:$19</definedName>
    <definedName name="_xlnm.Print_Titles" localSheetId="6">'раздел 1 (2022)'!$A:$C,'раздел 1 (2022)'!$14:$19</definedName>
    <definedName name="_xlnm.Print_Titles" localSheetId="7">'раздел 1 (за предел.)'!$A:$C,'раздел 1 (за предел.)'!$14:$19</definedName>
    <definedName name="_xlnm.Print_Titles" localSheetId="8">'раздел 2'!$3:$6</definedName>
    <definedName name="кат" localSheetId="55">#REF!</definedName>
    <definedName name="кат" localSheetId="56">#REF!</definedName>
    <definedName name="кат" localSheetId="57">#REF!</definedName>
    <definedName name="кат" localSheetId="81">#REF!</definedName>
    <definedName name="кат" localSheetId="82">#REF!</definedName>
    <definedName name="кат" localSheetId="31">#REF!</definedName>
    <definedName name="кат" localSheetId="44">#REF!</definedName>
    <definedName name="кат" localSheetId="26">#REF!</definedName>
    <definedName name="кат" localSheetId="27">#REF!</definedName>
    <definedName name="кат" localSheetId="43">#REF!</definedName>
    <definedName name="кат" localSheetId="73">#REF!</definedName>
    <definedName name="кат" localSheetId="62">#REF!</definedName>
    <definedName name="кат" localSheetId="64">#REF!</definedName>
    <definedName name="кат" localSheetId="58">#REF!</definedName>
    <definedName name="кат" localSheetId="49">#REF!</definedName>
    <definedName name="кат" localSheetId="50">#REF!</definedName>
    <definedName name="кат" localSheetId="22">#REF!</definedName>
    <definedName name="кат" localSheetId="80">#REF!</definedName>
    <definedName name="кат" localSheetId="54">#REF!</definedName>
    <definedName name="кат" localSheetId="52">#REF!</definedName>
    <definedName name="кат" localSheetId="53">#REF!</definedName>
    <definedName name="кат" localSheetId="5">#REF!</definedName>
    <definedName name="кат" localSheetId="6">#REF!</definedName>
    <definedName name="кат" localSheetId="7">#REF!</definedName>
    <definedName name="кат" localSheetId="23">#REF!</definedName>
    <definedName name="кат" localSheetId="24">#REF!</definedName>
    <definedName name="кат" localSheetId="33">#REF!</definedName>
    <definedName name="кат" localSheetId="47">#REF!</definedName>
    <definedName name="кат" localSheetId="48">#REF!</definedName>
    <definedName name="кат">#REF!</definedName>
    <definedName name="кат_14" localSheetId="55">#REF!</definedName>
    <definedName name="кат_14" localSheetId="56">#REF!</definedName>
    <definedName name="кат_14" localSheetId="57">#REF!</definedName>
    <definedName name="кат_14" localSheetId="81">#REF!</definedName>
    <definedName name="кат_14" localSheetId="82">#REF!</definedName>
    <definedName name="кат_14" localSheetId="31">#REF!</definedName>
    <definedName name="кат_14" localSheetId="44">#REF!</definedName>
    <definedName name="кат_14" localSheetId="26">#REF!</definedName>
    <definedName name="кат_14" localSheetId="27">#REF!</definedName>
    <definedName name="кат_14" localSheetId="43">#REF!</definedName>
    <definedName name="кат_14" localSheetId="73">#REF!</definedName>
    <definedName name="кат_14" localSheetId="62">#REF!</definedName>
    <definedName name="кат_14" localSheetId="64">#REF!</definedName>
    <definedName name="кат_14" localSheetId="58">#REF!</definedName>
    <definedName name="кат_14" localSheetId="49">#REF!</definedName>
    <definedName name="кат_14" localSheetId="50">#REF!</definedName>
    <definedName name="кат_14" localSheetId="22">#REF!</definedName>
    <definedName name="кат_14" localSheetId="54">#REF!</definedName>
    <definedName name="кат_14" localSheetId="52">#REF!</definedName>
    <definedName name="кат_14" localSheetId="53">#REF!</definedName>
    <definedName name="кат_14" localSheetId="5">#REF!</definedName>
    <definedName name="кат_14" localSheetId="6">#REF!</definedName>
    <definedName name="кат_14" localSheetId="7">#REF!</definedName>
    <definedName name="кат_14" localSheetId="23">#REF!</definedName>
    <definedName name="кат_14" localSheetId="24">#REF!</definedName>
    <definedName name="кат_14" localSheetId="33">#REF!</definedName>
    <definedName name="кат_14" localSheetId="47">#REF!</definedName>
    <definedName name="кат_14" localSheetId="48">#REF!</definedName>
    <definedName name="кат_14">#REF!</definedName>
    <definedName name="КВ" localSheetId="55">#REF!</definedName>
    <definedName name="КВ" localSheetId="56">#REF!</definedName>
    <definedName name="КВ" localSheetId="57">#REF!</definedName>
    <definedName name="КВ" localSheetId="81">#REF!</definedName>
    <definedName name="КВ" localSheetId="82">#REF!</definedName>
    <definedName name="КВ" localSheetId="26">#REF!</definedName>
    <definedName name="КВ" localSheetId="27">#REF!</definedName>
    <definedName name="КВ" localSheetId="25">#REF!</definedName>
    <definedName name="КВ" localSheetId="62">#REF!</definedName>
    <definedName name="КВ" localSheetId="64">#REF!</definedName>
    <definedName name="КВ" localSheetId="86">#REF!</definedName>
    <definedName name="КВ" localSheetId="92">#REF!</definedName>
    <definedName name="КВ" localSheetId="98">#REF!</definedName>
    <definedName name="КВ" localSheetId="84">#REF!</definedName>
    <definedName name="КВ" localSheetId="90">#REF!</definedName>
    <definedName name="КВ" localSheetId="96">#REF!</definedName>
    <definedName name="КВ" localSheetId="58">#REF!</definedName>
    <definedName name="КВ" localSheetId="49">#REF!</definedName>
    <definedName name="КВ" localSheetId="50">#REF!</definedName>
    <definedName name="КВ" localSheetId="22">#REF!</definedName>
    <definedName name="КВ" localSheetId="2">#REF!</definedName>
    <definedName name="КВ" localSheetId="87">#REF!</definedName>
    <definedName name="КВ" localSheetId="93">#REF!</definedName>
    <definedName name="КВ" localSheetId="52">#REF!</definedName>
    <definedName name="КВ" localSheetId="53">#REF!</definedName>
    <definedName name="КВ" localSheetId="5">#REF!</definedName>
    <definedName name="КВ" localSheetId="6">#REF!</definedName>
    <definedName name="КВ" localSheetId="7">#REF!</definedName>
    <definedName name="КВ" localSheetId="3">#REF!</definedName>
    <definedName name="КВ" localSheetId="88">#REF!</definedName>
    <definedName name="КВ" localSheetId="94">#REF!</definedName>
    <definedName name="КВ" localSheetId="1">#REF!</definedName>
    <definedName name="КВ" localSheetId="0">#REF!</definedName>
    <definedName name="КВ" localSheetId="23">#REF!</definedName>
    <definedName name="КВ" localSheetId="24">#REF!</definedName>
    <definedName name="КВ" localSheetId="33">#REF!</definedName>
    <definedName name="КВ" localSheetId="47">#REF!</definedName>
    <definedName name="КВ" localSheetId="48">#REF!</definedName>
    <definedName name="КВ" localSheetId="89">#REF!</definedName>
    <definedName name="КВ" localSheetId="95">#REF!</definedName>
    <definedName name="КВ" localSheetId="85">#REF!</definedName>
    <definedName name="КВ" localSheetId="91">#REF!</definedName>
    <definedName name="КВ" localSheetId="97">#REF!</definedName>
    <definedName name="КВ">#REF!</definedName>
    <definedName name="квр244" localSheetId="81">#REF!</definedName>
    <definedName name="квр244">#REF!</definedName>
    <definedName name="Код_110100" localSheetId="55">#REF!</definedName>
    <definedName name="Код_110100" localSheetId="56">#REF!</definedName>
    <definedName name="Код_110100" localSheetId="57">#REF!</definedName>
    <definedName name="Код_110100" localSheetId="81">#REF!</definedName>
    <definedName name="Код_110100" localSheetId="82">#REF!</definedName>
    <definedName name="Код_110100" localSheetId="26">#REF!</definedName>
    <definedName name="Код_110100" localSheetId="27">#REF!</definedName>
    <definedName name="Код_110100" localSheetId="25">#REF!</definedName>
    <definedName name="Код_110100" localSheetId="62">#REF!</definedName>
    <definedName name="Код_110100" localSheetId="64">#REF!</definedName>
    <definedName name="Код_110100" localSheetId="86">#REF!</definedName>
    <definedName name="Код_110100" localSheetId="92">#REF!</definedName>
    <definedName name="Код_110100" localSheetId="98">#REF!</definedName>
    <definedName name="Код_110100" localSheetId="84">#REF!</definedName>
    <definedName name="Код_110100" localSheetId="90">#REF!</definedName>
    <definedName name="Код_110100" localSheetId="96">#REF!</definedName>
    <definedName name="Код_110100" localSheetId="58">#REF!</definedName>
    <definedName name="Код_110100" localSheetId="49">#REF!</definedName>
    <definedName name="Код_110100" localSheetId="50">#REF!</definedName>
    <definedName name="Код_110100" localSheetId="22">#REF!</definedName>
    <definedName name="Код_110100" localSheetId="2">#REF!</definedName>
    <definedName name="Код_110100" localSheetId="87">#REF!</definedName>
    <definedName name="Код_110100" localSheetId="93">#REF!</definedName>
    <definedName name="Код_110100" localSheetId="52">#REF!</definedName>
    <definedName name="Код_110100" localSheetId="53">#REF!</definedName>
    <definedName name="Код_110100" localSheetId="5">#REF!</definedName>
    <definedName name="Код_110100" localSheetId="6">#REF!</definedName>
    <definedName name="Код_110100" localSheetId="7">#REF!</definedName>
    <definedName name="Код_110100" localSheetId="3">#REF!</definedName>
    <definedName name="Код_110100" localSheetId="88">#REF!</definedName>
    <definedName name="Код_110100" localSheetId="94">#REF!</definedName>
    <definedName name="Код_110100" localSheetId="1">#REF!</definedName>
    <definedName name="Код_110100" localSheetId="0">#REF!</definedName>
    <definedName name="Код_110100" localSheetId="23">#REF!</definedName>
    <definedName name="Код_110100" localSheetId="24">#REF!</definedName>
    <definedName name="Код_110100" localSheetId="33">#REF!</definedName>
    <definedName name="Код_110100" localSheetId="47">#REF!</definedName>
    <definedName name="Код_110100" localSheetId="48">#REF!</definedName>
    <definedName name="Код_110100" localSheetId="89">#REF!</definedName>
    <definedName name="Код_110100" localSheetId="95">#REF!</definedName>
    <definedName name="Код_110100" localSheetId="85">#REF!</definedName>
    <definedName name="Код_110100" localSheetId="91">#REF!</definedName>
    <definedName name="Код_110100" localSheetId="97">#REF!</definedName>
    <definedName name="Код_110100">#REF!</definedName>
    <definedName name="Код_110200" localSheetId="55">#REF!</definedName>
    <definedName name="Код_110200" localSheetId="56">#REF!</definedName>
    <definedName name="Код_110200" localSheetId="57">#REF!</definedName>
    <definedName name="Код_110200" localSheetId="81">#REF!</definedName>
    <definedName name="Код_110200" localSheetId="82">#REF!</definedName>
    <definedName name="Код_110200" localSheetId="26">#REF!</definedName>
    <definedName name="Код_110200" localSheetId="27">#REF!</definedName>
    <definedName name="Код_110200" localSheetId="25">#REF!</definedName>
    <definedName name="Код_110200" localSheetId="62">#REF!</definedName>
    <definedName name="Код_110200" localSheetId="64">#REF!</definedName>
    <definedName name="Код_110200" localSheetId="86">#REF!</definedName>
    <definedName name="Код_110200" localSheetId="92">#REF!</definedName>
    <definedName name="Код_110200" localSheetId="98">#REF!</definedName>
    <definedName name="Код_110200" localSheetId="84">#REF!</definedName>
    <definedName name="Код_110200" localSheetId="90">#REF!</definedName>
    <definedName name="Код_110200" localSheetId="96">#REF!</definedName>
    <definedName name="Код_110200" localSheetId="58">#REF!</definedName>
    <definedName name="Код_110200" localSheetId="49">#REF!</definedName>
    <definedName name="Код_110200" localSheetId="50">#REF!</definedName>
    <definedName name="Код_110200" localSheetId="22">#REF!</definedName>
    <definedName name="Код_110200" localSheetId="2">#REF!</definedName>
    <definedName name="Код_110200" localSheetId="87">#REF!</definedName>
    <definedName name="Код_110200" localSheetId="93">#REF!</definedName>
    <definedName name="Код_110200" localSheetId="52">#REF!</definedName>
    <definedName name="Код_110200" localSheetId="53">#REF!</definedName>
    <definedName name="Код_110200" localSheetId="5">#REF!</definedName>
    <definedName name="Код_110200" localSheetId="6">#REF!</definedName>
    <definedName name="Код_110200" localSheetId="7">#REF!</definedName>
    <definedName name="Код_110200" localSheetId="3">#REF!</definedName>
    <definedName name="Код_110200" localSheetId="88">#REF!</definedName>
    <definedName name="Код_110200" localSheetId="94">#REF!</definedName>
    <definedName name="Код_110200" localSheetId="1">#REF!</definedName>
    <definedName name="Код_110200" localSheetId="0">#REF!</definedName>
    <definedName name="Код_110200" localSheetId="23">#REF!</definedName>
    <definedName name="Код_110200" localSheetId="24">#REF!</definedName>
    <definedName name="Код_110200" localSheetId="33">#REF!</definedName>
    <definedName name="Код_110200" localSheetId="47">#REF!</definedName>
    <definedName name="Код_110200" localSheetId="48">#REF!</definedName>
    <definedName name="Код_110200" localSheetId="89">#REF!</definedName>
    <definedName name="Код_110200" localSheetId="95">#REF!</definedName>
    <definedName name="Код_110200" localSheetId="85">#REF!</definedName>
    <definedName name="Код_110200" localSheetId="91">#REF!</definedName>
    <definedName name="Код_110200" localSheetId="97">#REF!</definedName>
    <definedName name="Код_110200">#REF!</definedName>
    <definedName name="Код_110500" localSheetId="55">#REF!</definedName>
    <definedName name="Код_110500" localSheetId="56">#REF!</definedName>
    <definedName name="Код_110500" localSheetId="57">#REF!</definedName>
    <definedName name="Код_110500" localSheetId="81">#REF!</definedName>
    <definedName name="Код_110500" localSheetId="82">#REF!</definedName>
    <definedName name="Код_110500" localSheetId="26">#REF!</definedName>
    <definedName name="Код_110500" localSheetId="27">#REF!</definedName>
    <definedName name="Код_110500" localSheetId="25">#REF!</definedName>
    <definedName name="Код_110500" localSheetId="62">#REF!</definedName>
    <definedName name="Код_110500" localSheetId="64">#REF!</definedName>
    <definedName name="Код_110500" localSheetId="86">#REF!</definedName>
    <definedName name="Код_110500" localSheetId="92">#REF!</definedName>
    <definedName name="Код_110500" localSheetId="98">#REF!</definedName>
    <definedName name="Код_110500" localSheetId="84">#REF!</definedName>
    <definedName name="Код_110500" localSheetId="90">#REF!</definedName>
    <definedName name="Код_110500" localSheetId="96">#REF!</definedName>
    <definedName name="Код_110500" localSheetId="58">#REF!</definedName>
    <definedName name="Код_110500" localSheetId="49">#REF!</definedName>
    <definedName name="Код_110500" localSheetId="50">#REF!</definedName>
    <definedName name="Код_110500" localSheetId="22">#REF!</definedName>
    <definedName name="Код_110500" localSheetId="2">#REF!</definedName>
    <definedName name="Код_110500" localSheetId="87">#REF!</definedName>
    <definedName name="Код_110500" localSheetId="93">#REF!</definedName>
    <definedName name="Код_110500" localSheetId="52">#REF!</definedName>
    <definedName name="Код_110500" localSheetId="53">#REF!</definedName>
    <definedName name="Код_110500" localSheetId="5">#REF!</definedName>
    <definedName name="Код_110500" localSheetId="6">#REF!</definedName>
    <definedName name="Код_110500" localSheetId="7">#REF!</definedName>
    <definedName name="Код_110500" localSheetId="3">#REF!</definedName>
    <definedName name="Код_110500" localSheetId="88">#REF!</definedName>
    <definedName name="Код_110500" localSheetId="94">#REF!</definedName>
    <definedName name="Код_110500" localSheetId="1">#REF!</definedName>
    <definedName name="Код_110500" localSheetId="0">#REF!</definedName>
    <definedName name="Код_110500" localSheetId="23">#REF!</definedName>
    <definedName name="Код_110500" localSheetId="24">#REF!</definedName>
    <definedName name="Код_110500" localSheetId="33">#REF!</definedName>
    <definedName name="Код_110500" localSheetId="47">#REF!</definedName>
    <definedName name="Код_110500" localSheetId="48">#REF!</definedName>
    <definedName name="Код_110500" localSheetId="89">#REF!</definedName>
    <definedName name="Код_110500" localSheetId="95">#REF!</definedName>
    <definedName name="Код_110500" localSheetId="85">#REF!</definedName>
    <definedName name="Код_110500" localSheetId="91">#REF!</definedName>
    <definedName name="Код_110500" localSheetId="97">#REF!</definedName>
    <definedName name="Код_110500">#REF!</definedName>
    <definedName name="М1" localSheetId="55">[7]ПРОГНОЗ_1!#REF!</definedName>
    <definedName name="М1" localSheetId="56">[7]ПРОГНОЗ_1!#REF!</definedName>
    <definedName name="М1" localSheetId="57">[7]ПРОГНОЗ_1!#REF!</definedName>
    <definedName name="М1" localSheetId="81">[7]ПРОГНОЗ_1!#REF!</definedName>
    <definedName name="М1" localSheetId="82">[7]ПРОГНОЗ_1!#REF!</definedName>
    <definedName name="М1" localSheetId="31">[7]ПРОГНОЗ_1!#REF!</definedName>
    <definedName name="М1" localSheetId="44">[7]ПРОГНОЗ_1!#REF!</definedName>
    <definedName name="М1" localSheetId="26">[7]ПРОГНОЗ_1!#REF!</definedName>
    <definedName name="М1" localSheetId="27">[7]ПРОГНОЗ_1!#REF!</definedName>
    <definedName name="М1" localSheetId="43">[7]ПРОГНОЗ_1!#REF!</definedName>
    <definedName name="М1" localSheetId="73">[7]ПРОГНОЗ_1!#REF!</definedName>
    <definedName name="М1" localSheetId="62">[7]ПРОГНОЗ_1!#REF!</definedName>
    <definedName name="М1" localSheetId="64">[7]ПРОГНОЗ_1!#REF!</definedName>
    <definedName name="М1" localSheetId="58">[7]ПРОГНОЗ_1!#REF!</definedName>
    <definedName name="М1" localSheetId="49">[7]ПРОГНОЗ_1!#REF!</definedName>
    <definedName name="М1" localSheetId="50">[7]ПРОГНОЗ_1!#REF!</definedName>
    <definedName name="М1" localSheetId="22">[7]ПРОГНОЗ_1!#REF!</definedName>
    <definedName name="М1" localSheetId="80">[7]ПРОГНОЗ_1!#REF!</definedName>
    <definedName name="М1" localSheetId="54">[7]ПРОГНОЗ_1!#REF!</definedName>
    <definedName name="М1" localSheetId="52">[7]ПРОГНОЗ_1!#REF!</definedName>
    <definedName name="М1" localSheetId="53">[7]ПРОГНОЗ_1!#REF!</definedName>
    <definedName name="М1" localSheetId="5">[7]ПРОГНОЗ_1!#REF!</definedName>
    <definedName name="М1" localSheetId="6">[7]ПРОГНОЗ_1!#REF!</definedName>
    <definedName name="М1" localSheetId="7">[7]ПРОГНОЗ_1!#REF!</definedName>
    <definedName name="М1" localSheetId="23">[7]ПРОГНОЗ_1!#REF!</definedName>
    <definedName name="М1" localSheetId="24">[7]ПРОГНОЗ_1!#REF!</definedName>
    <definedName name="М1" localSheetId="33">[7]ПРОГНОЗ_1!#REF!</definedName>
    <definedName name="М1" localSheetId="47">[7]ПРОГНОЗ_1!#REF!</definedName>
    <definedName name="М1" localSheetId="48">[7]ПРОГНОЗ_1!#REF!</definedName>
    <definedName name="М1">[7]ПРОГНОЗ_1!#REF!</definedName>
    <definedName name="М1_14" localSheetId="55">[7]ПРОГНОЗ_1!#REF!</definedName>
    <definedName name="М1_14" localSheetId="56">[7]ПРОГНОЗ_1!#REF!</definedName>
    <definedName name="М1_14" localSheetId="57">[7]ПРОГНОЗ_1!#REF!</definedName>
    <definedName name="М1_14" localSheetId="81">[7]ПРОГНОЗ_1!#REF!</definedName>
    <definedName name="М1_14" localSheetId="82">[7]ПРОГНОЗ_1!#REF!</definedName>
    <definedName name="М1_14" localSheetId="31">[7]ПРОГНОЗ_1!#REF!</definedName>
    <definedName name="М1_14" localSheetId="44">[7]ПРОГНОЗ_1!#REF!</definedName>
    <definedName name="М1_14" localSheetId="26">[7]ПРОГНОЗ_1!#REF!</definedName>
    <definedName name="М1_14" localSheetId="27">[7]ПРОГНОЗ_1!#REF!</definedName>
    <definedName name="М1_14" localSheetId="43">[7]ПРОГНОЗ_1!#REF!</definedName>
    <definedName name="М1_14" localSheetId="73">[7]ПРОГНОЗ_1!#REF!</definedName>
    <definedName name="М1_14" localSheetId="62">[7]ПРОГНОЗ_1!#REF!</definedName>
    <definedName name="М1_14" localSheetId="64">[7]ПРОГНОЗ_1!#REF!</definedName>
    <definedName name="М1_14" localSheetId="58">[7]ПРОГНОЗ_1!#REF!</definedName>
    <definedName name="М1_14" localSheetId="49">[7]ПРОГНОЗ_1!#REF!</definedName>
    <definedName name="М1_14" localSheetId="50">[7]ПРОГНОЗ_1!#REF!</definedName>
    <definedName name="М1_14" localSheetId="22">[7]ПРОГНОЗ_1!#REF!</definedName>
    <definedName name="М1_14" localSheetId="80">[7]ПРОГНОЗ_1!#REF!</definedName>
    <definedName name="М1_14" localSheetId="54">[7]ПРОГНОЗ_1!#REF!</definedName>
    <definedName name="М1_14" localSheetId="52">[7]ПРОГНОЗ_1!#REF!</definedName>
    <definedName name="М1_14" localSheetId="53">[7]ПРОГНОЗ_1!#REF!</definedName>
    <definedName name="М1_14" localSheetId="5">[7]ПРОГНОЗ_1!#REF!</definedName>
    <definedName name="М1_14" localSheetId="6">[7]ПРОГНОЗ_1!#REF!</definedName>
    <definedName name="М1_14" localSheetId="7">[7]ПРОГНОЗ_1!#REF!</definedName>
    <definedName name="М1_14" localSheetId="23">[7]ПРОГНОЗ_1!#REF!</definedName>
    <definedName name="М1_14" localSheetId="24">[7]ПРОГНОЗ_1!#REF!</definedName>
    <definedName name="М1_14" localSheetId="33">[7]ПРОГНОЗ_1!#REF!</definedName>
    <definedName name="М1_14" localSheetId="47">[7]ПРОГНОЗ_1!#REF!</definedName>
    <definedName name="М1_14" localSheetId="48">[7]ПРОГНОЗ_1!#REF!</definedName>
    <definedName name="М1_14">[7]ПРОГНОЗ_1!#REF!</definedName>
    <definedName name="Мониторинг1" localSheetId="55">'[8]Гр5(о)'!#REF!</definedName>
    <definedName name="Мониторинг1" localSheetId="56">'[8]Гр5(о)'!#REF!</definedName>
    <definedName name="Мониторинг1" localSheetId="57">'[8]Гр5(о)'!#REF!</definedName>
    <definedName name="Мониторинг1" localSheetId="81">'[8]Гр5(о)'!#REF!</definedName>
    <definedName name="Мониторинг1" localSheetId="82">'[8]Гр5(о)'!#REF!</definedName>
    <definedName name="Мониторинг1" localSheetId="31">'[8]Гр5(о)'!#REF!</definedName>
    <definedName name="Мониторинг1" localSheetId="44">'[8]Гр5(о)'!#REF!</definedName>
    <definedName name="Мониторинг1" localSheetId="26">'[8]Гр5(о)'!#REF!</definedName>
    <definedName name="Мониторинг1" localSheetId="27">'[8]Гр5(о)'!#REF!</definedName>
    <definedName name="Мониторинг1" localSheetId="43">'[8]Гр5(о)'!#REF!</definedName>
    <definedName name="Мониторинг1" localSheetId="73">'[8]Гр5(о)'!#REF!</definedName>
    <definedName name="Мониторинг1" localSheetId="62">'[8]Гр5(о)'!#REF!</definedName>
    <definedName name="Мониторинг1" localSheetId="64">'[8]Гр5(о)'!#REF!</definedName>
    <definedName name="Мониторинг1" localSheetId="58">'[8]Гр5(о)'!#REF!</definedName>
    <definedName name="Мониторинг1" localSheetId="49">'[8]Гр5(о)'!#REF!</definedName>
    <definedName name="Мониторинг1" localSheetId="50">'[8]Гр5(о)'!#REF!</definedName>
    <definedName name="Мониторинг1" localSheetId="22">'[8]Гр5(о)'!#REF!</definedName>
    <definedName name="Мониторинг1" localSheetId="80">'[8]Гр5(о)'!#REF!</definedName>
    <definedName name="Мониторинг1" localSheetId="54">'[8]Гр5(о)'!#REF!</definedName>
    <definedName name="Мониторинг1" localSheetId="52">'[8]Гр5(о)'!#REF!</definedName>
    <definedName name="Мониторинг1" localSheetId="53">'[8]Гр5(о)'!#REF!</definedName>
    <definedName name="Мониторинг1" localSheetId="5">'[8]Гр5(о)'!#REF!</definedName>
    <definedName name="Мониторинг1" localSheetId="6">'[8]Гр5(о)'!#REF!</definedName>
    <definedName name="Мониторинг1" localSheetId="7">'[8]Гр5(о)'!#REF!</definedName>
    <definedName name="Мониторинг1" localSheetId="23">'[8]Гр5(о)'!#REF!</definedName>
    <definedName name="Мониторинг1" localSheetId="24">'[8]Гр5(о)'!#REF!</definedName>
    <definedName name="Мониторинг1" localSheetId="33">'[8]Гр5(о)'!#REF!</definedName>
    <definedName name="Мониторинг1" localSheetId="47">'[8]Гр5(о)'!#REF!</definedName>
    <definedName name="Мониторинг1" localSheetId="48">'[8]Гр5(о)'!#REF!</definedName>
    <definedName name="Мониторинг1">'[8]Гр5(о)'!#REF!</definedName>
    <definedName name="Мониторинг1_14" localSheetId="55">'[8]Гр5(о)'!#REF!</definedName>
    <definedName name="Мониторинг1_14" localSheetId="56">'[8]Гр5(о)'!#REF!</definedName>
    <definedName name="Мониторинг1_14" localSheetId="57">'[8]Гр5(о)'!#REF!</definedName>
    <definedName name="Мониторинг1_14" localSheetId="81">'[8]Гр5(о)'!#REF!</definedName>
    <definedName name="Мониторинг1_14" localSheetId="82">'[8]Гр5(о)'!#REF!</definedName>
    <definedName name="Мониторинг1_14" localSheetId="26">'[8]Гр5(о)'!#REF!</definedName>
    <definedName name="Мониторинг1_14" localSheetId="27">'[8]Гр5(о)'!#REF!</definedName>
    <definedName name="Мониторинг1_14" localSheetId="62">'[8]Гр5(о)'!#REF!</definedName>
    <definedName name="Мониторинг1_14" localSheetId="64">'[8]Гр5(о)'!#REF!</definedName>
    <definedName name="Мониторинг1_14" localSheetId="58">'[8]Гр5(о)'!#REF!</definedName>
    <definedName name="Мониторинг1_14" localSheetId="49">'[8]Гр5(о)'!#REF!</definedName>
    <definedName name="Мониторинг1_14" localSheetId="50">'[8]Гр5(о)'!#REF!</definedName>
    <definedName name="Мониторинг1_14" localSheetId="22">'[8]Гр5(о)'!#REF!</definedName>
    <definedName name="Мониторинг1_14" localSheetId="80">'[8]Гр5(о)'!#REF!</definedName>
    <definedName name="Мониторинг1_14" localSheetId="54">'[8]Гр5(о)'!#REF!</definedName>
    <definedName name="Мониторинг1_14" localSheetId="52">'[8]Гр5(о)'!#REF!</definedName>
    <definedName name="Мониторинг1_14" localSheetId="53">'[8]Гр5(о)'!#REF!</definedName>
    <definedName name="Мониторинг1_14" localSheetId="5">'[8]Гр5(о)'!#REF!</definedName>
    <definedName name="Мониторинг1_14" localSheetId="6">'[8]Гр5(о)'!#REF!</definedName>
    <definedName name="Мониторинг1_14" localSheetId="7">'[8]Гр5(о)'!#REF!</definedName>
    <definedName name="Мониторинг1_14" localSheetId="23">'[8]Гр5(о)'!#REF!</definedName>
    <definedName name="Мониторинг1_14" localSheetId="24">'[8]Гр5(о)'!#REF!</definedName>
    <definedName name="Мониторинг1_14" localSheetId="33">'[8]Гр5(о)'!#REF!</definedName>
    <definedName name="Мониторинг1_14" localSheetId="47">'[8]Гр5(о)'!#REF!</definedName>
    <definedName name="Мониторинг1_14" localSheetId="48">'[8]Гр5(о)'!#REF!</definedName>
    <definedName name="Мониторинг1_14">'[8]Гр5(о)'!#REF!</definedName>
    <definedName name="нговеошл" localSheetId="55">#REF!</definedName>
    <definedName name="нговеошл" localSheetId="56">#REF!</definedName>
    <definedName name="нговеошл" localSheetId="57">#REF!</definedName>
    <definedName name="нговеошл" localSheetId="81">#REF!</definedName>
    <definedName name="нговеошл" localSheetId="82">#REF!</definedName>
    <definedName name="нговеошл" localSheetId="26">#REF!</definedName>
    <definedName name="нговеошл" localSheetId="27">#REF!</definedName>
    <definedName name="нговеошл" localSheetId="62">#REF!</definedName>
    <definedName name="нговеошл" localSheetId="64">#REF!</definedName>
    <definedName name="нговеошл" localSheetId="58">#REF!</definedName>
    <definedName name="нговеошл" localSheetId="49">#REF!</definedName>
    <definedName name="нговеошл" localSheetId="50">#REF!</definedName>
    <definedName name="нговеошл" localSheetId="22">#REF!</definedName>
    <definedName name="нговеошл" localSheetId="80">#REF!</definedName>
    <definedName name="нговеошл" localSheetId="52">#REF!</definedName>
    <definedName name="нговеошл" localSheetId="53">#REF!</definedName>
    <definedName name="нговеошл" localSheetId="5">#REF!</definedName>
    <definedName name="нговеошл" localSheetId="6">#REF!</definedName>
    <definedName name="нговеошл" localSheetId="7">#REF!</definedName>
    <definedName name="нговеошл" localSheetId="33">#REF!</definedName>
    <definedName name="нговеошл" localSheetId="47">#REF!</definedName>
    <definedName name="нговеошл" localSheetId="48">#REF!</definedName>
    <definedName name="нговеошл">#REF!</definedName>
    <definedName name="нег" localSheetId="55">#REF!</definedName>
    <definedName name="нег" localSheetId="56">#REF!</definedName>
    <definedName name="нег" localSheetId="57">#REF!</definedName>
    <definedName name="нег" localSheetId="81">#REF!</definedName>
    <definedName name="нег" localSheetId="82">#REF!</definedName>
    <definedName name="нег" localSheetId="26">#REF!</definedName>
    <definedName name="нег" localSheetId="27">#REF!</definedName>
    <definedName name="нег" localSheetId="62">#REF!</definedName>
    <definedName name="нег" localSheetId="64">#REF!</definedName>
    <definedName name="нег" localSheetId="58">#REF!</definedName>
    <definedName name="нег" localSheetId="49">#REF!</definedName>
    <definedName name="нег" localSheetId="50">#REF!</definedName>
    <definedName name="нег" localSheetId="22">#REF!</definedName>
    <definedName name="нег" localSheetId="52">#REF!</definedName>
    <definedName name="нег" localSheetId="53">#REF!</definedName>
    <definedName name="нег" localSheetId="5">#REF!</definedName>
    <definedName name="нег" localSheetId="6">#REF!</definedName>
    <definedName name="нег" localSheetId="7">#REF!</definedName>
    <definedName name="нег" localSheetId="33">#REF!</definedName>
    <definedName name="нег" localSheetId="47">#REF!</definedName>
    <definedName name="нег" localSheetId="48">#REF!</definedName>
    <definedName name="нег">#REF!</definedName>
    <definedName name="нкшывк" localSheetId="55">#REF!</definedName>
    <definedName name="нкшывк" localSheetId="56">#REF!</definedName>
    <definedName name="нкшывк" localSheetId="57">#REF!</definedName>
    <definedName name="нкшывк" localSheetId="81">#REF!</definedName>
    <definedName name="нкшывк" localSheetId="82">#REF!</definedName>
    <definedName name="нкшывк" localSheetId="26">#REF!</definedName>
    <definedName name="нкшывк" localSheetId="27">#REF!</definedName>
    <definedName name="нкшывк" localSheetId="62">#REF!</definedName>
    <definedName name="нкшывк" localSheetId="64">#REF!</definedName>
    <definedName name="нкшывк" localSheetId="58">#REF!</definedName>
    <definedName name="нкшывк" localSheetId="49">#REF!</definedName>
    <definedName name="нкшывк" localSheetId="50">#REF!</definedName>
    <definedName name="нкшывк" localSheetId="22">#REF!</definedName>
    <definedName name="нкшывк" localSheetId="52">#REF!</definedName>
    <definedName name="нкшывк" localSheetId="53">#REF!</definedName>
    <definedName name="нкшывк" localSheetId="5">#REF!</definedName>
    <definedName name="нкшывк" localSheetId="6">#REF!</definedName>
    <definedName name="нкшывк" localSheetId="7">#REF!</definedName>
    <definedName name="нкшывк" localSheetId="33">#REF!</definedName>
    <definedName name="нкшывк" localSheetId="47">#REF!</definedName>
    <definedName name="нкшывк" localSheetId="48">#REF!</definedName>
    <definedName name="нкшывк">#REF!</definedName>
    <definedName name="_xlnm.Print_Area" localSheetId="55">'(81600) КВР 244 (01.01.20)'!$A$1:$E$33</definedName>
    <definedName name="_xlnm.Print_Area" localSheetId="57">'75 лет КВР 244 (01.01.20)'!$A$1:$E$33</definedName>
    <definedName name="_xlnm.Print_Area" localSheetId="82">'безв.пост. КВР 244 '!$A$1:$E$30</definedName>
    <definedName name="_xlnm.Print_Area" localSheetId="83">'безв.поступ. 820'!$A$1:$G$35</definedName>
    <definedName name="_xlnm.Print_Area" localSheetId="20">'безвоз строка 1400 (150)'!$A$1:$E$22</definedName>
    <definedName name="_xlnm.Print_Area" localSheetId="18">'безвозм1430(155)'!$A$1:$C$18</definedName>
    <definedName name="_xlnm.Print_Area" localSheetId="19">'безвозм1430(155) расч'!$A$1:$E$13</definedName>
    <definedName name="_xlnm.Print_Area" localSheetId="29">'б-т 919 (01.01.20)'!$A$1:$N$23</definedName>
    <definedName name="_xlnm.Print_Area" localSheetId="34">'б-т 922 (01.01.20)'!$A$1:$V$84</definedName>
    <definedName name="_xlnm.Print_Area" localSheetId="35">'б-т 927 (01.01.20)'!$A$1:$W$41</definedName>
    <definedName name="_xlnm.Print_Area" localSheetId="36">'б-т 931,932,933 (01.01.20)'!$A$1:$U$39</definedName>
    <definedName name="_xlnm.Print_Area" localSheetId="37">'б-т 934 (01.01.20)'!$A$1:$M$23</definedName>
    <definedName name="_xlnm.Print_Area" localSheetId="38">'б-т 941 (01.01.20)'!$A$1:$W$52</definedName>
    <definedName name="_xlnm.Print_Area" localSheetId="39">'б-т 942 (01.01.20)'!$A$1:$X$23</definedName>
    <definedName name="_xlnm.Print_Area" localSheetId="40">'б-т 947 (01.01.20)'!$A$1:$X$52</definedName>
    <definedName name="_xlnm.Print_Area" localSheetId="41">'б-т 953 (01.01.20)'!$A$1:$X$61</definedName>
    <definedName name="_xlnm.Print_Area" localSheetId="42">'б-т 954 (01.01.20)'!$A$1:$X$50</definedName>
    <definedName name="_xlnm.Print_Area" localSheetId="31">'б-т 966 (01.01.20)'!$A$1:$Z$62</definedName>
    <definedName name="_xlnm.Print_Area" localSheetId="44">'б-т 981 Стим-е (01.01.20)'!$A$1:$Z$61</definedName>
    <definedName name="_xlnm.Print_Area" localSheetId="45">'б-т 982 (01.01.20)'!$A$1:$S$19</definedName>
    <definedName name="_xlnm.Print_Area" localSheetId="26">'б-т 991,992,911 (01.01.20)-2021'!$A$1:$AI$27</definedName>
    <definedName name="_xlnm.Print_Area" localSheetId="27">'б-т 991,992,911 (01.01.20)-2022'!$A$1:$AI$30</definedName>
    <definedName name="_xlnm.Print_Area" localSheetId="25">'б-т 991,992,911 (14.02.20)-2020'!$A$1:$AI$27</definedName>
    <definedName name="_xlnm.Print_Area" localSheetId="46">'б-т 995 (01.01.20)'!$G$1:$AK$29</definedName>
    <definedName name="_xlnm.Print_Area" localSheetId="43">'б-т Стим-е 954 (01.01.20)'!$A$1:$Z$61</definedName>
    <definedName name="_xlnm.Print_Area" localSheetId="63">'внеб 912,921,952 (21.02.20)'!$A$1:$L$43</definedName>
    <definedName name="_xlnm.Print_Area" localSheetId="67">'внеб 925 (01.01.20)'!$A$1:$I$85</definedName>
    <definedName name="_xlnm.Print_Area" localSheetId="68">'внеб 931,932,933 (01.01.20)'!$A$1:$N$31</definedName>
    <definedName name="_xlnm.Print_Area" localSheetId="69">'внеб 941 (01.01.20)'!$A$1:$J$75</definedName>
    <definedName name="_xlnm.Print_Area" localSheetId="70">'внеб 947 (21.02.20)'!$A$1:$L$28</definedName>
    <definedName name="_xlnm.Print_Area" localSheetId="71">'внеб 954 (21.02.20)'!$A$1:$M$26</definedName>
    <definedName name="_xlnm.Print_Area" localSheetId="72">'внеб 955 (01.01.20)'!$A$1:$J$20</definedName>
    <definedName name="_xlnm.Print_Area" localSheetId="73">'внеб 963 (23.03.20)'!$A$1:$T$21</definedName>
    <definedName name="_xlnm.Print_Area" localSheetId="74">'внеб 971 (23.03.20)'!$A$1:$N$86</definedName>
    <definedName name="_xlnm.Print_Area" localSheetId="75">'внеб 981 (23.03.20)'!$A$1:$N$38</definedName>
    <definedName name="_xlnm.Print_Area" localSheetId="76">'внеб 982 (01.01.20)'!$A$1:$H$14</definedName>
    <definedName name="_xlnm.Print_Area" localSheetId="77">'внеб 983 (01.01.20)'!$A$1:$N$37</definedName>
    <definedName name="_xlnm.Print_Area" localSheetId="78">'внеб 985 (01.01.20)'!$A$1:$H$16</definedName>
    <definedName name="_xlnm.Print_Area" localSheetId="79">'внеб 986 (01.01.20)'!$A$1:$H$21</definedName>
    <definedName name="_xlnm.Print_Area" localSheetId="62">'внеб КВР 112 (01.01.20)'!$A$1:$E$21</definedName>
    <definedName name="_xlnm.Print_Area" localSheetId="65">'внеб КВР 244'!$A$1:$E$30</definedName>
    <definedName name="_xlnm.Print_Area" localSheetId="60">'внебКВР 111 (01.01.20)+'!$A$1:$E$13</definedName>
    <definedName name="_xlnm.Print_Area" localSheetId="16">'возмещ ком услстрока 1230(135)'!$A$1:$O$11</definedName>
    <definedName name="_xlnm.Print_Area" localSheetId="86">'Высоцкий 2020'!$A$1:$AH$42</definedName>
    <definedName name="_xlnm.Print_Area" localSheetId="92">'Высоцкий 2021'!$A$1:$AH$42</definedName>
    <definedName name="_xlnm.Print_Area" localSheetId="98">'Высоцкий 2022'!$A$1:$AH$42</definedName>
    <definedName name="_xlnm.Print_Area" localSheetId="84">'ГЦК+Энергия 2020'!$A$1:$AH$62</definedName>
    <definedName name="_xlnm.Print_Area" localSheetId="90">'ГЦК+Энергия 2021'!$A$1:$AH$62</definedName>
    <definedName name="_xlnm.Print_Area" localSheetId="96">'ГЦК+Энергия 2022'!$A$1:$AH$62</definedName>
    <definedName name="_xlnm.Print_Area" localSheetId="58">'ЖКХ КВР 244 (01.01.20)'!$A$1:$E$33</definedName>
    <definedName name="_xlnm.Print_Area" localSheetId="51">'иные 212 (917) 2020'!$A$1:$R$29</definedName>
    <definedName name="_xlnm.Print_Area" localSheetId="49">'иные КВР 112 (01.01.20)'!$A$1:$E$22</definedName>
    <definedName name="_xlnm.Print_Area" localSheetId="50">'иные КВР 321(01.01.20)'!$A$1:$E$17</definedName>
    <definedName name="_xlnm.Print_Area" localSheetId="22">'иные стр1210(130)культ'!$A$1:$D$15</definedName>
    <definedName name="_xlnm.Print_Area" localSheetId="2">'музей 2020'!$A$1:$AH$40</definedName>
    <definedName name="_xlnm.Print_Area" localSheetId="87">'музей 2021'!$A$1:$AH$40</definedName>
    <definedName name="_xlnm.Print_Area" localSheetId="93">'музей 2022'!$A$1:$AH$40</definedName>
    <definedName name="_xlnm.Print_Area" localSheetId="54">'ОД 966 (21.02.20)'!$A$1:$Z$26</definedName>
    <definedName name="_xlnm.Print_Area" localSheetId="53">'ОД КВР 244 (13.04.20)'!$A$1:$E$33</definedName>
    <definedName name="_xlnm.Print_Area" localSheetId="14">'платные строка 1220 (131)'!$A$1:$XFC$43</definedName>
    <definedName name="_xlnm.Print_Area" localSheetId="4">'раздел 1 (2020)'!$A$1:$N$110</definedName>
    <definedName name="_xlnm.Print_Area" localSheetId="5">'раздел 1 (2021)'!$A$1:$M$98</definedName>
    <definedName name="_xlnm.Print_Area" localSheetId="6">'раздел 1 (2022)'!$A$1:$M$98</definedName>
    <definedName name="_xlnm.Print_Area" localSheetId="7">'раздел 1 (за предел.)'!$A$1:$M$98</definedName>
    <definedName name="_xlnm.Print_Area" localSheetId="8">'раздел 2'!$A$1:$FR$66</definedName>
    <definedName name="_xlnm.Print_Area" localSheetId="66">'расходы самоокупаемые (01.01.20'!$A$1:$J$28</definedName>
    <definedName name="_xlnm.Print_Area" localSheetId="59">'реформа ЖКХ 947 (01.01.20)'!$A$1:$J$11</definedName>
    <definedName name="_xlnm.Print_Area" localSheetId="3">'Родина 2020'!$A$1:$AH$35</definedName>
    <definedName name="_xlnm.Print_Area" localSheetId="88">'Родина 2021'!$A$1:$AH$35</definedName>
    <definedName name="_xlnm.Print_Area" localSheetId="94">'Родина 2022'!$A$1:$AH$35</definedName>
    <definedName name="_xlnm.Print_Area" localSheetId="15">'самоокуп платные 1220 (131)'!$A$1:$N$13</definedName>
    <definedName name="_xlnm.Print_Area" localSheetId="1">СВОД!$A$1:$N$21</definedName>
    <definedName name="_xlnm.Print_Area" localSheetId="0">'СВОД (2)'!$A$1:$W$21</definedName>
    <definedName name="_xlnm.Print_Area" localSheetId="10">'строка 1100 (120)+'!$A$1:$F$24</definedName>
    <definedName name="_xlnm.Print_Area" localSheetId="11">'строка 1110 (121) аренда+'!$A$1:$O$23</definedName>
    <definedName name="_xlnm.Print_Area" localSheetId="12">'строка 1200(130)'!$A$1:$F$19</definedName>
    <definedName name="_xlnm.Print_Area" localSheetId="28">'субс РК КВР 112 (01.01.20)'!$A$1:$E$22</definedName>
    <definedName name="_xlnm.Print_Area" localSheetId="33">'субс РК КВР 244 (01.01.20)'!$A$1:$E$33</definedName>
    <definedName name="_xlnm.Print_Area" localSheetId="48">'субс РТ КВР 244 (01.01.20)'!$A$1:$E$33</definedName>
    <definedName name="_xlnm.Print_Area" localSheetId="13">'субсидии стр1210(130)культ'!$A$1:$D$10</definedName>
    <definedName name="_xlnm.Print_Area" localSheetId="89">'ЦБС 2021'!$A$1:$AH$38</definedName>
    <definedName name="_xlnm.Print_Area" localSheetId="95">'ЦБС 2022'!$A$1:$AH$38</definedName>
    <definedName name="_xlnm.Print_Area" localSheetId="17">'штрафы строка 1300 (140)'!$A$1:$E$16</definedName>
    <definedName name="_xlnm.Print_Area" localSheetId="85">'Юбилейный 2020'!$A$1:$AH$43</definedName>
    <definedName name="_xlnm.Print_Area" localSheetId="91">'Юбилейный 2021'!$A$1:$AH$43</definedName>
    <definedName name="_xlnm.Print_Area" localSheetId="97">'Юбилейный 2022'!$A$1:$AH$43</definedName>
    <definedName name="оь" localSheetId="55">#REF!</definedName>
    <definedName name="оь" localSheetId="56">#REF!</definedName>
    <definedName name="оь" localSheetId="57">#REF!</definedName>
    <definedName name="оь" localSheetId="81">#REF!</definedName>
    <definedName name="оь" localSheetId="82">#REF!</definedName>
    <definedName name="оь" localSheetId="26">#REF!</definedName>
    <definedName name="оь" localSheetId="27">#REF!</definedName>
    <definedName name="оь" localSheetId="62">#REF!</definedName>
    <definedName name="оь" localSheetId="64">#REF!</definedName>
    <definedName name="оь" localSheetId="58">#REF!</definedName>
    <definedName name="оь" localSheetId="49">#REF!</definedName>
    <definedName name="оь" localSheetId="50">#REF!</definedName>
    <definedName name="оь" localSheetId="22">#REF!</definedName>
    <definedName name="оь" localSheetId="80">#REF!</definedName>
    <definedName name="оь" localSheetId="52">#REF!</definedName>
    <definedName name="оь" localSheetId="53">#REF!</definedName>
    <definedName name="оь" localSheetId="5">#REF!</definedName>
    <definedName name="оь" localSheetId="6">#REF!</definedName>
    <definedName name="оь" localSheetId="7">#REF!</definedName>
    <definedName name="оь" localSheetId="33">#REF!</definedName>
    <definedName name="оь" localSheetId="47">#REF!</definedName>
    <definedName name="оь" localSheetId="48">#REF!</definedName>
    <definedName name="оь">#REF!</definedName>
    <definedName name="п" localSheetId="55">#REF!</definedName>
    <definedName name="п" localSheetId="56">#REF!</definedName>
    <definedName name="п" localSheetId="57">#REF!</definedName>
    <definedName name="п" localSheetId="81">#REF!</definedName>
    <definedName name="п" localSheetId="82">#REF!</definedName>
    <definedName name="п" localSheetId="31">#REF!</definedName>
    <definedName name="п" localSheetId="44">#REF!</definedName>
    <definedName name="п" localSheetId="26">#REF!</definedName>
    <definedName name="п" localSheetId="27">#REF!</definedName>
    <definedName name="п" localSheetId="43">#REF!</definedName>
    <definedName name="п" localSheetId="73">#REF!</definedName>
    <definedName name="п" localSheetId="62">#REF!</definedName>
    <definedName name="п" localSheetId="64">#REF!</definedName>
    <definedName name="п" localSheetId="58">#REF!</definedName>
    <definedName name="п" localSheetId="49">#REF!</definedName>
    <definedName name="п" localSheetId="50">#REF!</definedName>
    <definedName name="п" localSheetId="22">#REF!</definedName>
    <definedName name="п" localSheetId="54">#REF!</definedName>
    <definedName name="п" localSheetId="52">#REF!</definedName>
    <definedName name="п" localSheetId="53">#REF!</definedName>
    <definedName name="п" localSheetId="5">#REF!</definedName>
    <definedName name="п" localSheetId="6">#REF!</definedName>
    <definedName name="п" localSheetId="7">#REF!</definedName>
    <definedName name="п" localSheetId="23">#REF!</definedName>
    <definedName name="п" localSheetId="24">#REF!</definedName>
    <definedName name="п" localSheetId="33">#REF!</definedName>
    <definedName name="п" localSheetId="47">#REF!</definedName>
    <definedName name="п" localSheetId="48">#REF!</definedName>
    <definedName name="п">#REF!</definedName>
    <definedName name="панрти" localSheetId="55">[6]ПРОГНОЗ_1!#REF!</definedName>
    <definedName name="панрти" localSheetId="56">[6]ПРОГНОЗ_1!#REF!</definedName>
    <definedName name="панрти" localSheetId="57">[6]ПРОГНОЗ_1!#REF!</definedName>
    <definedName name="панрти" localSheetId="81">[6]ПРОГНОЗ_1!#REF!</definedName>
    <definedName name="панрти" localSheetId="82">[6]ПРОГНОЗ_1!#REF!</definedName>
    <definedName name="панрти" localSheetId="26">[6]ПРОГНОЗ_1!#REF!</definedName>
    <definedName name="панрти" localSheetId="27">[6]ПРОГНОЗ_1!#REF!</definedName>
    <definedName name="панрти" localSheetId="62">[6]ПРОГНОЗ_1!#REF!</definedName>
    <definedName name="панрти" localSheetId="64">[6]ПРОГНОЗ_1!#REF!</definedName>
    <definedName name="панрти" localSheetId="58">[6]ПРОГНОЗ_1!#REF!</definedName>
    <definedName name="панрти" localSheetId="49">[6]ПРОГНОЗ_1!#REF!</definedName>
    <definedName name="панрти" localSheetId="50">[6]ПРОГНОЗ_1!#REF!</definedName>
    <definedName name="панрти" localSheetId="22">[6]ПРОГНОЗ_1!#REF!</definedName>
    <definedName name="панрти" localSheetId="52">[6]ПРОГНОЗ_1!#REF!</definedName>
    <definedName name="панрти" localSheetId="53">[6]ПРОГНОЗ_1!#REF!</definedName>
    <definedName name="панрти" localSheetId="5">[6]ПРОГНОЗ_1!#REF!</definedName>
    <definedName name="панрти" localSheetId="6">[6]ПРОГНОЗ_1!#REF!</definedName>
    <definedName name="панрти" localSheetId="7">[6]ПРОГНОЗ_1!#REF!</definedName>
    <definedName name="панрти" localSheetId="33">[6]ПРОГНОЗ_1!#REF!</definedName>
    <definedName name="панрти" localSheetId="47">[6]ПРОГНОЗ_1!#REF!</definedName>
    <definedName name="панрти" localSheetId="48">[6]ПРОГНОЗ_1!#REF!</definedName>
    <definedName name="панрти">[6]ПРОГНОЗ_1!#REF!</definedName>
    <definedName name="паыоаыпо" localSheetId="55">#REF!</definedName>
    <definedName name="паыоаыпо" localSheetId="56">#REF!</definedName>
    <definedName name="паыоаыпо" localSheetId="57">#REF!</definedName>
    <definedName name="паыоаыпо" localSheetId="81">#REF!</definedName>
    <definedName name="паыоаыпо" localSheetId="82">#REF!</definedName>
    <definedName name="паыоаыпо" localSheetId="31">#REF!</definedName>
    <definedName name="паыоаыпо" localSheetId="44">#REF!</definedName>
    <definedName name="паыоаыпо" localSheetId="26">#REF!</definedName>
    <definedName name="паыоаыпо" localSheetId="27">#REF!</definedName>
    <definedName name="паыоаыпо" localSheetId="43">#REF!</definedName>
    <definedName name="паыоаыпо" localSheetId="73">#REF!</definedName>
    <definedName name="паыоаыпо" localSheetId="62">#REF!</definedName>
    <definedName name="паыоаыпо" localSheetId="64">#REF!</definedName>
    <definedName name="паыоаыпо" localSheetId="58">#REF!</definedName>
    <definedName name="паыоаыпо" localSheetId="49">#REF!</definedName>
    <definedName name="паыоаыпо" localSheetId="50">#REF!</definedName>
    <definedName name="паыоаыпо" localSheetId="22">#REF!</definedName>
    <definedName name="паыоаыпо" localSheetId="80">#REF!</definedName>
    <definedName name="паыоаыпо" localSheetId="54">#REF!</definedName>
    <definedName name="паыоаыпо" localSheetId="52">#REF!</definedName>
    <definedName name="паыоаыпо" localSheetId="53">#REF!</definedName>
    <definedName name="паыоаыпо" localSheetId="5">#REF!</definedName>
    <definedName name="паыоаыпо" localSheetId="6">#REF!</definedName>
    <definedName name="паыоаыпо" localSheetId="7">#REF!</definedName>
    <definedName name="паыоаыпо" localSheetId="23">#REF!</definedName>
    <definedName name="паыоаыпо" localSheetId="24">#REF!</definedName>
    <definedName name="паыоаыпо" localSheetId="33">#REF!</definedName>
    <definedName name="паыоаыпо" localSheetId="47">#REF!</definedName>
    <definedName name="паыоаыпо" localSheetId="48">#REF!</definedName>
    <definedName name="паыоаыпо">#REF!</definedName>
    <definedName name="Пгород" localSheetId="55">#REF!</definedName>
    <definedName name="Пгород" localSheetId="56">#REF!</definedName>
    <definedName name="Пгород" localSheetId="57">#REF!</definedName>
    <definedName name="Пгород" localSheetId="81">#REF!</definedName>
    <definedName name="Пгород" localSheetId="82">#REF!</definedName>
    <definedName name="Пгород" localSheetId="31">#REF!</definedName>
    <definedName name="Пгород" localSheetId="44">#REF!</definedName>
    <definedName name="Пгород" localSheetId="26">#REF!</definedName>
    <definedName name="Пгород" localSheetId="27">#REF!</definedName>
    <definedName name="Пгород" localSheetId="43">#REF!</definedName>
    <definedName name="Пгород" localSheetId="73">#REF!</definedName>
    <definedName name="Пгород" localSheetId="62">#REF!</definedName>
    <definedName name="Пгород" localSheetId="64">#REF!</definedName>
    <definedName name="Пгород" localSheetId="58">#REF!</definedName>
    <definedName name="Пгород" localSheetId="49">#REF!</definedName>
    <definedName name="Пгород" localSheetId="50">#REF!</definedName>
    <definedName name="Пгород" localSheetId="22">#REF!</definedName>
    <definedName name="Пгород" localSheetId="54">#REF!</definedName>
    <definedName name="Пгород" localSheetId="52">#REF!</definedName>
    <definedName name="Пгород" localSheetId="53">#REF!</definedName>
    <definedName name="Пгород" localSheetId="5">#REF!</definedName>
    <definedName name="Пгород" localSheetId="6">#REF!</definedName>
    <definedName name="Пгород" localSheetId="7">#REF!</definedName>
    <definedName name="Пгород" localSheetId="23">#REF!</definedName>
    <definedName name="Пгород" localSheetId="24">#REF!</definedName>
    <definedName name="Пгород" localSheetId="33">#REF!</definedName>
    <definedName name="Пгород" localSheetId="47">#REF!</definedName>
    <definedName name="Пгород" localSheetId="48">#REF!</definedName>
    <definedName name="Пгород">#REF!</definedName>
    <definedName name="ПОКАЗАТЕЛИ_ДОЛГОСР.ПРОГНОЗА" localSheetId="55">'[9]2002(v2)'!#REF!</definedName>
    <definedName name="ПОКАЗАТЕЛИ_ДОЛГОСР.ПРОГНОЗА" localSheetId="56">'[9]2002(v2)'!#REF!</definedName>
    <definedName name="ПОКАЗАТЕЛИ_ДОЛГОСР.ПРОГНОЗА" localSheetId="57">'[9]2002(v2)'!#REF!</definedName>
    <definedName name="ПОКАЗАТЕЛИ_ДОЛГОСР.ПРОГНОЗА" localSheetId="81">'[9]2002(v2)'!#REF!</definedName>
    <definedName name="ПОКАЗАТЕЛИ_ДОЛГОСР.ПРОГНОЗА" localSheetId="82">'[9]2002(v2)'!#REF!</definedName>
    <definedName name="ПОКАЗАТЕЛИ_ДОЛГОСР.ПРОГНОЗА" localSheetId="31">'[10]2002(v2)'!#REF!</definedName>
    <definedName name="ПОКАЗАТЕЛИ_ДОЛГОСР.ПРОГНОЗА" localSheetId="44">'[10]2002(v2)'!#REF!</definedName>
    <definedName name="ПОКАЗАТЕЛИ_ДОЛГОСР.ПРОГНОЗА" localSheetId="26">'[9]2002(v2)'!#REF!</definedName>
    <definedName name="ПОКАЗАТЕЛИ_ДОЛГОСР.ПРОГНОЗА" localSheetId="27">'[9]2002(v2)'!#REF!</definedName>
    <definedName name="ПОКАЗАТЕЛИ_ДОЛГОСР.ПРОГНОЗА" localSheetId="43">'[10]2002(v2)'!#REF!</definedName>
    <definedName name="ПОКАЗАТЕЛИ_ДОЛГОСР.ПРОГНОЗА" localSheetId="73">'[11]2002(v2)'!#REF!</definedName>
    <definedName name="ПОКАЗАТЕЛИ_ДОЛГОСР.ПРОГНОЗА" localSheetId="62">'[9]2002(v2)'!#REF!</definedName>
    <definedName name="ПОКАЗАТЕЛИ_ДОЛГОСР.ПРОГНОЗА" localSheetId="64">'[9]2002(v2)'!#REF!</definedName>
    <definedName name="ПОКАЗАТЕЛИ_ДОЛГОСР.ПРОГНОЗА" localSheetId="58">'[9]2002(v2)'!#REF!</definedName>
    <definedName name="ПОКАЗАТЕЛИ_ДОЛГОСР.ПРОГНОЗА" localSheetId="49">'[9]2002(v2)'!#REF!</definedName>
    <definedName name="ПОКАЗАТЕЛИ_ДОЛГОСР.ПРОГНОЗА" localSheetId="50">'[9]2002(v2)'!#REF!</definedName>
    <definedName name="ПОКАЗАТЕЛИ_ДОЛГОСР.ПРОГНОЗА" localSheetId="22">'[9]2002(v2)'!#REF!</definedName>
    <definedName name="ПОКАЗАТЕЛИ_ДОЛГОСР.ПРОГНОЗА" localSheetId="54">'[9]2002(v2)'!#REF!</definedName>
    <definedName name="ПОКАЗАТЕЛИ_ДОЛГОСР.ПРОГНОЗА" localSheetId="52">'[9]2002(v2)'!#REF!</definedName>
    <definedName name="ПОКАЗАТЕЛИ_ДОЛГОСР.ПРОГНОЗА" localSheetId="53">'[9]2002(v2)'!#REF!</definedName>
    <definedName name="ПОКАЗАТЕЛИ_ДОЛГОСР.ПРОГНОЗА" localSheetId="5">'[9]2002(v2)'!#REF!</definedName>
    <definedName name="ПОКАЗАТЕЛИ_ДОЛГОСР.ПРОГНОЗА" localSheetId="6">'[9]2002(v2)'!#REF!</definedName>
    <definedName name="ПОКАЗАТЕЛИ_ДОЛГОСР.ПРОГНОЗА" localSheetId="7">'[9]2002(v2)'!#REF!</definedName>
    <definedName name="ПОКАЗАТЕЛИ_ДОЛГОСР.ПРОГНОЗА" localSheetId="23">'[9]2002(v2)'!#REF!</definedName>
    <definedName name="ПОКАЗАТЕЛИ_ДОЛГОСР.ПРОГНОЗА" localSheetId="24">'[9]2002(v2)'!#REF!</definedName>
    <definedName name="ПОКАЗАТЕЛИ_ДОЛГОСР.ПРОГНОЗА" localSheetId="33">'[9]2002(v2)'!#REF!</definedName>
    <definedName name="ПОКАЗАТЕЛИ_ДОЛГОСР.ПРОГНОЗА" localSheetId="47">'[9]2002(v2)'!#REF!</definedName>
    <definedName name="ПОКАЗАТЕЛИ_ДОЛГОСР.ПРОГНОЗА" localSheetId="48">'[9]2002(v2)'!#REF!</definedName>
    <definedName name="ПОКАЗАТЕЛИ_ДОЛГОСР.ПРОГНОЗА">'[9]2002(v2)'!#REF!</definedName>
    <definedName name="ПОКАЗАТЕЛИ_ДОЛГОСР.ПРОГНОЗА_14" localSheetId="55">'[9]2002(v2)'!#REF!</definedName>
    <definedName name="ПОКАЗАТЕЛИ_ДОЛГОСР.ПРОГНОЗА_14" localSheetId="56">'[9]2002(v2)'!#REF!</definedName>
    <definedName name="ПОКАЗАТЕЛИ_ДОЛГОСР.ПРОГНОЗА_14" localSheetId="57">'[9]2002(v2)'!#REF!</definedName>
    <definedName name="ПОКАЗАТЕЛИ_ДОЛГОСР.ПРОГНОЗА_14" localSheetId="81">'[9]2002(v2)'!#REF!</definedName>
    <definedName name="ПОКАЗАТЕЛИ_ДОЛГОСР.ПРОГНОЗА_14" localSheetId="82">'[9]2002(v2)'!#REF!</definedName>
    <definedName name="ПОКАЗАТЕЛИ_ДОЛГОСР.ПРОГНОЗА_14" localSheetId="31">'[9]2002(v2)'!#REF!</definedName>
    <definedName name="ПОКАЗАТЕЛИ_ДОЛГОСР.ПРОГНОЗА_14" localSheetId="44">'[9]2002(v2)'!#REF!</definedName>
    <definedName name="ПОКАЗАТЕЛИ_ДОЛГОСР.ПРОГНОЗА_14" localSheetId="26">'[9]2002(v2)'!#REF!</definedName>
    <definedName name="ПОКАЗАТЕЛИ_ДОЛГОСР.ПРОГНОЗА_14" localSheetId="27">'[9]2002(v2)'!#REF!</definedName>
    <definedName name="ПОКАЗАТЕЛИ_ДОЛГОСР.ПРОГНОЗА_14" localSheetId="43">'[9]2002(v2)'!#REF!</definedName>
    <definedName name="ПОКАЗАТЕЛИ_ДОЛГОСР.ПРОГНОЗА_14" localSheetId="73">'[9]2002(v2)'!#REF!</definedName>
    <definedName name="ПОКАЗАТЕЛИ_ДОЛГОСР.ПРОГНОЗА_14" localSheetId="62">'[9]2002(v2)'!#REF!</definedName>
    <definedName name="ПОКАЗАТЕЛИ_ДОЛГОСР.ПРОГНОЗА_14" localSheetId="64">'[9]2002(v2)'!#REF!</definedName>
    <definedName name="ПОКАЗАТЕЛИ_ДОЛГОСР.ПРОГНОЗА_14" localSheetId="58">'[9]2002(v2)'!#REF!</definedName>
    <definedName name="ПОКАЗАТЕЛИ_ДОЛГОСР.ПРОГНОЗА_14" localSheetId="49">'[9]2002(v2)'!#REF!</definedName>
    <definedName name="ПОКАЗАТЕЛИ_ДОЛГОСР.ПРОГНОЗА_14" localSheetId="50">'[9]2002(v2)'!#REF!</definedName>
    <definedName name="ПОКАЗАТЕЛИ_ДОЛГОСР.ПРОГНОЗА_14" localSheetId="22">'[9]2002(v2)'!#REF!</definedName>
    <definedName name="ПОКАЗАТЕЛИ_ДОЛГОСР.ПРОГНОЗА_14" localSheetId="54">'[9]2002(v2)'!#REF!</definedName>
    <definedName name="ПОКАЗАТЕЛИ_ДОЛГОСР.ПРОГНОЗА_14" localSheetId="52">'[9]2002(v2)'!#REF!</definedName>
    <definedName name="ПОКАЗАТЕЛИ_ДОЛГОСР.ПРОГНОЗА_14" localSheetId="53">'[9]2002(v2)'!#REF!</definedName>
    <definedName name="ПОКАЗАТЕЛИ_ДОЛГОСР.ПРОГНОЗА_14" localSheetId="5">'[9]2002(v2)'!#REF!</definedName>
    <definedName name="ПОКАЗАТЕЛИ_ДОЛГОСР.ПРОГНОЗА_14" localSheetId="6">'[9]2002(v2)'!#REF!</definedName>
    <definedName name="ПОКАЗАТЕЛИ_ДОЛГОСР.ПРОГНОЗА_14" localSheetId="7">'[9]2002(v2)'!#REF!</definedName>
    <definedName name="ПОКАЗАТЕЛИ_ДОЛГОСР.ПРОГНОЗА_14" localSheetId="23">'[9]2002(v2)'!#REF!</definedName>
    <definedName name="ПОКАЗАТЕЛИ_ДОЛГОСР.ПРОГНОЗА_14" localSheetId="24">'[9]2002(v2)'!#REF!</definedName>
    <definedName name="ПОКАЗАТЕЛИ_ДОЛГОСР.ПРОГНОЗА_14" localSheetId="33">'[9]2002(v2)'!#REF!</definedName>
    <definedName name="ПОКАЗАТЕЛИ_ДОЛГОСР.ПРОГНОЗА_14" localSheetId="47">'[9]2002(v2)'!#REF!</definedName>
    <definedName name="ПОКАЗАТЕЛИ_ДОЛГОСР.ПРОГНОЗА_14" localSheetId="48">'[9]2002(v2)'!#REF!</definedName>
    <definedName name="ПОКАЗАТЕЛИ_ДОЛГОСР.ПРОГНОЗА_14">'[9]2002(v2)'!#REF!</definedName>
    <definedName name="пппп" localSheetId="55">'[12]2002(v1)'!#REF!</definedName>
    <definedName name="пппп" localSheetId="56">'[12]2002(v1)'!#REF!</definedName>
    <definedName name="пппп" localSheetId="57">'[12]2002(v1)'!#REF!</definedName>
    <definedName name="пппп" localSheetId="81">'[12]2002(v1)'!#REF!</definedName>
    <definedName name="пппп" localSheetId="82">'[12]2002(v1)'!#REF!</definedName>
    <definedName name="пппп" localSheetId="31">'[12]2002(v1)'!#REF!</definedName>
    <definedName name="пппп" localSheetId="44">'[12]2002(v1)'!#REF!</definedName>
    <definedName name="пппп" localSheetId="26">'[12]2002(v1)'!#REF!</definedName>
    <definedName name="пппп" localSheetId="27">'[12]2002(v1)'!#REF!</definedName>
    <definedName name="пппп" localSheetId="43">'[12]2002(v1)'!#REF!</definedName>
    <definedName name="пппп" localSheetId="73">'[12]2002(v1)'!#REF!</definedName>
    <definedName name="пппп" localSheetId="62">'[12]2002(v1)'!#REF!</definedName>
    <definedName name="пппп" localSheetId="64">'[12]2002(v1)'!#REF!</definedName>
    <definedName name="пппп" localSheetId="58">'[12]2002(v1)'!#REF!</definedName>
    <definedName name="пппп" localSheetId="49">'[12]2002(v1)'!#REF!</definedName>
    <definedName name="пппп" localSheetId="50">'[12]2002(v1)'!#REF!</definedName>
    <definedName name="пппп" localSheetId="22">'[12]2002(v1)'!#REF!</definedName>
    <definedName name="пппп" localSheetId="54">'[12]2002(v1)'!#REF!</definedName>
    <definedName name="пппп" localSheetId="52">'[12]2002(v1)'!#REF!</definedName>
    <definedName name="пппп" localSheetId="53">'[12]2002(v1)'!#REF!</definedName>
    <definedName name="пппп" localSheetId="5">'[12]2002(v1)'!#REF!</definedName>
    <definedName name="пппп" localSheetId="6">'[12]2002(v1)'!#REF!</definedName>
    <definedName name="пппп" localSheetId="7">'[12]2002(v1)'!#REF!</definedName>
    <definedName name="пппп" localSheetId="23">'[12]2002(v1)'!#REF!</definedName>
    <definedName name="пппп" localSheetId="24">'[12]2002(v1)'!#REF!</definedName>
    <definedName name="пппп" localSheetId="33">'[12]2002(v1)'!#REF!</definedName>
    <definedName name="пппп" localSheetId="47">'[12]2002(v1)'!#REF!</definedName>
    <definedName name="пппп" localSheetId="48">'[12]2002(v1)'!#REF!</definedName>
    <definedName name="пппп">'[12]2002(v1)'!#REF!</definedName>
    <definedName name="пппп_14" localSheetId="55">'[12]2002(v1)'!#REF!</definedName>
    <definedName name="пппп_14" localSheetId="56">'[12]2002(v1)'!#REF!</definedName>
    <definedName name="пппп_14" localSheetId="57">'[12]2002(v1)'!#REF!</definedName>
    <definedName name="пппп_14" localSheetId="81">'[12]2002(v1)'!#REF!</definedName>
    <definedName name="пппп_14" localSheetId="82">'[12]2002(v1)'!#REF!</definedName>
    <definedName name="пппп_14" localSheetId="26">'[12]2002(v1)'!#REF!</definedName>
    <definedName name="пппп_14" localSheetId="27">'[12]2002(v1)'!#REF!</definedName>
    <definedName name="пппп_14" localSheetId="62">'[12]2002(v1)'!#REF!</definedName>
    <definedName name="пппп_14" localSheetId="64">'[12]2002(v1)'!#REF!</definedName>
    <definedName name="пппп_14" localSheetId="58">'[12]2002(v1)'!#REF!</definedName>
    <definedName name="пппп_14" localSheetId="49">'[12]2002(v1)'!#REF!</definedName>
    <definedName name="пппп_14" localSheetId="50">'[12]2002(v1)'!#REF!</definedName>
    <definedName name="пппп_14" localSheetId="22">'[12]2002(v1)'!#REF!</definedName>
    <definedName name="пппп_14" localSheetId="54">'[12]2002(v1)'!#REF!</definedName>
    <definedName name="пппп_14" localSheetId="52">'[12]2002(v1)'!#REF!</definedName>
    <definedName name="пппп_14" localSheetId="53">'[12]2002(v1)'!#REF!</definedName>
    <definedName name="пппп_14" localSheetId="5">'[12]2002(v1)'!#REF!</definedName>
    <definedName name="пппп_14" localSheetId="6">'[12]2002(v1)'!#REF!</definedName>
    <definedName name="пппп_14" localSheetId="7">'[12]2002(v1)'!#REF!</definedName>
    <definedName name="пппп_14" localSheetId="23">'[12]2002(v1)'!#REF!</definedName>
    <definedName name="пппп_14" localSheetId="24">'[12]2002(v1)'!#REF!</definedName>
    <definedName name="пппп_14" localSheetId="33">'[12]2002(v1)'!#REF!</definedName>
    <definedName name="пппп_14" localSheetId="47">'[12]2002(v1)'!#REF!</definedName>
    <definedName name="пппп_14" localSheetId="48">'[12]2002(v1)'!#REF!</definedName>
    <definedName name="пппп_14">'[12]2002(v1)'!#REF!</definedName>
    <definedName name="прво" localSheetId="55">#REF!</definedName>
    <definedName name="прво" localSheetId="56">#REF!</definedName>
    <definedName name="прво" localSheetId="57">#REF!</definedName>
    <definedName name="прво" localSheetId="81">#REF!</definedName>
    <definedName name="прво" localSheetId="82">#REF!</definedName>
    <definedName name="прво" localSheetId="31">#REF!</definedName>
    <definedName name="прво" localSheetId="44">#REF!</definedName>
    <definedName name="прво" localSheetId="26">#REF!</definedName>
    <definedName name="прво" localSheetId="27">#REF!</definedName>
    <definedName name="прво" localSheetId="43">#REF!</definedName>
    <definedName name="прво" localSheetId="73">#REF!</definedName>
    <definedName name="прво" localSheetId="62">#REF!</definedName>
    <definedName name="прво" localSheetId="64">#REF!</definedName>
    <definedName name="прво" localSheetId="58">#REF!</definedName>
    <definedName name="прво" localSheetId="49">#REF!</definedName>
    <definedName name="прво" localSheetId="50">#REF!</definedName>
    <definedName name="прво" localSheetId="22">#REF!</definedName>
    <definedName name="прво" localSheetId="80">#REF!</definedName>
    <definedName name="прво" localSheetId="54">#REF!</definedName>
    <definedName name="прво" localSheetId="52">#REF!</definedName>
    <definedName name="прво" localSheetId="53">#REF!</definedName>
    <definedName name="прво" localSheetId="5">#REF!</definedName>
    <definedName name="прво" localSheetId="6">#REF!</definedName>
    <definedName name="прво" localSheetId="7">#REF!</definedName>
    <definedName name="прво" localSheetId="23">#REF!</definedName>
    <definedName name="прво" localSheetId="24">#REF!</definedName>
    <definedName name="прво" localSheetId="33">#REF!</definedName>
    <definedName name="прво" localSheetId="47">#REF!</definedName>
    <definedName name="прво" localSheetId="48">#REF!</definedName>
    <definedName name="прво">#REF!</definedName>
    <definedName name="про" localSheetId="55">#REF!</definedName>
    <definedName name="про" localSheetId="56">#REF!</definedName>
    <definedName name="про" localSheetId="57">#REF!</definedName>
    <definedName name="про" localSheetId="81">#REF!</definedName>
    <definedName name="про" localSheetId="82">#REF!</definedName>
    <definedName name="про" localSheetId="31">#REF!</definedName>
    <definedName name="про" localSheetId="44">#REF!</definedName>
    <definedName name="про" localSheetId="26">#REF!</definedName>
    <definedName name="про" localSheetId="27">#REF!</definedName>
    <definedName name="про" localSheetId="43">#REF!</definedName>
    <definedName name="про" localSheetId="73">#REF!</definedName>
    <definedName name="про" localSheetId="62">#REF!</definedName>
    <definedName name="про" localSheetId="64">#REF!</definedName>
    <definedName name="про" localSheetId="58">#REF!</definedName>
    <definedName name="про" localSheetId="49">#REF!</definedName>
    <definedName name="про" localSheetId="50">#REF!</definedName>
    <definedName name="про" localSheetId="22">#REF!</definedName>
    <definedName name="про" localSheetId="54">#REF!</definedName>
    <definedName name="про" localSheetId="52">#REF!</definedName>
    <definedName name="про" localSheetId="53">#REF!</definedName>
    <definedName name="про" localSheetId="5">#REF!</definedName>
    <definedName name="про" localSheetId="6">#REF!</definedName>
    <definedName name="про" localSheetId="7">#REF!</definedName>
    <definedName name="про" localSheetId="23">#REF!</definedName>
    <definedName name="про" localSheetId="24">#REF!</definedName>
    <definedName name="про" localSheetId="33">#REF!</definedName>
    <definedName name="про" localSheetId="47">#REF!</definedName>
    <definedName name="про" localSheetId="48">#REF!</definedName>
    <definedName name="про">#REF!</definedName>
    <definedName name="Прогноз97" localSheetId="55">[13]ПРОГНОЗ_1!#REF!</definedName>
    <definedName name="Прогноз97" localSheetId="56">[13]ПРОГНОЗ_1!#REF!</definedName>
    <definedName name="Прогноз97" localSheetId="57">[13]ПРОГНОЗ_1!#REF!</definedName>
    <definedName name="Прогноз97" localSheetId="81">[13]ПРОГНОЗ_1!#REF!</definedName>
    <definedName name="Прогноз97" localSheetId="82">[13]ПРОГНОЗ_1!#REF!</definedName>
    <definedName name="Прогноз97" localSheetId="31">[13]ПРОГНОЗ_1!#REF!</definedName>
    <definedName name="Прогноз97" localSheetId="44">[13]ПРОГНОЗ_1!#REF!</definedName>
    <definedName name="Прогноз97" localSheetId="26">[13]ПРОГНОЗ_1!#REF!</definedName>
    <definedName name="Прогноз97" localSheetId="27">[13]ПРОГНОЗ_1!#REF!</definedName>
    <definedName name="Прогноз97" localSheetId="43">[13]ПРОГНОЗ_1!#REF!</definedName>
    <definedName name="Прогноз97" localSheetId="73">[13]ПРОГНОЗ_1!#REF!</definedName>
    <definedName name="Прогноз97" localSheetId="62">[13]ПРОГНОЗ_1!#REF!</definedName>
    <definedName name="Прогноз97" localSheetId="64">[13]ПРОГНОЗ_1!#REF!</definedName>
    <definedName name="Прогноз97" localSheetId="58">[13]ПРОГНОЗ_1!#REF!</definedName>
    <definedName name="Прогноз97" localSheetId="49">[13]ПРОГНОЗ_1!#REF!</definedName>
    <definedName name="Прогноз97" localSheetId="50">[13]ПРОГНОЗ_1!#REF!</definedName>
    <definedName name="Прогноз97" localSheetId="22">[13]ПРОГНОЗ_1!#REF!</definedName>
    <definedName name="Прогноз97" localSheetId="54">[13]ПРОГНОЗ_1!#REF!</definedName>
    <definedName name="Прогноз97" localSheetId="52">[13]ПРОГНОЗ_1!#REF!</definedName>
    <definedName name="Прогноз97" localSheetId="53">[13]ПРОГНОЗ_1!#REF!</definedName>
    <definedName name="Прогноз97" localSheetId="5">[13]ПРОГНОЗ_1!#REF!</definedName>
    <definedName name="Прогноз97" localSheetId="6">[13]ПРОГНОЗ_1!#REF!</definedName>
    <definedName name="Прогноз97" localSheetId="7">[13]ПРОГНОЗ_1!#REF!</definedName>
    <definedName name="Прогноз97" localSheetId="23">[13]ПРОГНОЗ_1!#REF!</definedName>
    <definedName name="Прогноз97" localSheetId="24">[13]ПРОГНОЗ_1!#REF!</definedName>
    <definedName name="Прогноз97" localSheetId="33">[13]ПРОГНОЗ_1!#REF!</definedName>
    <definedName name="Прогноз97" localSheetId="47">[13]ПРОГНОЗ_1!#REF!</definedName>
    <definedName name="Прогноз97" localSheetId="48">[13]ПРОГНОЗ_1!#REF!</definedName>
    <definedName name="Прогноз97">[13]ПРОГНОЗ_1!#REF!</definedName>
    <definedName name="Прогноз97_14" localSheetId="55">[13]ПРОГНОЗ_1!#REF!</definedName>
    <definedName name="Прогноз97_14" localSheetId="56">[13]ПРОГНОЗ_1!#REF!</definedName>
    <definedName name="Прогноз97_14" localSheetId="57">[13]ПРОГНОЗ_1!#REF!</definedName>
    <definedName name="Прогноз97_14" localSheetId="81">[13]ПРОГНОЗ_1!#REF!</definedName>
    <definedName name="Прогноз97_14" localSheetId="82">[13]ПРОГНОЗ_1!#REF!</definedName>
    <definedName name="Прогноз97_14" localSheetId="26">[13]ПРОГНОЗ_1!#REF!</definedName>
    <definedName name="Прогноз97_14" localSheetId="27">[13]ПРОГНОЗ_1!#REF!</definedName>
    <definedName name="Прогноз97_14" localSheetId="62">[13]ПРОГНОЗ_1!#REF!</definedName>
    <definedName name="Прогноз97_14" localSheetId="64">[13]ПРОГНОЗ_1!#REF!</definedName>
    <definedName name="Прогноз97_14" localSheetId="58">[13]ПРОГНОЗ_1!#REF!</definedName>
    <definedName name="Прогноз97_14" localSheetId="49">[13]ПРОГНОЗ_1!#REF!</definedName>
    <definedName name="Прогноз97_14" localSheetId="50">[13]ПРОГНОЗ_1!#REF!</definedName>
    <definedName name="Прогноз97_14" localSheetId="22">[13]ПРОГНОЗ_1!#REF!</definedName>
    <definedName name="Прогноз97_14" localSheetId="54">[13]ПРОГНОЗ_1!#REF!</definedName>
    <definedName name="Прогноз97_14" localSheetId="52">[13]ПРОГНОЗ_1!#REF!</definedName>
    <definedName name="Прогноз97_14" localSheetId="53">[13]ПРОГНОЗ_1!#REF!</definedName>
    <definedName name="Прогноз97_14" localSheetId="5">[13]ПРОГНОЗ_1!#REF!</definedName>
    <definedName name="Прогноз97_14" localSheetId="6">[13]ПРОГНОЗ_1!#REF!</definedName>
    <definedName name="Прогноз97_14" localSheetId="7">[13]ПРОГНОЗ_1!#REF!</definedName>
    <definedName name="Прогноз97_14" localSheetId="23">[13]ПРОГНОЗ_1!#REF!</definedName>
    <definedName name="Прогноз97_14" localSheetId="24">[13]ПРОГНОЗ_1!#REF!</definedName>
    <definedName name="Прогноз97_14" localSheetId="33">[13]ПРОГНОЗ_1!#REF!</definedName>
    <definedName name="Прогноз97_14" localSheetId="47">[13]ПРОГНОЗ_1!#REF!</definedName>
    <definedName name="Прогноз97_14" localSheetId="48">[13]ПРОГНОЗ_1!#REF!</definedName>
    <definedName name="Прогноз97_14">[13]ПРОГНОЗ_1!#REF!</definedName>
    <definedName name="раолдраод" localSheetId="55">#REF!</definedName>
    <definedName name="раолдраод" localSheetId="56">#REF!</definedName>
    <definedName name="раолдраод" localSheetId="57">#REF!</definedName>
    <definedName name="раолдраод" localSheetId="81">#REF!</definedName>
    <definedName name="раолдраод" localSheetId="82">#REF!</definedName>
    <definedName name="раолдраод" localSheetId="31">#REF!</definedName>
    <definedName name="раолдраод" localSheetId="44">#REF!</definedName>
    <definedName name="раолдраод" localSheetId="26">#REF!</definedName>
    <definedName name="раолдраод" localSheetId="27">#REF!</definedName>
    <definedName name="раолдраод" localSheetId="43">#REF!</definedName>
    <definedName name="раолдраод" localSheetId="73">#REF!</definedName>
    <definedName name="раолдраод" localSheetId="62">#REF!</definedName>
    <definedName name="раолдраод" localSheetId="64">#REF!</definedName>
    <definedName name="раолдраод" localSheetId="58">#REF!</definedName>
    <definedName name="раолдраод" localSheetId="49">#REF!</definedName>
    <definedName name="раолдраод" localSheetId="50">#REF!</definedName>
    <definedName name="раолдраод" localSheetId="22">#REF!</definedName>
    <definedName name="раолдраод" localSheetId="80">#REF!</definedName>
    <definedName name="раолдраод" localSheetId="54">#REF!</definedName>
    <definedName name="раолдраод" localSheetId="52">#REF!</definedName>
    <definedName name="раолдраод" localSheetId="53">#REF!</definedName>
    <definedName name="раолдраод" localSheetId="5">#REF!</definedName>
    <definedName name="раолдраод" localSheetId="6">#REF!</definedName>
    <definedName name="раолдраод" localSheetId="7">#REF!</definedName>
    <definedName name="раолдраод" localSheetId="23">#REF!</definedName>
    <definedName name="раолдраод" localSheetId="24">#REF!</definedName>
    <definedName name="раолдраод" localSheetId="33">#REF!</definedName>
    <definedName name="раолдраод" localSheetId="47">#REF!</definedName>
    <definedName name="раолдраод" localSheetId="48">#REF!</definedName>
    <definedName name="раолдраод">#REF!</definedName>
    <definedName name="уцкецукецк" localSheetId="55">'[12]2002(v1)'!#REF!</definedName>
    <definedName name="уцкецукецк" localSheetId="56">'[12]2002(v1)'!#REF!</definedName>
    <definedName name="уцкецукецк" localSheetId="57">'[12]2002(v1)'!#REF!</definedName>
    <definedName name="уцкецукецк" localSheetId="81">'[12]2002(v1)'!#REF!</definedName>
    <definedName name="уцкецукецк" localSheetId="82">'[12]2002(v1)'!#REF!</definedName>
    <definedName name="уцкецукецк" localSheetId="31">'[12]2002(v1)'!#REF!</definedName>
    <definedName name="уцкецукецк" localSheetId="44">'[12]2002(v1)'!#REF!</definedName>
    <definedName name="уцкецукецк" localSheetId="26">'[12]2002(v1)'!#REF!</definedName>
    <definedName name="уцкецукецк" localSheetId="27">'[12]2002(v1)'!#REF!</definedName>
    <definedName name="уцкецукецк" localSheetId="43">'[12]2002(v1)'!#REF!</definedName>
    <definedName name="уцкецукецк" localSheetId="62">'[12]2002(v1)'!#REF!</definedName>
    <definedName name="уцкецукецк" localSheetId="64">'[12]2002(v1)'!#REF!</definedName>
    <definedName name="уцкецукецк" localSheetId="58">'[12]2002(v1)'!#REF!</definedName>
    <definedName name="уцкецукецк" localSheetId="49">'[12]2002(v1)'!#REF!</definedName>
    <definedName name="уцкецукецк" localSheetId="50">'[12]2002(v1)'!#REF!</definedName>
    <definedName name="уцкецукецк" localSheetId="22">'[12]2002(v1)'!#REF!</definedName>
    <definedName name="уцкецукецк" localSheetId="80">'[12]2002(v1)'!#REF!</definedName>
    <definedName name="уцкецукецк" localSheetId="54">'[12]2002(v1)'!#REF!</definedName>
    <definedName name="уцкецукецк" localSheetId="52">'[12]2002(v1)'!#REF!</definedName>
    <definedName name="уцкецукецк" localSheetId="53">'[12]2002(v1)'!#REF!</definedName>
    <definedName name="уцкецукецк" localSheetId="5">'[12]2002(v1)'!#REF!</definedName>
    <definedName name="уцкецукецк" localSheetId="6">'[12]2002(v1)'!#REF!</definedName>
    <definedName name="уцкецукецк" localSheetId="7">'[12]2002(v1)'!#REF!</definedName>
    <definedName name="уцкецукецк" localSheetId="23">'[12]2002(v1)'!#REF!</definedName>
    <definedName name="уцкецукецк" localSheetId="24">'[12]2002(v1)'!#REF!</definedName>
    <definedName name="уцкецукецк" localSheetId="33">'[12]2002(v1)'!#REF!</definedName>
    <definedName name="уцкецукецк" localSheetId="47">'[12]2002(v1)'!#REF!</definedName>
    <definedName name="уцкецукецк" localSheetId="48">'[12]2002(v1)'!#REF!</definedName>
    <definedName name="уцкецукецк">'[12]2002(v1)'!#REF!</definedName>
    <definedName name="Ф.И.О." localSheetId="81">#REF!</definedName>
    <definedName name="Ф.И.О." localSheetId="82">#REF!</definedName>
    <definedName name="Ф.И.О." localSheetId="26">#REF!</definedName>
    <definedName name="Ф.И.О." localSheetId="27">#REF!</definedName>
    <definedName name="Ф.И.О." localSheetId="46">#REF!</definedName>
    <definedName name="Ф.И.О." localSheetId="58">#REF!</definedName>
    <definedName name="Ф.И.О." localSheetId="52">#REF!</definedName>
    <definedName name="Ф.И.О." localSheetId="53">#REF!</definedName>
    <definedName name="Ф.И.О." localSheetId="5">#REF!</definedName>
    <definedName name="Ф.И.О." localSheetId="6">#REF!</definedName>
    <definedName name="Ф.И.О." localSheetId="7">#REF!</definedName>
    <definedName name="Ф.И.О." localSheetId="47">#REF!</definedName>
    <definedName name="Ф.И.О.">#REF!</definedName>
    <definedName name="фварварффврвр" localSheetId="55">'[5]Гр5(о)'!#REF!</definedName>
    <definedName name="фварварффврвр" localSheetId="56">'[5]Гр5(о)'!#REF!</definedName>
    <definedName name="фварварффврвр" localSheetId="57">'[5]Гр5(о)'!#REF!</definedName>
    <definedName name="фварварффврвр" localSheetId="81">'[5]Гр5(о)'!#REF!</definedName>
    <definedName name="фварварффврвр" localSheetId="82">'[5]Гр5(о)'!#REF!</definedName>
    <definedName name="фварварффврвр" localSheetId="26">'[5]Гр5(о)'!#REF!</definedName>
    <definedName name="фварварффврвр" localSheetId="27">'[5]Гр5(о)'!#REF!</definedName>
    <definedName name="фварварффврвр" localSheetId="62">'[5]Гр5(о)'!#REF!</definedName>
    <definedName name="фварварффврвр" localSheetId="64">'[5]Гр5(о)'!#REF!</definedName>
    <definedName name="фварварффврвр" localSheetId="58">'[5]Гр5(о)'!#REF!</definedName>
    <definedName name="фварварффврвр" localSheetId="49">'[5]Гр5(о)'!#REF!</definedName>
    <definedName name="фварварффврвр" localSheetId="50">'[5]Гр5(о)'!#REF!</definedName>
    <definedName name="фварварффврвр" localSheetId="22">'[5]Гр5(о)'!#REF!</definedName>
    <definedName name="фварварффврвр" localSheetId="52">'[5]Гр5(о)'!#REF!</definedName>
    <definedName name="фварварффврвр" localSheetId="53">'[5]Гр5(о)'!#REF!</definedName>
    <definedName name="фварварффврвр" localSheetId="5">'[5]Гр5(о)'!#REF!</definedName>
    <definedName name="фварварффврвр" localSheetId="6">'[5]Гр5(о)'!#REF!</definedName>
    <definedName name="фварварффврвр" localSheetId="7">'[5]Гр5(о)'!#REF!</definedName>
    <definedName name="фварварффврвр" localSheetId="23">'[5]Гр5(о)'!#REF!</definedName>
    <definedName name="фварварффврвр" localSheetId="24">'[5]Гр5(о)'!#REF!</definedName>
    <definedName name="фварварффврвр" localSheetId="33">'[5]Гр5(о)'!#REF!</definedName>
    <definedName name="фварварффврвр" localSheetId="47">'[5]Гр5(о)'!#REF!</definedName>
    <definedName name="фварварффврвр" localSheetId="48">'[5]Гр5(о)'!#REF!</definedName>
    <definedName name="фварварффврвр">'[5]Гр5(о)'!#REF!</definedName>
    <definedName name="фварфварфр" localSheetId="55">#REF!</definedName>
    <definedName name="фварфварфр" localSheetId="56">#REF!</definedName>
    <definedName name="фварфварфр" localSheetId="57">#REF!</definedName>
    <definedName name="фварфварфр" localSheetId="81">#REF!</definedName>
    <definedName name="фварфварфр" localSheetId="82">#REF!</definedName>
    <definedName name="фварфварфр" localSheetId="31">#REF!</definedName>
    <definedName name="фварфварфр" localSheetId="44">#REF!</definedName>
    <definedName name="фварфварфр" localSheetId="26">#REF!</definedName>
    <definedName name="фварфварфр" localSheetId="27">#REF!</definedName>
    <definedName name="фварфварфр" localSheetId="43">#REF!</definedName>
    <definedName name="фварфварфр" localSheetId="73">#REF!</definedName>
    <definedName name="фварфварфр" localSheetId="62">#REF!</definedName>
    <definedName name="фварфварфр" localSheetId="64">#REF!</definedName>
    <definedName name="фварфварфр" localSheetId="58">#REF!</definedName>
    <definedName name="фварфварфр" localSheetId="49">#REF!</definedName>
    <definedName name="фварфварфр" localSheetId="50">#REF!</definedName>
    <definedName name="фварфварфр" localSheetId="22">#REF!</definedName>
    <definedName name="фварфварфр" localSheetId="80">#REF!</definedName>
    <definedName name="фварфварфр" localSheetId="54">#REF!</definedName>
    <definedName name="фварфварфр" localSheetId="52">#REF!</definedName>
    <definedName name="фварфварфр" localSheetId="53">#REF!</definedName>
    <definedName name="фварфварфр" localSheetId="5">#REF!</definedName>
    <definedName name="фварфварфр" localSheetId="6">#REF!</definedName>
    <definedName name="фварфварфр" localSheetId="7">#REF!</definedName>
    <definedName name="фварфварфр" localSheetId="23">#REF!</definedName>
    <definedName name="фварфварфр" localSheetId="24">#REF!</definedName>
    <definedName name="фварфварфр" localSheetId="33">#REF!</definedName>
    <definedName name="фварфварфр" localSheetId="47">#REF!</definedName>
    <definedName name="фварфварфр" localSheetId="48">#REF!</definedName>
    <definedName name="фварфварфр">#REF!</definedName>
    <definedName name="фврафврварфвра" localSheetId="55">[6]ПРОГНОЗ_1!#REF!</definedName>
    <definedName name="фврафврварфвра" localSheetId="56">[6]ПРОГНОЗ_1!#REF!</definedName>
    <definedName name="фврафврварфвра" localSheetId="57">[6]ПРОГНОЗ_1!#REF!</definedName>
    <definedName name="фврафврварфвра" localSheetId="81">[6]ПРОГНОЗ_1!#REF!</definedName>
    <definedName name="фврафврварфвра" localSheetId="82">[6]ПРОГНОЗ_1!#REF!</definedName>
    <definedName name="фврафврварфвра" localSheetId="31">[6]ПРОГНОЗ_1!#REF!</definedName>
    <definedName name="фврафврварфвра" localSheetId="44">[6]ПРОГНОЗ_1!#REF!</definedName>
    <definedName name="фврафврварфвра" localSheetId="26">[6]ПРОГНОЗ_1!#REF!</definedName>
    <definedName name="фврафврварфвра" localSheetId="27">[6]ПРОГНОЗ_1!#REF!</definedName>
    <definedName name="фврафврварфвра" localSheetId="43">[6]ПРОГНОЗ_1!#REF!</definedName>
    <definedName name="фврафврварфвра" localSheetId="62">[6]ПРОГНОЗ_1!#REF!</definedName>
    <definedName name="фврафврварфвра" localSheetId="64">[6]ПРОГНОЗ_1!#REF!</definedName>
    <definedName name="фврафврварфвра" localSheetId="58">[6]ПРОГНОЗ_1!#REF!</definedName>
    <definedName name="фврафврварфвра" localSheetId="49">[6]ПРОГНОЗ_1!#REF!</definedName>
    <definedName name="фврафврварфвра" localSheetId="50">[6]ПРОГНОЗ_1!#REF!</definedName>
    <definedName name="фврафврварфвра" localSheetId="22">[6]ПРОГНОЗ_1!#REF!</definedName>
    <definedName name="фврафврварфвра" localSheetId="80">[6]ПРОГНОЗ_1!#REF!</definedName>
    <definedName name="фврафврварфвра" localSheetId="54">[6]ПРОГНОЗ_1!#REF!</definedName>
    <definedName name="фврафврварфвра" localSheetId="52">[6]ПРОГНОЗ_1!#REF!</definedName>
    <definedName name="фврафврварфвра" localSheetId="53">[6]ПРОГНОЗ_1!#REF!</definedName>
    <definedName name="фврафврварфвра" localSheetId="5">[6]ПРОГНОЗ_1!#REF!</definedName>
    <definedName name="фврафврварфвра" localSheetId="6">[6]ПРОГНОЗ_1!#REF!</definedName>
    <definedName name="фврафврварфвра" localSheetId="7">[6]ПРОГНОЗ_1!#REF!</definedName>
    <definedName name="фврафврварфвра" localSheetId="23">[6]ПРОГНОЗ_1!#REF!</definedName>
    <definedName name="фврафврварфвра" localSheetId="24">[6]ПРОГНОЗ_1!#REF!</definedName>
    <definedName name="фврафврварфвра" localSheetId="33">[6]ПРОГНОЗ_1!#REF!</definedName>
    <definedName name="фврафврварфвра" localSheetId="47">[6]ПРОГНОЗ_1!#REF!</definedName>
    <definedName name="фврафврварфвра" localSheetId="48">[6]ПРОГНОЗ_1!#REF!</definedName>
    <definedName name="фврафврварфвра">[6]ПРОГНОЗ_1!#REF!</definedName>
    <definedName name="ФЗП" localSheetId="55">#REF!</definedName>
    <definedName name="ФЗП" localSheetId="56">#REF!</definedName>
    <definedName name="ФЗП" localSheetId="57">#REF!</definedName>
    <definedName name="ФЗП" localSheetId="81">#REF!</definedName>
    <definedName name="ФЗП" localSheetId="82">#REF!</definedName>
    <definedName name="ФЗП" localSheetId="26">#REF!</definedName>
    <definedName name="ФЗП" localSheetId="27">#REF!</definedName>
    <definedName name="ФЗП" localSheetId="25">#REF!</definedName>
    <definedName name="ФЗП" localSheetId="62">#REF!</definedName>
    <definedName name="ФЗП" localSheetId="64">#REF!</definedName>
    <definedName name="ФЗП" localSheetId="86">#REF!</definedName>
    <definedName name="ФЗП" localSheetId="92">#REF!</definedName>
    <definedName name="ФЗП" localSheetId="98">#REF!</definedName>
    <definedName name="ФЗП" localSheetId="84">#REF!</definedName>
    <definedName name="ФЗП" localSheetId="90">#REF!</definedName>
    <definedName name="ФЗП" localSheetId="96">#REF!</definedName>
    <definedName name="ФЗП" localSheetId="58">#REF!</definedName>
    <definedName name="ФЗП" localSheetId="49">#REF!</definedName>
    <definedName name="ФЗП" localSheetId="50">#REF!</definedName>
    <definedName name="ФЗП" localSheetId="22">#REF!</definedName>
    <definedName name="ФЗП" localSheetId="80">#REF!</definedName>
    <definedName name="ФЗП" localSheetId="2">#REF!</definedName>
    <definedName name="ФЗП" localSheetId="87">#REF!</definedName>
    <definedName name="ФЗП" localSheetId="93">#REF!</definedName>
    <definedName name="ФЗП" localSheetId="52">#REF!</definedName>
    <definedName name="ФЗП" localSheetId="53">#REF!</definedName>
    <definedName name="ФЗП" localSheetId="5">#REF!</definedName>
    <definedName name="ФЗП" localSheetId="6">#REF!</definedName>
    <definedName name="ФЗП" localSheetId="7">#REF!</definedName>
    <definedName name="ФЗП" localSheetId="3">#REF!</definedName>
    <definedName name="ФЗП" localSheetId="88">#REF!</definedName>
    <definedName name="ФЗП" localSheetId="94">#REF!</definedName>
    <definedName name="ФЗП" localSheetId="1">#REF!</definedName>
    <definedName name="ФЗП" localSheetId="0">#REF!</definedName>
    <definedName name="ФЗП" localSheetId="23">#REF!</definedName>
    <definedName name="ФЗП" localSheetId="24">#REF!</definedName>
    <definedName name="ФЗП" localSheetId="33">#REF!</definedName>
    <definedName name="ФЗП" localSheetId="47">#REF!</definedName>
    <definedName name="ФЗП" localSheetId="48">#REF!</definedName>
    <definedName name="ФЗП" localSheetId="89">#REF!</definedName>
    <definedName name="ФЗП" localSheetId="95">#REF!</definedName>
    <definedName name="ФЗП" localSheetId="85">#REF!</definedName>
    <definedName name="ФЗП" localSheetId="91">#REF!</definedName>
    <definedName name="ФЗП" localSheetId="97">#REF!</definedName>
    <definedName name="ФЗП">#REF!</definedName>
    <definedName name="ФЗПсп" localSheetId="55">#REF!</definedName>
    <definedName name="ФЗПсп" localSheetId="56">#REF!</definedName>
    <definedName name="ФЗПсп" localSheetId="57">#REF!</definedName>
    <definedName name="ФЗПсп" localSheetId="81">#REF!</definedName>
    <definedName name="ФЗПсп" localSheetId="82">#REF!</definedName>
    <definedName name="ФЗПсп" localSheetId="26">#REF!</definedName>
    <definedName name="ФЗПсп" localSheetId="27">#REF!</definedName>
    <definedName name="ФЗПсп" localSheetId="25">#REF!</definedName>
    <definedName name="ФЗПсп" localSheetId="62">#REF!</definedName>
    <definedName name="ФЗПсп" localSheetId="64">#REF!</definedName>
    <definedName name="ФЗПсп" localSheetId="86">#REF!</definedName>
    <definedName name="ФЗПсп" localSheetId="92">#REF!</definedName>
    <definedName name="ФЗПсп" localSheetId="98">#REF!</definedName>
    <definedName name="ФЗПсп" localSheetId="84">#REF!</definedName>
    <definedName name="ФЗПсп" localSheetId="90">#REF!</definedName>
    <definedName name="ФЗПсп" localSheetId="96">#REF!</definedName>
    <definedName name="ФЗПсп" localSheetId="58">#REF!</definedName>
    <definedName name="ФЗПсп" localSheetId="49">#REF!</definedName>
    <definedName name="ФЗПсп" localSheetId="50">#REF!</definedName>
    <definedName name="ФЗПсп" localSheetId="22">#REF!</definedName>
    <definedName name="ФЗПсп" localSheetId="2">#REF!</definedName>
    <definedName name="ФЗПсп" localSheetId="87">#REF!</definedName>
    <definedName name="ФЗПсп" localSheetId="93">#REF!</definedName>
    <definedName name="ФЗПсп" localSheetId="52">#REF!</definedName>
    <definedName name="ФЗПсп" localSheetId="53">#REF!</definedName>
    <definedName name="ФЗПсп" localSheetId="5">#REF!</definedName>
    <definedName name="ФЗПсп" localSheetId="6">#REF!</definedName>
    <definedName name="ФЗПсп" localSheetId="7">#REF!</definedName>
    <definedName name="ФЗПсп" localSheetId="3">#REF!</definedName>
    <definedName name="ФЗПсп" localSheetId="88">#REF!</definedName>
    <definedName name="ФЗПсп" localSheetId="94">#REF!</definedName>
    <definedName name="ФЗПсп" localSheetId="1">#REF!</definedName>
    <definedName name="ФЗПсп" localSheetId="0">#REF!</definedName>
    <definedName name="ФЗПсп" localSheetId="23">#REF!</definedName>
    <definedName name="ФЗПсп" localSheetId="24">#REF!</definedName>
    <definedName name="ФЗПсп" localSheetId="33">#REF!</definedName>
    <definedName name="ФЗПсп" localSheetId="47">#REF!</definedName>
    <definedName name="ФЗПсп" localSheetId="48">#REF!</definedName>
    <definedName name="ФЗПсп" localSheetId="89">#REF!</definedName>
    <definedName name="ФЗПсп" localSheetId="95">#REF!</definedName>
    <definedName name="ФЗПсп" localSheetId="85">#REF!</definedName>
    <definedName name="ФЗПсп" localSheetId="91">#REF!</definedName>
    <definedName name="ФЗПсп" localSheetId="97">#REF!</definedName>
    <definedName name="ФЗПсп">#REF!</definedName>
    <definedName name="ФКВ" localSheetId="55">#REF!</definedName>
    <definedName name="ФКВ" localSheetId="56">#REF!</definedName>
    <definedName name="ФКВ" localSheetId="57">#REF!</definedName>
    <definedName name="ФКВ" localSheetId="81">#REF!</definedName>
    <definedName name="ФКВ" localSheetId="82">#REF!</definedName>
    <definedName name="ФКВ" localSheetId="26">#REF!</definedName>
    <definedName name="ФКВ" localSheetId="27">#REF!</definedName>
    <definedName name="ФКВ" localSheetId="25">#REF!</definedName>
    <definedName name="ФКВ" localSheetId="62">#REF!</definedName>
    <definedName name="ФКВ" localSheetId="64">#REF!</definedName>
    <definedName name="ФКВ" localSheetId="86">#REF!</definedName>
    <definedName name="ФКВ" localSheetId="92">#REF!</definedName>
    <definedName name="ФКВ" localSheetId="98">#REF!</definedName>
    <definedName name="ФКВ" localSheetId="84">#REF!</definedName>
    <definedName name="ФКВ" localSheetId="90">#REF!</definedName>
    <definedName name="ФКВ" localSheetId="96">#REF!</definedName>
    <definedName name="ФКВ" localSheetId="58">#REF!</definedName>
    <definedName name="ФКВ" localSheetId="49">#REF!</definedName>
    <definedName name="ФКВ" localSheetId="50">#REF!</definedName>
    <definedName name="ФКВ" localSheetId="22">#REF!</definedName>
    <definedName name="ФКВ" localSheetId="2">#REF!</definedName>
    <definedName name="ФКВ" localSheetId="87">#REF!</definedName>
    <definedName name="ФКВ" localSheetId="93">#REF!</definedName>
    <definedName name="ФКВ" localSheetId="52">#REF!</definedName>
    <definedName name="ФКВ" localSheetId="53">#REF!</definedName>
    <definedName name="ФКВ" localSheetId="5">#REF!</definedName>
    <definedName name="ФКВ" localSheetId="6">#REF!</definedName>
    <definedName name="ФКВ" localSheetId="7">#REF!</definedName>
    <definedName name="ФКВ" localSheetId="3">#REF!</definedName>
    <definedName name="ФКВ" localSheetId="88">#REF!</definedName>
    <definedName name="ФКВ" localSheetId="94">#REF!</definedName>
    <definedName name="ФКВ" localSheetId="1">#REF!</definedName>
    <definedName name="ФКВ" localSheetId="0">#REF!</definedName>
    <definedName name="ФКВ" localSheetId="23">#REF!</definedName>
    <definedName name="ФКВ" localSheetId="24">#REF!</definedName>
    <definedName name="ФКВ" localSheetId="33">#REF!</definedName>
    <definedName name="ФКВ" localSheetId="47">#REF!</definedName>
    <definedName name="ФКВ" localSheetId="48">#REF!</definedName>
    <definedName name="ФКВ" localSheetId="89">#REF!</definedName>
    <definedName name="ФКВ" localSheetId="95">#REF!</definedName>
    <definedName name="ФКВ" localSheetId="85">#REF!</definedName>
    <definedName name="ФКВ" localSheetId="91">#REF!</definedName>
    <definedName name="ФКВ" localSheetId="97">#REF!</definedName>
    <definedName name="ФКВ">#REF!</definedName>
    <definedName name="фф" localSheetId="55">'[14]Гр5(о)'!#REF!</definedName>
    <definedName name="фф" localSheetId="56">'[14]Гр5(о)'!#REF!</definedName>
    <definedName name="фф" localSheetId="57">'[14]Гр5(о)'!#REF!</definedName>
    <definedName name="фф" localSheetId="81">'[14]Гр5(о)'!#REF!</definedName>
    <definedName name="фф" localSheetId="82">'[14]Гр5(о)'!#REF!</definedName>
    <definedName name="фф" localSheetId="31">'[14]Гр5(о)'!#REF!</definedName>
    <definedName name="фф" localSheetId="44">'[14]Гр5(о)'!#REF!</definedName>
    <definedName name="фф" localSheetId="26">'[14]Гр5(о)'!#REF!</definedName>
    <definedName name="фф" localSheetId="27">'[14]Гр5(о)'!#REF!</definedName>
    <definedName name="фф" localSheetId="43">'[14]Гр5(о)'!#REF!</definedName>
    <definedName name="фф" localSheetId="73">'[14]Гр5(о)'!#REF!</definedName>
    <definedName name="фф" localSheetId="62">'[14]Гр5(о)'!#REF!</definedName>
    <definedName name="фф" localSheetId="64">'[14]Гр5(о)'!#REF!</definedName>
    <definedName name="фф" localSheetId="58">'[14]Гр5(о)'!#REF!</definedName>
    <definedName name="фф" localSheetId="49">'[14]Гр5(о)'!#REF!</definedName>
    <definedName name="фф" localSheetId="50">'[14]Гр5(о)'!#REF!</definedName>
    <definedName name="фф" localSheetId="22">'[14]Гр5(о)'!#REF!</definedName>
    <definedName name="фф" localSheetId="54">'[14]Гр5(о)'!#REF!</definedName>
    <definedName name="фф" localSheetId="52">'[14]Гр5(о)'!#REF!</definedName>
    <definedName name="фф" localSheetId="53">'[14]Гр5(о)'!#REF!</definedName>
    <definedName name="фф" localSheetId="5">'[14]Гр5(о)'!#REF!</definedName>
    <definedName name="фф" localSheetId="6">'[14]Гр5(о)'!#REF!</definedName>
    <definedName name="фф" localSheetId="7">'[14]Гр5(о)'!#REF!</definedName>
    <definedName name="фф" localSheetId="23">'[14]Гр5(о)'!#REF!</definedName>
    <definedName name="фф" localSheetId="24">'[14]Гр5(о)'!#REF!</definedName>
    <definedName name="фф" localSheetId="33">'[14]Гр5(о)'!#REF!</definedName>
    <definedName name="фф" localSheetId="47">'[14]Гр5(о)'!#REF!</definedName>
    <definedName name="фф" localSheetId="48">'[14]Гр5(о)'!#REF!</definedName>
    <definedName name="фф">'[14]Гр5(о)'!#REF!</definedName>
    <definedName name="фф_14" localSheetId="55">'[14]Гр5(о)'!#REF!</definedName>
    <definedName name="фф_14" localSheetId="56">'[14]Гр5(о)'!#REF!</definedName>
    <definedName name="фф_14" localSheetId="57">'[14]Гр5(о)'!#REF!</definedName>
    <definedName name="фф_14" localSheetId="81">'[14]Гр5(о)'!#REF!</definedName>
    <definedName name="фф_14" localSheetId="82">'[14]Гр5(о)'!#REF!</definedName>
    <definedName name="фф_14" localSheetId="26">'[14]Гр5(о)'!#REF!</definedName>
    <definedName name="фф_14" localSheetId="27">'[14]Гр5(о)'!#REF!</definedName>
    <definedName name="фф_14" localSheetId="62">'[14]Гр5(о)'!#REF!</definedName>
    <definedName name="фф_14" localSheetId="64">'[14]Гр5(о)'!#REF!</definedName>
    <definedName name="фф_14" localSheetId="58">'[14]Гр5(о)'!#REF!</definedName>
    <definedName name="фф_14" localSheetId="49">'[14]Гр5(о)'!#REF!</definedName>
    <definedName name="фф_14" localSheetId="50">'[14]Гр5(о)'!#REF!</definedName>
    <definedName name="фф_14" localSheetId="22">'[14]Гр5(о)'!#REF!</definedName>
    <definedName name="фф_14" localSheetId="54">'[14]Гр5(о)'!#REF!</definedName>
    <definedName name="фф_14" localSheetId="52">'[14]Гр5(о)'!#REF!</definedName>
    <definedName name="фф_14" localSheetId="53">'[14]Гр5(о)'!#REF!</definedName>
    <definedName name="фф_14" localSheetId="5">'[14]Гр5(о)'!#REF!</definedName>
    <definedName name="фф_14" localSheetId="6">'[14]Гр5(о)'!#REF!</definedName>
    <definedName name="фф_14" localSheetId="7">'[14]Гр5(о)'!#REF!</definedName>
    <definedName name="фф_14" localSheetId="23">'[14]Гр5(о)'!#REF!</definedName>
    <definedName name="фф_14" localSheetId="24">'[14]Гр5(о)'!#REF!</definedName>
    <definedName name="фф_14" localSheetId="33">'[14]Гр5(о)'!#REF!</definedName>
    <definedName name="фф_14" localSheetId="47">'[14]Гр5(о)'!#REF!</definedName>
    <definedName name="фф_14" localSheetId="48">'[14]Гр5(о)'!#REF!</definedName>
    <definedName name="фф_14">'[14]Гр5(о)'!#REF!</definedName>
    <definedName name="ффккуеуцкеукеуеуцке" localSheetId="55">#REF!</definedName>
    <definedName name="ффккуеуцкеукеуеуцке" localSheetId="56">#REF!</definedName>
    <definedName name="ффккуеуцкеукеуеуцке" localSheetId="57">#REF!</definedName>
    <definedName name="ффккуеуцкеукеуеуцке" localSheetId="81">#REF!</definedName>
    <definedName name="ффккуеуцкеукеуеуцке" localSheetId="82">#REF!</definedName>
    <definedName name="ффккуеуцкеукеуеуцке" localSheetId="31">#REF!</definedName>
    <definedName name="ффккуеуцкеукеуеуцке" localSheetId="44">#REF!</definedName>
    <definedName name="ффккуеуцкеукеуеуцке" localSheetId="26">#REF!</definedName>
    <definedName name="ффккуеуцкеукеуеуцке" localSheetId="27">#REF!</definedName>
    <definedName name="ффккуеуцкеукеуеуцке" localSheetId="43">#REF!</definedName>
    <definedName name="ффккуеуцкеукеуеуцке" localSheetId="73">#REF!</definedName>
    <definedName name="ффккуеуцкеукеуеуцке" localSheetId="62">#REF!</definedName>
    <definedName name="ффккуеуцкеукеуеуцке" localSheetId="64">#REF!</definedName>
    <definedName name="ффккуеуцкеукеуеуцке" localSheetId="58">#REF!</definedName>
    <definedName name="ффккуеуцкеукеуеуцке" localSheetId="49">#REF!</definedName>
    <definedName name="ффккуеуцкеукеуеуцке" localSheetId="50">#REF!</definedName>
    <definedName name="ффккуеуцкеукеуеуцке" localSheetId="22">#REF!</definedName>
    <definedName name="ффккуеуцкеукеуеуцке" localSheetId="80">#REF!</definedName>
    <definedName name="ффккуеуцкеукеуеуцке" localSheetId="54">#REF!</definedName>
    <definedName name="ффккуеуцкеукеуеуцке" localSheetId="52">#REF!</definedName>
    <definedName name="ффккуеуцкеукеуеуцке" localSheetId="53">#REF!</definedName>
    <definedName name="ффккуеуцкеукеуеуцке" localSheetId="5">#REF!</definedName>
    <definedName name="ффккуеуцкеукеуеуцке" localSheetId="6">#REF!</definedName>
    <definedName name="ффккуеуцкеукеуеуцке" localSheetId="7">#REF!</definedName>
    <definedName name="ффккуеуцкеукеуеуцке" localSheetId="23">#REF!</definedName>
    <definedName name="ффккуеуцкеукеуеуцке" localSheetId="24">#REF!</definedName>
    <definedName name="ффккуеуцкеукеуеуцке" localSheetId="33">#REF!</definedName>
    <definedName name="ффккуеуцкеукеуеуцке" localSheetId="47">#REF!</definedName>
    <definedName name="ффккуеуцкеукеуеуцке" localSheetId="48">#REF!</definedName>
    <definedName name="ффккуеуцкеукеуеуцке">#REF!</definedName>
    <definedName name="ффф" localSheetId="55">#REF!</definedName>
    <definedName name="ффф" localSheetId="56">#REF!</definedName>
    <definedName name="ффф" localSheetId="57">#REF!</definedName>
    <definedName name="ффф" localSheetId="81">#REF!</definedName>
    <definedName name="ффф" localSheetId="82">#REF!</definedName>
    <definedName name="ффф" localSheetId="31">#REF!</definedName>
    <definedName name="ффф" localSheetId="44">#REF!</definedName>
    <definedName name="ффф" localSheetId="26">#REF!</definedName>
    <definedName name="ффф" localSheetId="27">#REF!</definedName>
    <definedName name="ффф" localSheetId="43">#REF!</definedName>
    <definedName name="ффф" localSheetId="73">#REF!</definedName>
    <definedName name="ффф" localSheetId="62">#REF!</definedName>
    <definedName name="ффф" localSheetId="64">#REF!</definedName>
    <definedName name="ффф" localSheetId="58">#REF!</definedName>
    <definedName name="ффф" localSheetId="49">#REF!</definedName>
    <definedName name="ффф" localSheetId="50">#REF!</definedName>
    <definedName name="ффф" localSheetId="22">#REF!</definedName>
    <definedName name="ффф" localSheetId="54">#REF!</definedName>
    <definedName name="ффф" localSheetId="52">#REF!</definedName>
    <definedName name="ффф" localSheetId="53">#REF!</definedName>
    <definedName name="ффф" localSheetId="5">#REF!</definedName>
    <definedName name="ффф" localSheetId="6">#REF!</definedName>
    <definedName name="ффф" localSheetId="7">#REF!</definedName>
    <definedName name="ффф" localSheetId="23">#REF!</definedName>
    <definedName name="ффф" localSheetId="24">#REF!</definedName>
    <definedName name="ффф" localSheetId="33">#REF!</definedName>
    <definedName name="ффф" localSheetId="47">#REF!</definedName>
    <definedName name="ффф" localSheetId="48">#REF!</definedName>
    <definedName name="ффф">#REF!</definedName>
    <definedName name="ффф_14" localSheetId="55">#REF!</definedName>
    <definedName name="ффф_14" localSheetId="56">#REF!</definedName>
    <definedName name="ффф_14" localSheetId="57">#REF!</definedName>
    <definedName name="ффф_14" localSheetId="81">#REF!</definedName>
    <definedName name="ффф_14" localSheetId="82">#REF!</definedName>
    <definedName name="ффф_14" localSheetId="31">#REF!</definedName>
    <definedName name="ффф_14" localSheetId="44">#REF!</definedName>
    <definedName name="ффф_14" localSheetId="26">#REF!</definedName>
    <definedName name="ффф_14" localSheetId="27">#REF!</definedName>
    <definedName name="ффф_14" localSheetId="43">#REF!</definedName>
    <definedName name="ффф_14" localSheetId="73">#REF!</definedName>
    <definedName name="ффф_14" localSheetId="62">#REF!</definedName>
    <definedName name="ффф_14" localSheetId="64">#REF!</definedName>
    <definedName name="ффф_14" localSheetId="58">#REF!</definedName>
    <definedName name="ффф_14" localSheetId="49">#REF!</definedName>
    <definedName name="ффф_14" localSheetId="50">#REF!</definedName>
    <definedName name="ффф_14" localSheetId="22">#REF!</definedName>
    <definedName name="ффф_14" localSheetId="54">#REF!</definedName>
    <definedName name="ффф_14" localSheetId="52">#REF!</definedName>
    <definedName name="ффф_14" localSheetId="53">#REF!</definedName>
    <definedName name="ффф_14" localSheetId="5">#REF!</definedName>
    <definedName name="ффф_14" localSheetId="6">#REF!</definedName>
    <definedName name="ффф_14" localSheetId="7">#REF!</definedName>
    <definedName name="ффф_14" localSheetId="23">#REF!</definedName>
    <definedName name="ффф_14" localSheetId="24">#REF!</definedName>
    <definedName name="ффф_14" localSheetId="33">#REF!</definedName>
    <definedName name="ффф_14" localSheetId="47">#REF!</definedName>
    <definedName name="ффф_14" localSheetId="48">#REF!</definedName>
    <definedName name="ффф_14">#REF!</definedName>
    <definedName name="фяыв" localSheetId="55">#REF!</definedName>
    <definedName name="фяыв" localSheetId="56">#REF!</definedName>
    <definedName name="фяыв" localSheetId="57">#REF!</definedName>
    <definedName name="фяыв" localSheetId="81">#REF!</definedName>
    <definedName name="фяыв" localSheetId="82">#REF!</definedName>
    <definedName name="фяыв" localSheetId="31">#REF!</definedName>
    <definedName name="фяыв" localSheetId="44">#REF!</definedName>
    <definedName name="фяыв" localSheetId="26">#REF!</definedName>
    <definedName name="фяыв" localSheetId="27">#REF!</definedName>
    <definedName name="фяыв" localSheetId="43">#REF!</definedName>
    <definedName name="фяыв" localSheetId="73">#REF!</definedName>
    <definedName name="фяыв" localSheetId="62">#REF!</definedName>
    <definedName name="фяыв" localSheetId="64">#REF!</definedName>
    <definedName name="фяыв" localSheetId="58">#REF!</definedName>
    <definedName name="фяыв" localSheetId="49">#REF!</definedName>
    <definedName name="фяыв" localSheetId="50">#REF!</definedName>
    <definedName name="фяыв" localSheetId="22">#REF!</definedName>
    <definedName name="фяыв" localSheetId="54">#REF!</definedName>
    <definedName name="фяыв" localSheetId="52">#REF!</definedName>
    <definedName name="фяыв" localSheetId="53">#REF!</definedName>
    <definedName name="фяыв" localSheetId="5">#REF!</definedName>
    <definedName name="фяыв" localSheetId="6">#REF!</definedName>
    <definedName name="фяыв" localSheetId="7">#REF!</definedName>
    <definedName name="фяыв" localSheetId="23">#REF!</definedName>
    <definedName name="фяыв" localSheetId="24">#REF!</definedName>
    <definedName name="фяыв" localSheetId="33">#REF!</definedName>
    <definedName name="фяыв" localSheetId="47">#REF!</definedName>
    <definedName name="фяыв" localSheetId="48">#REF!</definedName>
    <definedName name="фяыв">#REF!</definedName>
    <definedName name="цуецуецу" localSheetId="55">#REF!</definedName>
    <definedName name="цуецуецу" localSheetId="56">#REF!</definedName>
    <definedName name="цуецуецу" localSheetId="57">#REF!</definedName>
    <definedName name="цуецуецу" localSheetId="81">#REF!</definedName>
    <definedName name="цуецуецу" localSheetId="82">#REF!</definedName>
    <definedName name="цуецуецу" localSheetId="31">#REF!</definedName>
    <definedName name="цуецуецу" localSheetId="44">#REF!</definedName>
    <definedName name="цуецуецу" localSheetId="26">#REF!</definedName>
    <definedName name="цуецуецу" localSheetId="27">#REF!</definedName>
    <definedName name="цуецуецу" localSheetId="43">#REF!</definedName>
    <definedName name="цуецуецу" localSheetId="73">#REF!</definedName>
    <definedName name="цуецуецу" localSheetId="62">#REF!</definedName>
    <definedName name="цуецуецу" localSheetId="64">#REF!</definedName>
    <definedName name="цуецуецу" localSheetId="58">#REF!</definedName>
    <definedName name="цуецуецу" localSheetId="49">#REF!</definedName>
    <definedName name="цуецуецу" localSheetId="50">#REF!</definedName>
    <definedName name="цуецуецу" localSheetId="22">#REF!</definedName>
    <definedName name="цуецуецу" localSheetId="54">#REF!</definedName>
    <definedName name="цуецуецу" localSheetId="52">#REF!</definedName>
    <definedName name="цуецуецу" localSheetId="53">#REF!</definedName>
    <definedName name="цуецуецу" localSheetId="5">#REF!</definedName>
    <definedName name="цуецуецу" localSheetId="6">#REF!</definedName>
    <definedName name="цуецуецу" localSheetId="7">#REF!</definedName>
    <definedName name="цуецуецу" localSheetId="23">#REF!</definedName>
    <definedName name="цуецуецу" localSheetId="24">#REF!</definedName>
    <definedName name="цуецуецу" localSheetId="33">#REF!</definedName>
    <definedName name="цуецуецу" localSheetId="47">#REF!</definedName>
    <definedName name="цуецуецу" localSheetId="48">#REF!</definedName>
    <definedName name="цуецуецу">#REF!</definedName>
    <definedName name="цук" localSheetId="55">'[11]2002(v2)'!#REF!</definedName>
    <definedName name="цук" localSheetId="56">'[11]2002(v2)'!#REF!</definedName>
    <definedName name="цук" localSheetId="57">'[11]2002(v2)'!#REF!</definedName>
    <definedName name="цук" localSheetId="81">'[11]2002(v2)'!#REF!</definedName>
    <definedName name="цук" localSheetId="82">'[11]2002(v2)'!#REF!</definedName>
    <definedName name="цук" localSheetId="31">'[10]2002(v2)'!#REF!</definedName>
    <definedName name="цук" localSheetId="44">'[10]2002(v2)'!#REF!</definedName>
    <definedName name="цук" localSheetId="26">'[11]2002(v2)'!#REF!</definedName>
    <definedName name="цук" localSheetId="27">'[11]2002(v2)'!#REF!</definedName>
    <definedName name="цук" localSheetId="43">'[10]2002(v2)'!#REF!</definedName>
    <definedName name="цук" localSheetId="62">'[11]2002(v2)'!#REF!</definedName>
    <definedName name="цук" localSheetId="64">'[11]2002(v2)'!#REF!</definedName>
    <definedName name="цук" localSheetId="58">'[11]2002(v2)'!#REF!</definedName>
    <definedName name="цук" localSheetId="49">'[11]2002(v2)'!#REF!</definedName>
    <definedName name="цук" localSheetId="50">'[11]2002(v2)'!#REF!</definedName>
    <definedName name="цук" localSheetId="22">'[11]2002(v2)'!#REF!</definedName>
    <definedName name="цук" localSheetId="54">'[10]2002(v2)'!#REF!</definedName>
    <definedName name="цук" localSheetId="52">'[11]2002(v2)'!#REF!</definedName>
    <definedName name="цук" localSheetId="53">'[11]2002(v2)'!#REF!</definedName>
    <definedName name="цук" localSheetId="5">'[11]2002(v2)'!#REF!</definedName>
    <definedName name="цук" localSheetId="6">'[11]2002(v2)'!#REF!</definedName>
    <definedName name="цук" localSheetId="7">'[11]2002(v2)'!#REF!</definedName>
    <definedName name="цук" localSheetId="23">'[11]2002(v2)'!#REF!</definedName>
    <definedName name="цук" localSheetId="24">'[11]2002(v2)'!#REF!</definedName>
    <definedName name="цук" localSheetId="33">'[11]2002(v2)'!#REF!</definedName>
    <definedName name="цук" localSheetId="47">'[11]2002(v2)'!#REF!</definedName>
    <definedName name="цук" localSheetId="48">'[11]2002(v2)'!#REF!</definedName>
    <definedName name="цук">'[11]2002(v2)'!#REF!</definedName>
    <definedName name="цукеукеук" localSheetId="55">[7]ПРОГНОЗ_1!#REF!</definedName>
    <definedName name="цукеукеук" localSheetId="56">[7]ПРОГНОЗ_1!#REF!</definedName>
    <definedName name="цукеукеук" localSheetId="57">[7]ПРОГНОЗ_1!#REF!</definedName>
    <definedName name="цукеукеук" localSheetId="81">[7]ПРОГНОЗ_1!#REF!</definedName>
    <definedName name="цукеукеук" localSheetId="82">[7]ПРОГНОЗ_1!#REF!</definedName>
    <definedName name="цукеукеук" localSheetId="26">[7]ПРОГНОЗ_1!#REF!</definedName>
    <definedName name="цукеукеук" localSheetId="27">[7]ПРОГНОЗ_1!#REF!</definedName>
    <definedName name="цукеукеук" localSheetId="62">[7]ПРОГНОЗ_1!#REF!</definedName>
    <definedName name="цукеукеук" localSheetId="64">[7]ПРОГНОЗ_1!#REF!</definedName>
    <definedName name="цукеукеук" localSheetId="58">[7]ПРОГНОЗ_1!#REF!</definedName>
    <definedName name="цукеукеук" localSheetId="49">[7]ПРОГНОЗ_1!#REF!</definedName>
    <definedName name="цукеукеук" localSheetId="50">[7]ПРОГНОЗ_1!#REF!</definedName>
    <definedName name="цукеукеук" localSheetId="22">[7]ПРОГНОЗ_1!#REF!</definedName>
    <definedName name="цукеукеук" localSheetId="52">[7]ПРОГНОЗ_1!#REF!</definedName>
    <definedName name="цукеукеук" localSheetId="53">[7]ПРОГНОЗ_1!#REF!</definedName>
    <definedName name="цукеукеук" localSheetId="5">[7]ПРОГНОЗ_1!#REF!</definedName>
    <definedName name="цукеукеук" localSheetId="6">[7]ПРОГНОЗ_1!#REF!</definedName>
    <definedName name="цукеукеук" localSheetId="7">[7]ПРОГНОЗ_1!#REF!</definedName>
    <definedName name="цукеукеук" localSheetId="23">[7]ПРОГНОЗ_1!#REF!</definedName>
    <definedName name="цукеукеук" localSheetId="24">[7]ПРОГНОЗ_1!#REF!</definedName>
    <definedName name="цукеукеук" localSheetId="33">[7]ПРОГНОЗ_1!#REF!</definedName>
    <definedName name="цукеукеук" localSheetId="47">[7]ПРОГНОЗ_1!#REF!</definedName>
    <definedName name="цукеукеук" localSheetId="48">[7]ПРОГНОЗ_1!#REF!</definedName>
    <definedName name="цукеукеук">[7]ПРОГНОЗ_1!#REF!</definedName>
    <definedName name="цукецку" localSheetId="55">[13]ПРОГНОЗ_1!#REF!</definedName>
    <definedName name="цукецку" localSheetId="56">[13]ПРОГНОЗ_1!#REF!</definedName>
    <definedName name="цукецку" localSheetId="57">[13]ПРОГНОЗ_1!#REF!</definedName>
    <definedName name="цукецку" localSheetId="81">[13]ПРОГНОЗ_1!#REF!</definedName>
    <definedName name="цукецку" localSheetId="82">[13]ПРОГНОЗ_1!#REF!</definedName>
    <definedName name="цукецку" localSheetId="26">[13]ПРОГНОЗ_1!#REF!</definedName>
    <definedName name="цукецку" localSheetId="27">[13]ПРОГНОЗ_1!#REF!</definedName>
    <definedName name="цукецку" localSheetId="62">[13]ПРОГНОЗ_1!#REF!</definedName>
    <definedName name="цукецку" localSheetId="64">[13]ПРОГНОЗ_1!#REF!</definedName>
    <definedName name="цукецку" localSheetId="58">[13]ПРОГНОЗ_1!#REF!</definedName>
    <definedName name="цукецку" localSheetId="49">[13]ПРОГНОЗ_1!#REF!</definedName>
    <definedName name="цукецку" localSheetId="50">[13]ПРОГНОЗ_1!#REF!</definedName>
    <definedName name="цукецку" localSheetId="22">[13]ПРОГНОЗ_1!#REF!</definedName>
    <definedName name="цукецку" localSheetId="52">[13]ПРОГНОЗ_1!#REF!</definedName>
    <definedName name="цукецку" localSheetId="53">[13]ПРОГНОЗ_1!#REF!</definedName>
    <definedName name="цукецку" localSheetId="5">[13]ПРОГНОЗ_1!#REF!</definedName>
    <definedName name="цукецку" localSheetId="6">[13]ПРОГНОЗ_1!#REF!</definedName>
    <definedName name="цукецку" localSheetId="7">[13]ПРОГНОЗ_1!#REF!</definedName>
    <definedName name="цукецку" localSheetId="23">[13]ПРОГНОЗ_1!#REF!</definedName>
    <definedName name="цукецку" localSheetId="24">[13]ПРОГНОЗ_1!#REF!</definedName>
    <definedName name="цукецку" localSheetId="33">[13]ПРОГНОЗ_1!#REF!</definedName>
    <definedName name="цукецку" localSheetId="47">[13]ПРОГНОЗ_1!#REF!</definedName>
    <definedName name="цукецку" localSheetId="48">[13]ПРОГНОЗ_1!#REF!</definedName>
    <definedName name="цукецку">[13]ПРОГНОЗ_1!#REF!</definedName>
    <definedName name="цукецуке" localSheetId="55">#REF!</definedName>
    <definedName name="цукецуке" localSheetId="56">#REF!</definedName>
    <definedName name="цукецуке" localSheetId="57">#REF!</definedName>
    <definedName name="цукецуке" localSheetId="81">#REF!</definedName>
    <definedName name="цукецуке" localSheetId="82">#REF!</definedName>
    <definedName name="цукецуке" localSheetId="31">#REF!</definedName>
    <definedName name="цукецуке" localSheetId="44">#REF!</definedName>
    <definedName name="цукецуке" localSheetId="26">#REF!</definedName>
    <definedName name="цукецуке" localSheetId="27">#REF!</definedName>
    <definedName name="цукецуке" localSheetId="43">#REF!</definedName>
    <definedName name="цукецуке" localSheetId="73">#REF!</definedName>
    <definedName name="цукецуке" localSheetId="62">#REF!</definedName>
    <definedName name="цукецуке" localSheetId="64">#REF!</definedName>
    <definedName name="цукецуке" localSheetId="58">#REF!</definedName>
    <definedName name="цукецуке" localSheetId="49">#REF!</definedName>
    <definedName name="цукецуке" localSheetId="50">#REF!</definedName>
    <definedName name="цукецуке" localSheetId="22">#REF!</definedName>
    <definedName name="цукецуке" localSheetId="80">#REF!</definedName>
    <definedName name="цукецуке" localSheetId="54">#REF!</definedName>
    <definedName name="цукецуке" localSheetId="52">#REF!</definedName>
    <definedName name="цукецуке" localSheetId="53">#REF!</definedName>
    <definedName name="цукецуке" localSheetId="5">#REF!</definedName>
    <definedName name="цукецуке" localSheetId="6">#REF!</definedName>
    <definedName name="цукецуке" localSheetId="7">#REF!</definedName>
    <definedName name="цукецуке" localSheetId="23">#REF!</definedName>
    <definedName name="цукецуке" localSheetId="24">#REF!</definedName>
    <definedName name="цукецуке" localSheetId="33">#REF!</definedName>
    <definedName name="цукецуке" localSheetId="47">#REF!</definedName>
    <definedName name="цукецуке" localSheetId="48">#REF!</definedName>
    <definedName name="цукецуке">#REF!</definedName>
    <definedName name="цукецукеуце" localSheetId="55">'[8]Гр5(о)'!#REF!</definedName>
    <definedName name="цукецукеуце" localSheetId="56">'[8]Гр5(о)'!#REF!</definedName>
    <definedName name="цукецукеуце" localSheetId="57">'[8]Гр5(о)'!#REF!</definedName>
    <definedName name="цукецукеуце" localSheetId="81">'[8]Гр5(о)'!#REF!</definedName>
    <definedName name="цукецукеуце" localSheetId="82">'[8]Гр5(о)'!#REF!</definedName>
    <definedName name="цукецукеуце" localSheetId="31">'[8]Гр5(о)'!#REF!</definedName>
    <definedName name="цукецукеуце" localSheetId="44">'[8]Гр5(о)'!#REF!</definedName>
    <definedName name="цукецукеуце" localSheetId="26">'[8]Гр5(о)'!#REF!</definedName>
    <definedName name="цукецукеуце" localSheetId="27">'[8]Гр5(о)'!#REF!</definedName>
    <definedName name="цукецукеуце" localSheetId="43">'[8]Гр5(о)'!#REF!</definedName>
    <definedName name="цукецукеуце" localSheetId="62">'[8]Гр5(о)'!#REF!</definedName>
    <definedName name="цукецукеуце" localSheetId="64">'[8]Гр5(о)'!#REF!</definedName>
    <definedName name="цукецукеуце" localSheetId="58">'[8]Гр5(о)'!#REF!</definedName>
    <definedName name="цукецукеуце" localSheetId="49">'[8]Гр5(о)'!#REF!</definedName>
    <definedName name="цукецукеуце" localSheetId="50">'[8]Гр5(о)'!#REF!</definedName>
    <definedName name="цукецукеуце" localSheetId="22">'[8]Гр5(о)'!#REF!</definedName>
    <definedName name="цукецукеуце" localSheetId="80">'[8]Гр5(о)'!#REF!</definedName>
    <definedName name="цукецукеуце" localSheetId="54">'[8]Гр5(о)'!#REF!</definedName>
    <definedName name="цукецукеуце" localSheetId="52">'[8]Гр5(о)'!#REF!</definedName>
    <definedName name="цукецукеуце" localSheetId="53">'[8]Гр5(о)'!#REF!</definedName>
    <definedName name="цукецукеуце" localSheetId="5">'[8]Гр5(о)'!#REF!</definedName>
    <definedName name="цукецукеуце" localSheetId="6">'[8]Гр5(о)'!#REF!</definedName>
    <definedName name="цукецукеуце" localSheetId="7">'[8]Гр5(о)'!#REF!</definedName>
    <definedName name="цукецукеуце" localSheetId="23">'[8]Гр5(о)'!#REF!</definedName>
    <definedName name="цукецукеуце" localSheetId="24">'[8]Гр5(о)'!#REF!</definedName>
    <definedName name="цукецукеуце" localSheetId="33">'[8]Гр5(о)'!#REF!</definedName>
    <definedName name="цукецукеуце" localSheetId="47">'[8]Гр5(о)'!#REF!</definedName>
    <definedName name="цукецукеуце" localSheetId="48">'[8]Гр5(о)'!#REF!</definedName>
    <definedName name="цукецукеуце">'[8]Гр5(о)'!#REF!</definedName>
    <definedName name="цуцуе" localSheetId="55">'[3]Гр5(о)'!#REF!</definedName>
    <definedName name="цуцуе" localSheetId="56">'[3]Гр5(о)'!#REF!</definedName>
    <definedName name="цуцуе" localSheetId="57">'[3]Гр5(о)'!#REF!</definedName>
    <definedName name="цуцуе" localSheetId="81">'[3]Гр5(о)'!#REF!</definedName>
    <definedName name="цуцуе" localSheetId="82">'[3]Гр5(о)'!#REF!</definedName>
    <definedName name="цуцуе" localSheetId="26">'[3]Гр5(о)'!#REF!</definedName>
    <definedName name="цуцуе" localSheetId="27">'[3]Гр5(о)'!#REF!</definedName>
    <definedName name="цуцуе" localSheetId="62">'[3]Гр5(о)'!#REF!</definedName>
    <definedName name="цуцуе" localSheetId="64">'[3]Гр5(о)'!#REF!</definedName>
    <definedName name="цуцуе" localSheetId="58">'[3]Гр5(о)'!#REF!</definedName>
    <definedName name="цуцуе" localSheetId="49">'[3]Гр5(о)'!#REF!</definedName>
    <definedName name="цуцуе" localSheetId="50">'[3]Гр5(о)'!#REF!</definedName>
    <definedName name="цуцуе" localSheetId="22">'[3]Гр5(о)'!#REF!</definedName>
    <definedName name="цуцуе" localSheetId="52">'[3]Гр5(о)'!#REF!</definedName>
    <definedName name="цуцуе" localSheetId="53">'[3]Гр5(о)'!#REF!</definedName>
    <definedName name="цуцуе" localSheetId="5">'[3]Гр5(о)'!#REF!</definedName>
    <definedName name="цуцуе" localSheetId="6">'[3]Гр5(о)'!#REF!</definedName>
    <definedName name="цуцуе" localSheetId="7">'[3]Гр5(о)'!#REF!</definedName>
    <definedName name="цуцуе" localSheetId="23">'[3]Гр5(о)'!#REF!</definedName>
    <definedName name="цуцуе" localSheetId="24">'[3]Гр5(о)'!#REF!</definedName>
    <definedName name="цуцуе" localSheetId="33">'[3]Гр5(о)'!#REF!</definedName>
    <definedName name="цуцуе" localSheetId="47">'[3]Гр5(о)'!#REF!</definedName>
    <definedName name="цуцуе" localSheetId="48">'[3]Гр5(о)'!#REF!</definedName>
    <definedName name="цуцуе">'[3]Гр5(о)'!#REF!</definedName>
    <definedName name="чварьлврл" localSheetId="55">[2]ПРОГНОЗ_1!#REF!</definedName>
    <definedName name="чварьлврл" localSheetId="56">[2]ПРОГНОЗ_1!#REF!</definedName>
    <definedName name="чварьлврл" localSheetId="57">[2]ПРОГНОЗ_1!#REF!</definedName>
    <definedName name="чварьлврл" localSheetId="81">[2]ПРОГНОЗ_1!#REF!</definedName>
    <definedName name="чварьлврл" localSheetId="82">[2]ПРОГНОЗ_1!#REF!</definedName>
    <definedName name="чварьлврл" localSheetId="26">[2]ПРОГНОЗ_1!#REF!</definedName>
    <definedName name="чварьлврл" localSheetId="27">[2]ПРОГНОЗ_1!#REF!</definedName>
    <definedName name="чварьлврл" localSheetId="62">[2]ПРОГНОЗ_1!#REF!</definedName>
    <definedName name="чварьлврл" localSheetId="64">[2]ПРОГНОЗ_1!#REF!</definedName>
    <definedName name="чварьлврл" localSheetId="58">[2]ПРОГНОЗ_1!#REF!</definedName>
    <definedName name="чварьлврл" localSheetId="49">[2]ПРОГНОЗ_1!#REF!</definedName>
    <definedName name="чварьлврл" localSheetId="50">[2]ПРОГНОЗ_1!#REF!</definedName>
    <definedName name="чварьлврл" localSheetId="22">[2]ПРОГНОЗ_1!#REF!</definedName>
    <definedName name="чварьлврл" localSheetId="52">[2]ПРОГНОЗ_1!#REF!</definedName>
    <definedName name="чварьлврл" localSheetId="53">[2]ПРОГНОЗ_1!#REF!</definedName>
    <definedName name="чварьлврл" localSheetId="5">[2]ПРОГНОЗ_1!#REF!</definedName>
    <definedName name="чварьлврл" localSheetId="6">[2]ПРОГНОЗ_1!#REF!</definedName>
    <definedName name="чварьлврл" localSheetId="7">[2]ПРОГНОЗ_1!#REF!</definedName>
    <definedName name="чварьлврл" localSheetId="23">[2]ПРОГНОЗ_1!#REF!</definedName>
    <definedName name="чварьлврл" localSheetId="24">[2]ПРОГНОЗ_1!#REF!</definedName>
    <definedName name="чварьлврл" localSheetId="33">[2]ПРОГНОЗ_1!#REF!</definedName>
    <definedName name="чварьлврл" localSheetId="47">[2]ПРОГНОЗ_1!#REF!</definedName>
    <definedName name="чварьлврл" localSheetId="48">[2]ПРОГНОЗ_1!#REF!</definedName>
    <definedName name="чварьлврл">[2]ПРОГНОЗ_1!#REF!</definedName>
    <definedName name="Штат" localSheetId="55">#REF!</definedName>
    <definedName name="Штат" localSheetId="56">#REF!</definedName>
    <definedName name="Штат" localSheetId="57">#REF!</definedName>
    <definedName name="Штат" localSheetId="81">#REF!</definedName>
    <definedName name="Штат" localSheetId="82">#REF!</definedName>
    <definedName name="Штат" localSheetId="26">#REF!</definedName>
    <definedName name="Штат" localSheetId="27">#REF!</definedName>
    <definedName name="Штат" localSheetId="25">#REF!</definedName>
    <definedName name="Штат" localSheetId="62">#REF!</definedName>
    <definedName name="Штат" localSheetId="64">#REF!</definedName>
    <definedName name="Штат" localSheetId="86">#REF!</definedName>
    <definedName name="Штат" localSheetId="92">#REF!</definedName>
    <definedName name="Штат" localSheetId="98">#REF!</definedName>
    <definedName name="Штат" localSheetId="84">#REF!</definedName>
    <definedName name="Штат" localSheetId="90">#REF!</definedName>
    <definedName name="Штат" localSheetId="96">#REF!</definedName>
    <definedName name="Штат" localSheetId="58">#REF!</definedName>
    <definedName name="Штат" localSheetId="49">#REF!</definedName>
    <definedName name="Штат" localSheetId="50">#REF!</definedName>
    <definedName name="Штат" localSheetId="22">#REF!</definedName>
    <definedName name="Штат" localSheetId="80">#REF!</definedName>
    <definedName name="Штат" localSheetId="2">#REF!</definedName>
    <definedName name="Штат" localSheetId="87">#REF!</definedName>
    <definedName name="Штат" localSheetId="93">#REF!</definedName>
    <definedName name="Штат" localSheetId="52">#REF!</definedName>
    <definedName name="Штат" localSheetId="53">#REF!</definedName>
    <definedName name="Штат" localSheetId="5">#REF!</definedName>
    <definedName name="Штат" localSheetId="6">#REF!</definedName>
    <definedName name="Штат" localSheetId="7">#REF!</definedName>
    <definedName name="Штат" localSheetId="3">#REF!</definedName>
    <definedName name="Штат" localSheetId="88">#REF!</definedName>
    <definedName name="Штат" localSheetId="94">#REF!</definedName>
    <definedName name="Штат" localSheetId="1">#REF!</definedName>
    <definedName name="Штат" localSheetId="0">#REF!</definedName>
    <definedName name="Штат" localSheetId="23">#REF!</definedName>
    <definedName name="Штат" localSheetId="24">#REF!</definedName>
    <definedName name="Штат" localSheetId="33">#REF!</definedName>
    <definedName name="Штат" localSheetId="47">#REF!</definedName>
    <definedName name="Штат" localSheetId="48">#REF!</definedName>
    <definedName name="Штат" localSheetId="89">#REF!</definedName>
    <definedName name="Штат" localSheetId="95">#REF!</definedName>
    <definedName name="Штат" localSheetId="85">#REF!</definedName>
    <definedName name="Штат" localSheetId="91">#REF!</definedName>
    <definedName name="Штат" localSheetId="97">#REF!</definedName>
    <definedName name="Штат">#REF!</definedName>
    <definedName name="ыаоапо" localSheetId="55">#REF!</definedName>
    <definedName name="ыаоапо" localSheetId="56">#REF!</definedName>
    <definedName name="ыаоапо" localSheetId="57">#REF!</definedName>
    <definedName name="ыаоапо" localSheetId="81">#REF!</definedName>
    <definedName name="ыаоапо" localSheetId="82">#REF!</definedName>
    <definedName name="ыаоапо" localSheetId="31">#REF!</definedName>
    <definedName name="ыаоапо" localSheetId="44">#REF!</definedName>
    <definedName name="ыаоапо" localSheetId="26">#REF!</definedName>
    <definedName name="ыаоапо" localSheetId="27">#REF!</definedName>
    <definedName name="ыаоапо" localSheetId="43">#REF!</definedName>
    <definedName name="ыаоапо" localSheetId="73">#REF!</definedName>
    <definedName name="ыаоапо" localSheetId="62">#REF!</definedName>
    <definedName name="ыаоапо" localSheetId="64">#REF!</definedName>
    <definedName name="ыаоапо" localSheetId="58">#REF!</definedName>
    <definedName name="ыаоапо" localSheetId="49">#REF!</definedName>
    <definedName name="ыаоапо" localSheetId="50">#REF!</definedName>
    <definedName name="ыаоапо" localSheetId="22">#REF!</definedName>
    <definedName name="ыаоапо" localSheetId="54">#REF!</definedName>
    <definedName name="ыаоапо" localSheetId="52">#REF!</definedName>
    <definedName name="ыаоапо" localSheetId="53">#REF!</definedName>
    <definedName name="ыаоапо" localSheetId="5">#REF!</definedName>
    <definedName name="ыаоапо" localSheetId="6">#REF!</definedName>
    <definedName name="ыаоапо" localSheetId="7">#REF!</definedName>
    <definedName name="ыаоапо" localSheetId="23">#REF!</definedName>
    <definedName name="ыаоапо" localSheetId="24">#REF!</definedName>
    <definedName name="ыаоапо" localSheetId="33">#REF!</definedName>
    <definedName name="ыаоапо" localSheetId="47">#REF!</definedName>
    <definedName name="ыаоапо" localSheetId="48">#REF!</definedName>
    <definedName name="ыаоапо">#REF!</definedName>
    <definedName name="ыапоапо" localSheetId="55">#REF!</definedName>
    <definedName name="ыапоапо" localSheetId="56">#REF!</definedName>
    <definedName name="ыапоапо" localSheetId="57">#REF!</definedName>
    <definedName name="ыапоапо" localSheetId="81">#REF!</definedName>
    <definedName name="ыапоапо" localSheetId="82">#REF!</definedName>
    <definedName name="ыапоапо" localSheetId="31">#REF!</definedName>
    <definedName name="ыапоапо" localSheetId="44">#REF!</definedName>
    <definedName name="ыапоапо" localSheetId="26">#REF!</definedName>
    <definedName name="ыапоапо" localSheetId="27">#REF!</definedName>
    <definedName name="ыапоапо" localSheetId="43">#REF!</definedName>
    <definedName name="ыапоапо" localSheetId="73">#REF!</definedName>
    <definedName name="ыапоапо" localSheetId="62">#REF!</definedName>
    <definedName name="ыапоапо" localSheetId="64">#REF!</definedName>
    <definedName name="ыапоапо" localSheetId="58">#REF!</definedName>
    <definedName name="ыапоапо" localSheetId="49">#REF!</definedName>
    <definedName name="ыапоапо" localSheetId="50">#REF!</definedName>
    <definedName name="ыапоапо" localSheetId="22">#REF!</definedName>
    <definedName name="ыапоапо" localSheetId="54">#REF!</definedName>
    <definedName name="ыапоапо" localSheetId="52">#REF!</definedName>
    <definedName name="ыапоапо" localSheetId="53">#REF!</definedName>
    <definedName name="ыапоапо" localSheetId="5">#REF!</definedName>
    <definedName name="ыапоапо" localSheetId="6">#REF!</definedName>
    <definedName name="ыапоапо" localSheetId="7">#REF!</definedName>
    <definedName name="ыапоапо" localSheetId="23">#REF!</definedName>
    <definedName name="ыапоапо" localSheetId="24">#REF!</definedName>
    <definedName name="ыапоапо" localSheetId="33">#REF!</definedName>
    <definedName name="ыапоапо" localSheetId="47">#REF!</definedName>
    <definedName name="ыапоапо" localSheetId="48">#REF!</definedName>
    <definedName name="ыапоапо">#REF!</definedName>
    <definedName name="ыапоыпао" localSheetId="55">#REF!</definedName>
    <definedName name="ыапоыпао" localSheetId="56">#REF!</definedName>
    <definedName name="ыапоыпао" localSheetId="57">#REF!</definedName>
    <definedName name="ыапоыпао" localSheetId="81">#REF!</definedName>
    <definedName name="ыапоыпао" localSheetId="82">#REF!</definedName>
    <definedName name="ыапоыпао" localSheetId="31">#REF!</definedName>
    <definedName name="ыапоыпао" localSheetId="44">#REF!</definedName>
    <definedName name="ыапоыпао" localSheetId="26">#REF!</definedName>
    <definedName name="ыапоыпао" localSheetId="27">#REF!</definedName>
    <definedName name="ыапоыпао" localSheetId="43">#REF!</definedName>
    <definedName name="ыапоыпао" localSheetId="73">#REF!</definedName>
    <definedName name="ыапоыпао" localSheetId="62">#REF!</definedName>
    <definedName name="ыапоыпао" localSheetId="64">#REF!</definedName>
    <definedName name="ыапоыпао" localSheetId="58">#REF!</definedName>
    <definedName name="ыапоыпао" localSheetId="49">#REF!</definedName>
    <definedName name="ыапоыпао" localSheetId="50">#REF!</definedName>
    <definedName name="ыапоыпао" localSheetId="22">#REF!</definedName>
    <definedName name="ыапоыпао" localSheetId="54">#REF!</definedName>
    <definedName name="ыапоыпао" localSheetId="52">#REF!</definedName>
    <definedName name="ыапоыпао" localSheetId="53">#REF!</definedName>
    <definedName name="ыапоыпао" localSheetId="5">#REF!</definedName>
    <definedName name="ыапоыпао" localSheetId="6">#REF!</definedName>
    <definedName name="ыапоыпао" localSheetId="7">#REF!</definedName>
    <definedName name="ыапоыпао" localSheetId="23">#REF!</definedName>
    <definedName name="ыапоыпао" localSheetId="24">#REF!</definedName>
    <definedName name="ыапоыпао" localSheetId="33">#REF!</definedName>
    <definedName name="ыапоыпао" localSheetId="47">#REF!</definedName>
    <definedName name="ыапоыпао" localSheetId="48">#REF!</definedName>
    <definedName name="ыапоыпао">#REF!</definedName>
    <definedName name="ыпаоапоы" localSheetId="55">#REF!</definedName>
    <definedName name="ыпаоапоы" localSheetId="56">#REF!</definedName>
    <definedName name="ыпаоапоы" localSheetId="57">#REF!</definedName>
    <definedName name="ыпаоапоы" localSheetId="81">#REF!</definedName>
    <definedName name="ыпаоапоы" localSheetId="82">#REF!</definedName>
    <definedName name="ыпаоапоы" localSheetId="31">#REF!</definedName>
    <definedName name="ыпаоапоы" localSheetId="44">#REF!</definedName>
    <definedName name="ыпаоапоы" localSheetId="26">#REF!</definedName>
    <definedName name="ыпаоапоы" localSheetId="27">#REF!</definedName>
    <definedName name="ыпаоапоы" localSheetId="43">#REF!</definedName>
    <definedName name="ыпаоапоы" localSheetId="73">#REF!</definedName>
    <definedName name="ыпаоапоы" localSheetId="62">#REF!</definedName>
    <definedName name="ыпаоапоы" localSheetId="64">#REF!</definedName>
    <definedName name="ыпаоапоы" localSheetId="58">#REF!</definedName>
    <definedName name="ыпаоапоы" localSheetId="49">#REF!</definedName>
    <definedName name="ыпаоапоы" localSheetId="50">#REF!</definedName>
    <definedName name="ыпаоапоы" localSheetId="22">#REF!</definedName>
    <definedName name="ыпаоапоы" localSheetId="54">#REF!</definedName>
    <definedName name="ыпаоапоы" localSheetId="52">#REF!</definedName>
    <definedName name="ыпаоапоы" localSheetId="53">#REF!</definedName>
    <definedName name="ыпаоапоы" localSheetId="5">#REF!</definedName>
    <definedName name="ыпаоапоы" localSheetId="6">#REF!</definedName>
    <definedName name="ыпаоапоы" localSheetId="7">#REF!</definedName>
    <definedName name="ыпаоапоы" localSheetId="23">#REF!</definedName>
    <definedName name="ыпаоапоы" localSheetId="24">#REF!</definedName>
    <definedName name="ыпаоапоы" localSheetId="33">#REF!</definedName>
    <definedName name="ыпаоапоы" localSheetId="47">#REF!</definedName>
    <definedName name="ыпаоапоы" localSheetId="48">#REF!</definedName>
    <definedName name="ыпаоапоы">#REF!</definedName>
    <definedName name="ыпаоыапо" localSheetId="55">[1]ПРОГНОЗ_1!#REF!</definedName>
    <definedName name="ыпаоыапо" localSheetId="56">[1]ПРОГНОЗ_1!#REF!</definedName>
    <definedName name="ыпаоыапо" localSheetId="57">[1]ПРОГНОЗ_1!#REF!</definedName>
    <definedName name="ыпаоыапо" localSheetId="81">[1]ПРОГНОЗ_1!#REF!</definedName>
    <definedName name="ыпаоыапо" localSheetId="82">[1]ПРОГНОЗ_1!#REF!</definedName>
    <definedName name="ыпаоыапо" localSheetId="26">[1]ПРОГНОЗ_1!#REF!</definedName>
    <definedName name="ыпаоыапо" localSheetId="27">[1]ПРОГНОЗ_1!#REF!</definedName>
    <definedName name="ыпаоыапо" localSheetId="62">[1]ПРОГНОЗ_1!#REF!</definedName>
    <definedName name="ыпаоыапо" localSheetId="64">[1]ПРОГНОЗ_1!#REF!</definedName>
    <definedName name="ыпаоыапо" localSheetId="58">[1]ПРОГНОЗ_1!#REF!</definedName>
    <definedName name="ыпаоыапо" localSheetId="49">[1]ПРОГНОЗ_1!#REF!</definedName>
    <definedName name="ыпаоыапо" localSheetId="50">[1]ПРОГНОЗ_1!#REF!</definedName>
    <definedName name="ыпаоыапо" localSheetId="22">[1]ПРОГНОЗ_1!#REF!</definedName>
    <definedName name="ыпаоыапо" localSheetId="52">[1]ПРОГНОЗ_1!#REF!</definedName>
    <definedName name="ыпаоыапо" localSheetId="53">[1]ПРОГНОЗ_1!#REF!</definedName>
    <definedName name="ыпаоыапо" localSheetId="5">[1]ПРОГНОЗ_1!#REF!</definedName>
    <definedName name="ыпаоыапо" localSheetId="6">[1]ПРОГНОЗ_1!#REF!</definedName>
    <definedName name="ыпаоыапо" localSheetId="7">[1]ПРОГНОЗ_1!#REF!</definedName>
    <definedName name="ыпаоыапо" localSheetId="23">[1]ПРОГНОЗ_1!#REF!</definedName>
    <definedName name="ыпаоыапо" localSheetId="24">[1]ПРОГНОЗ_1!#REF!</definedName>
    <definedName name="ыпаоыапо" localSheetId="33">[1]ПРОГНОЗ_1!#REF!</definedName>
    <definedName name="ыпаоыапо" localSheetId="47">[1]ПРОГНОЗ_1!#REF!</definedName>
    <definedName name="ыпаоыапо" localSheetId="48">[1]ПРОГНОЗ_1!#REF!</definedName>
    <definedName name="ыпаоыапо">[1]ПРОГНОЗ_1!#REF!</definedName>
  </definedNames>
  <calcPr calcId="191029" fullPrecision="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S7" i="316" l="1"/>
  <c r="DS15" i="316"/>
  <c r="C23" i="322" l="1"/>
  <c r="C21" i="322"/>
  <c r="G16" i="321"/>
  <c r="D33" i="324" l="1"/>
  <c r="E33" i="324"/>
  <c r="F40" i="318" l="1"/>
  <c r="G40" i="318"/>
  <c r="H40" i="318"/>
  <c r="I40" i="318"/>
  <c r="J40" i="318"/>
  <c r="K40" i="318"/>
  <c r="L40" i="318"/>
  <c r="M40" i="318"/>
  <c r="E40" i="318"/>
  <c r="F35" i="318"/>
  <c r="J35" i="318"/>
  <c r="L35" i="318"/>
  <c r="M35" i="318"/>
  <c r="E35" i="318"/>
  <c r="F40" i="317"/>
  <c r="G40" i="317"/>
  <c r="H40" i="317"/>
  <c r="I40" i="317"/>
  <c r="J40" i="317"/>
  <c r="K40" i="317"/>
  <c r="L40" i="317"/>
  <c r="M40" i="317"/>
  <c r="E40" i="317"/>
  <c r="F35" i="317"/>
  <c r="J35" i="317"/>
  <c r="L35" i="317"/>
  <c r="E35" i="317"/>
  <c r="F52" i="207"/>
  <c r="G52" i="207"/>
  <c r="H52" i="207"/>
  <c r="I52" i="207"/>
  <c r="J52" i="207"/>
  <c r="K52" i="207"/>
  <c r="L52" i="207"/>
  <c r="M52" i="207"/>
  <c r="N52" i="207"/>
  <c r="E52" i="207"/>
  <c r="F47" i="207"/>
  <c r="M47" i="207"/>
  <c r="E47" i="207"/>
  <c r="C11" i="323" l="1"/>
  <c r="C10" i="323" s="1"/>
  <c r="C14" i="323" s="1"/>
  <c r="N64" i="207" s="1"/>
  <c r="E14" i="323"/>
  <c r="D14" i="323"/>
  <c r="C27" i="322" l="1"/>
  <c r="C26" i="322"/>
  <c r="N88" i="207" s="1"/>
  <c r="C19" i="322"/>
  <c r="C13" i="322"/>
  <c r="D30" i="322" l="1"/>
  <c r="E10" i="322"/>
  <c r="E30" i="322" s="1"/>
  <c r="D10" i="322"/>
  <c r="K30" i="289" l="1"/>
  <c r="Q16" i="287"/>
  <c r="K17" i="288"/>
  <c r="C10" i="199" l="1"/>
  <c r="Q20" i="314"/>
  <c r="N20" i="314"/>
  <c r="K20" i="314"/>
  <c r="H20" i="314"/>
  <c r="Q19" i="314"/>
  <c r="Q17" i="314"/>
  <c r="Q16" i="314"/>
  <c r="Q15" i="314" s="1"/>
  <c r="Q13" i="314"/>
  <c r="Q11" i="314" s="1"/>
  <c r="Q23" i="314" s="1"/>
  <c r="C11" i="315" s="1"/>
  <c r="C10" i="315" s="1"/>
  <c r="N13" i="314"/>
  <c r="N24" i="314" s="1"/>
  <c r="N22" i="314" s="1"/>
  <c r="K13" i="314"/>
  <c r="H13" i="314"/>
  <c r="Q12" i="314"/>
  <c r="N12" i="314"/>
  <c r="K12" i="314"/>
  <c r="K11" i="314" s="1"/>
  <c r="K10" i="314" s="1"/>
  <c r="K9" i="314" s="1"/>
  <c r="H12" i="314"/>
  <c r="H11" i="314" s="1"/>
  <c r="H10" i="314" s="1"/>
  <c r="H9" i="314" s="1"/>
  <c r="K24" i="314"/>
  <c r="K22" i="314" s="1"/>
  <c r="I22" i="314"/>
  <c r="J22" i="314"/>
  <c r="L22" i="314"/>
  <c r="M22" i="314"/>
  <c r="O22" i="314"/>
  <c r="P22" i="314"/>
  <c r="Q24" i="314" l="1"/>
  <c r="C21" i="324" s="1"/>
  <c r="C10" i="324" s="1"/>
  <c r="C33" i="324" s="1"/>
  <c r="I86" i="207" s="1"/>
  <c r="Q18" i="314"/>
  <c r="N11" i="314"/>
  <c r="N10" i="314" s="1"/>
  <c r="N9" i="314" s="1"/>
  <c r="H24" i="314"/>
  <c r="Q10" i="314"/>
  <c r="Q9" i="314" s="1"/>
  <c r="H23" i="314"/>
  <c r="I24" i="278"/>
  <c r="I28" i="278"/>
  <c r="I20" i="278"/>
  <c r="I21" i="278"/>
  <c r="I22" i="278"/>
  <c r="I19" i="278"/>
  <c r="I14" i="278"/>
  <c r="I13" i="278"/>
  <c r="I12" i="278"/>
  <c r="Q22" i="314" l="1"/>
  <c r="H22" i="314"/>
  <c r="L25" i="320" l="1"/>
  <c r="L24" i="320" s="1"/>
  <c r="I25" i="320"/>
  <c r="I24" i="320" s="1"/>
  <c r="F25" i="320"/>
  <c r="F24" i="320" s="1"/>
  <c r="J24" i="320"/>
  <c r="G24" i="320"/>
  <c r="D24" i="320"/>
  <c r="L22" i="320"/>
  <c r="J22" i="320"/>
  <c r="I22" i="320"/>
  <c r="G22" i="320"/>
  <c r="F22" i="320"/>
  <c r="D22" i="320"/>
  <c r="L20" i="320"/>
  <c r="I20" i="320"/>
  <c r="F20" i="320"/>
  <c r="L18" i="320"/>
  <c r="J18" i="320"/>
  <c r="I18" i="320"/>
  <c r="G18" i="320"/>
  <c r="F18" i="320"/>
  <c r="D18" i="320"/>
  <c r="L15" i="320"/>
  <c r="I15" i="320"/>
  <c r="F15" i="320"/>
  <c r="L13" i="320"/>
  <c r="I13" i="320"/>
  <c r="F13" i="320"/>
  <c r="L11" i="320"/>
  <c r="I11" i="320"/>
  <c r="F11" i="320"/>
  <c r="I27" i="320" l="1"/>
  <c r="F27" i="320"/>
  <c r="L27" i="320"/>
  <c r="F12" i="285"/>
  <c r="F17" i="285" s="1"/>
  <c r="I65" i="288"/>
  <c r="K65" i="288" s="1"/>
  <c r="ES32" i="316" l="1"/>
  <c r="ES31" i="316"/>
  <c r="EF31" i="316"/>
  <c r="EF32" i="316" s="1"/>
  <c r="DS31" i="316"/>
  <c r="DS32" i="316" s="1"/>
  <c r="ES28" i="316"/>
  <c r="EF28" i="316"/>
  <c r="DS28" i="316"/>
  <c r="ES15" i="316"/>
  <c r="ES16" i="316" s="1"/>
  <c r="EF15" i="316"/>
  <c r="EF16" i="316" s="1"/>
  <c r="DS16" i="316"/>
  <c r="ES7" i="316"/>
  <c r="EF7" i="316"/>
  <c r="D84" i="319" l="1"/>
  <c r="M83" i="319"/>
  <c r="L83" i="319"/>
  <c r="K83" i="319"/>
  <c r="J83" i="319"/>
  <c r="I83" i="319"/>
  <c r="H83" i="319"/>
  <c r="G83" i="319"/>
  <c r="D83" i="319" s="1"/>
  <c r="F83" i="319"/>
  <c r="E83" i="319"/>
  <c r="D82" i="319"/>
  <c r="D81" i="319"/>
  <c r="D80" i="319"/>
  <c r="M79" i="319"/>
  <c r="L79" i="319"/>
  <c r="K79" i="319"/>
  <c r="J79" i="319"/>
  <c r="I79" i="319"/>
  <c r="H79" i="319"/>
  <c r="G79" i="319"/>
  <c r="F79" i="319"/>
  <c r="E79" i="319"/>
  <c r="D78" i="319"/>
  <c r="D77" i="319"/>
  <c r="L76" i="319"/>
  <c r="K76" i="319"/>
  <c r="D76" i="319"/>
  <c r="D75" i="319"/>
  <c r="L74" i="319"/>
  <c r="L70" i="319" s="1"/>
  <c r="K74" i="319"/>
  <c r="F74" i="319"/>
  <c r="F70" i="319" s="1"/>
  <c r="E74" i="319"/>
  <c r="E70" i="319" s="1"/>
  <c r="D73" i="319"/>
  <c r="D72" i="319"/>
  <c r="D71" i="319"/>
  <c r="M70" i="319"/>
  <c r="J70" i="319"/>
  <c r="I70" i="319"/>
  <c r="H70" i="319"/>
  <c r="G70" i="319"/>
  <c r="D69" i="319"/>
  <c r="M68" i="319"/>
  <c r="L68" i="319"/>
  <c r="K68" i="319"/>
  <c r="J68" i="319"/>
  <c r="I68" i="319"/>
  <c r="H68" i="319"/>
  <c r="G68" i="319"/>
  <c r="F68" i="319"/>
  <c r="E68" i="319"/>
  <c r="D67" i="319"/>
  <c r="D66" i="319"/>
  <c r="M65" i="319"/>
  <c r="L65" i="319"/>
  <c r="K65" i="319"/>
  <c r="J65" i="319"/>
  <c r="I65" i="319"/>
  <c r="H65" i="319"/>
  <c r="G65" i="319"/>
  <c r="F65" i="319"/>
  <c r="E65" i="319"/>
  <c r="D64" i="319"/>
  <c r="D63" i="319"/>
  <c r="D62" i="319"/>
  <c r="M61" i="319"/>
  <c r="L61" i="319"/>
  <c r="K61" i="319"/>
  <c r="J61" i="319"/>
  <c r="I61" i="319"/>
  <c r="H61" i="319"/>
  <c r="G61" i="319"/>
  <c r="F61" i="319"/>
  <c r="E61" i="319"/>
  <c r="D60" i="319"/>
  <c r="D59" i="319"/>
  <c r="M57" i="319"/>
  <c r="L57" i="319"/>
  <c r="K57" i="319"/>
  <c r="J57" i="319"/>
  <c r="I57" i="319"/>
  <c r="H57" i="319"/>
  <c r="G57" i="319"/>
  <c r="F57" i="319"/>
  <c r="E57" i="319"/>
  <c r="E55" i="319"/>
  <c r="D55" i="319" s="1"/>
  <c r="I52" i="319"/>
  <c r="I48" i="319" s="1"/>
  <c r="F52" i="319"/>
  <c r="F48" i="319" s="1"/>
  <c r="E52" i="319"/>
  <c r="G51" i="319"/>
  <c r="D51" i="319" s="1"/>
  <c r="E50" i="319"/>
  <c r="M48" i="319"/>
  <c r="L48" i="319"/>
  <c r="K48" i="319"/>
  <c r="J48" i="319"/>
  <c r="H48" i="319"/>
  <c r="D44" i="319"/>
  <c r="M42" i="319"/>
  <c r="L42" i="319"/>
  <c r="K42" i="319"/>
  <c r="J42" i="319"/>
  <c r="I42" i="319"/>
  <c r="H42" i="319"/>
  <c r="G42" i="319"/>
  <c r="F42" i="319"/>
  <c r="E42" i="319"/>
  <c r="K38" i="319"/>
  <c r="I37" i="319"/>
  <c r="I40" i="319" s="1"/>
  <c r="H37" i="319"/>
  <c r="H40" i="319" s="1"/>
  <c r="G37" i="319"/>
  <c r="G40" i="319" s="1"/>
  <c r="M40" i="319"/>
  <c r="L40" i="319"/>
  <c r="J40" i="319"/>
  <c r="F40" i="319"/>
  <c r="E40" i="319"/>
  <c r="D39" i="319"/>
  <c r="M35" i="319"/>
  <c r="L35" i="319"/>
  <c r="K35" i="319"/>
  <c r="J35" i="319"/>
  <c r="I35" i="319"/>
  <c r="H35" i="319"/>
  <c r="G35" i="319"/>
  <c r="F35" i="319"/>
  <c r="E35" i="319"/>
  <c r="D34" i="319"/>
  <c r="M32" i="319"/>
  <c r="L32" i="319"/>
  <c r="K32" i="319"/>
  <c r="J32" i="319"/>
  <c r="I32" i="319"/>
  <c r="H32" i="319"/>
  <c r="G32" i="319"/>
  <c r="F32" i="319"/>
  <c r="E32" i="319"/>
  <c r="D31" i="319"/>
  <c r="L30" i="319"/>
  <c r="L29" i="319"/>
  <c r="D29" i="319" s="1"/>
  <c r="F28" i="319"/>
  <c r="E28" i="319"/>
  <c r="E26" i="319" s="1"/>
  <c r="M26" i="319"/>
  <c r="K26" i="319"/>
  <c r="J26" i="319"/>
  <c r="I26" i="319"/>
  <c r="H26" i="319"/>
  <c r="G26" i="319"/>
  <c r="L25" i="319"/>
  <c r="L23" i="319" s="1"/>
  <c r="M23" i="319"/>
  <c r="K23" i="319"/>
  <c r="J23" i="319"/>
  <c r="I23" i="319"/>
  <c r="H23" i="319"/>
  <c r="G23" i="319"/>
  <c r="F23" i="319"/>
  <c r="E23" i="319"/>
  <c r="D84" i="318"/>
  <c r="M83" i="318"/>
  <c r="L83" i="318"/>
  <c r="K83" i="318"/>
  <c r="J83" i="318"/>
  <c r="I83" i="318"/>
  <c r="H83" i="318"/>
  <c r="G83" i="318"/>
  <c r="F83" i="318"/>
  <c r="E83" i="318"/>
  <c r="D82" i="318"/>
  <c r="D81" i="318"/>
  <c r="D80" i="318"/>
  <c r="M79" i="318"/>
  <c r="L79" i="318"/>
  <c r="K79" i="318"/>
  <c r="J79" i="318"/>
  <c r="I79" i="318"/>
  <c r="H79" i="318"/>
  <c r="G79" i="318"/>
  <c r="F79" i="318"/>
  <c r="E79" i="318"/>
  <c r="D78" i="318"/>
  <c r="D77" i="318"/>
  <c r="D75" i="318"/>
  <c r="D73" i="318"/>
  <c r="D72" i="318"/>
  <c r="D71" i="318"/>
  <c r="M70" i="318"/>
  <c r="J70" i="318"/>
  <c r="I70" i="318"/>
  <c r="H70" i="318"/>
  <c r="G70" i="318"/>
  <c r="D69" i="318"/>
  <c r="M68" i="318"/>
  <c r="L68" i="318"/>
  <c r="K68" i="318"/>
  <c r="J68" i="318"/>
  <c r="I68" i="318"/>
  <c r="H68" i="318"/>
  <c r="G68" i="318"/>
  <c r="F68" i="318"/>
  <c r="E68" i="318"/>
  <c r="D67" i="318"/>
  <c r="D66" i="318"/>
  <c r="M65" i="318"/>
  <c r="L65" i="318"/>
  <c r="K65" i="318"/>
  <c r="J65" i="318"/>
  <c r="I65" i="318"/>
  <c r="H65" i="318"/>
  <c r="G65" i="318"/>
  <c r="F65" i="318"/>
  <c r="E65" i="318"/>
  <c r="D64" i="318"/>
  <c r="D63" i="318"/>
  <c r="D62" i="318"/>
  <c r="M61" i="318"/>
  <c r="L61" i="318"/>
  <c r="K61" i="318"/>
  <c r="J61" i="318"/>
  <c r="I61" i="318"/>
  <c r="H61" i="318"/>
  <c r="G61" i="318"/>
  <c r="F61" i="318"/>
  <c r="E61" i="318"/>
  <c r="D60" i="318"/>
  <c r="D59" i="318"/>
  <c r="M57" i="318"/>
  <c r="L57" i="318"/>
  <c r="K57" i="318"/>
  <c r="J57" i="318"/>
  <c r="I57" i="318"/>
  <c r="H57" i="318"/>
  <c r="G57" i="318"/>
  <c r="F57" i="318"/>
  <c r="E57" i="318"/>
  <c r="M48" i="318"/>
  <c r="L48" i="318"/>
  <c r="K48" i="318"/>
  <c r="J48" i="318"/>
  <c r="H48" i="318"/>
  <c r="D44" i="318"/>
  <c r="M42" i="318"/>
  <c r="L42" i="318"/>
  <c r="K42" i="318"/>
  <c r="J42" i="318"/>
  <c r="I42" i="318"/>
  <c r="H42" i="318"/>
  <c r="G42" i="318"/>
  <c r="F42" i="318"/>
  <c r="E42" i="318"/>
  <c r="D39" i="318"/>
  <c r="D34" i="318"/>
  <c r="M32" i="318"/>
  <c r="L32" i="318"/>
  <c r="K32" i="318"/>
  <c r="J32" i="318"/>
  <c r="I32" i="318"/>
  <c r="H32" i="318"/>
  <c r="G32" i="318"/>
  <c r="F32" i="318"/>
  <c r="E32" i="318"/>
  <c r="D31" i="318"/>
  <c r="M26" i="318"/>
  <c r="K26" i="318"/>
  <c r="J26" i="318"/>
  <c r="I26" i="318"/>
  <c r="H26" i="318"/>
  <c r="G26" i="318"/>
  <c r="M23" i="318"/>
  <c r="K23" i="318"/>
  <c r="J23" i="318"/>
  <c r="I23" i="318"/>
  <c r="H23" i="318"/>
  <c r="G23" i="318"/>
  <c r="F23" i="318"/>
  <c r="E23" i="318"/>
  <c r="D85" i="317"/>
  <c r="D84" i="317"/>
  <c r="M83" i="317"/>
  <c r="L83" i="317"/>
  <c r="K83" i="317"/>
  <c r="J83" i="317"/>
  <c r="I83" i="317"/>
  <c r="H83" i="317"/>
  <c r="G83" i="317"/>
  <c r="F83" i="317"/>
  <c r="E83" i="317"/>
  <c r="D82" i="317"/>
  <c r="D81" i="317"/>
  <c r="D80" i="317"/>
  <c r="M79" i="317"/>
  <c r="L79" i="317"/>
  <c r="K79" i="317"/>
  <c r="J79" i="317"/>
  <c r="I79" i="317"/>
  <c r="H79" i="317"/>
  <c r="G79" i="317"/>
  <c r="F79" i="317"/>
  <c r="E79" i="317"/>
  <c r="D78" i="317"/>
  <c r="D77" i="317"/>
  <c r="E76" i="317"/>
  <c r="D73" i="317"/>
  <c r="D72" i="317"/>
  <c r="D71" i="317"/>
  <c r="M70" i="317"/>
  <c r="J70" i="317"/>
  <c r="I70" i="317"/>
  <c r="H70" i="317"/>
  <c r="G70" i="317"/>
  <c r="D69" i="317"/>
  <c r="M68" i="317"/>
  <c r="L68" i="317"/>
  <c r="K68" i="317"/>
  <c r="J68" i="317"/>
  <c r="I68" i="317"/>
  <c r="H68" i="317"/>
  <c r="G68" i="317"/>
  <c r="F68" i="317"/>
  <c r="E68" i="317"/>
  <c r="D67" i="317"/>
  <c r="D66" i="317"/>
  <c r="M65" i="317"/>
  <c r="L65" i="317"/>
  <c r="K65" i="317"/>
  <c r="J65" i="317"/>
  <c r="I65" i="317"/>
  <c r="H65" i="317"/>
  <c r="G65" i="317"/>
  <c r="F65" i="317"/>
  <c r="E65" i="317"/>
  <c r="D64" i="317"/>
  <c r="D63" i="317"/>
  <c r="D62" i="317"/>
  <c r="M61" i="317"/>
  <c r="L61" i="317"/>
  <c r="K61" i="317"/>
  <c r="J61" i="317"/>
  <c r="I61" i="317"/>
  <c r="H61" i="317"/>
  <c r="G61" i="317"/>
  <c r="F61" i="317"/>
  <c r="E61" i="317"/>
  <c r="D60" i="317"/>
  <c r="D59" i="317"/>
  <c r="M57" i="317"/>
  <c r="L57" i="317"/>
  <c r="K57" i="317"/>
  <c r="J57" i="317"/>
  <c r="I57" i="317"/>
  <c r="H57" i="317"/>
  <c r="G57" i="317"/>
  <c r="F57" i="317"/>
  <c r="E57" i="317"/>
  <c r="M48" i="317"/>
  <c r="L48" i="317"/>
  <c r="K48" i="317"/>
  <c r="J48" i="317"/>
  <c r="H48" i="317"/>
  <c r="D44" i="317"/>
  <c r="D42" i="317"/>
  <c r="D39" i="317"/>
  <c r="M35" i="317"/>
  <c r="D34" i="317"/>
  <c r="M32" i="317"/>
  <c r="L32" i="317"/>
  <c r="K32" i="317"/>
  <c r="J32" i="317"/>
  <c r="I32" i="317"/>
  <c r="H32" i="317"/>
  <c r="G32" i="317"/>
  <c r="F32" i="317"/>
  <c r="E32" i="317"/>
  <c r="D31" i="317"/>
  <c r="D30" i="317"/>
  <c r="M26" i="317"/>
  <c r="K26" i="317"/>
  <c r="J26" i="317"/>
  <c r="I26" i="317"/>
  <c r="H26" i="317"/>
  <c r="G26" i="317"/>
  <c r="M23" i="317"/>
  <c r="K23" i="317"/>
  <c r="J23" i="317"/>
  <c r="I23" i="317"/>
  <c r="H23" i="317"/>
  <c r="G23" i="317"/>
  <c r="F23" i="317"/>
  <c r="E23" i="317"/>
  <c r="D79" i="319" l="1"/>
  <c r="D35" i="319"/>
  <c r="J46" i="319"/>
  <c r="E53" i="319"/>
  <c r="D53" i="319" s="1"/>
  <c r="D25" i="319"/>
  <c r="G48" i="319"/>
  <c r="G46" i="319" s="1"/>
  <c r="L26" i="319"/>
  <c r="D32" i="319"/>
  <c r="D65" i="319"/>
  <c r="D68" i="319"/>
  <c r="J22" i="319"/>
  <c r="J11" i="319" s="1"/>
  <c r="F46" i="319"/>
  <c r="D42" i="319"/>
  <c r="I46" i="319"/>
  <c r="D61" i="319"/>
  <c r="H46" i="319"/>
  <c r="L46" i="319"/>
  <c r="J46" i="318"/>
  <c r="D32" i="318"/>
  <c r="D42" i="318"/>
  <c r="M22" i="318"/>
  <c r="H46" i="318"/>
  <c r="D57" i="318"/>
  <c r="D61" i="318"/>
  <c r="D65" i="318"/>
  <c r="D79" i="318"/>
  <c r="D83" i="318"/>
  <c r="D79" i="317"/>
  <c r="D61" i="317"/>
  <c r="D57" i="317"/>
  <c r="H46" i="317"/>
  <c r="D68" i="317"/>
  <c r="D32" i="317"/>
  <c r="D65" i="317"/>
  <c r="M22" i="317"/>
  <c r="J46" i="317"/>
  <c r="M46" i="317"/>
  <c r="D37" i="319"/>
  <c r="F26" i="319"/>
  <c r="D28" i="319"/>
  <c r="I22" i="319"/>
  <c r="E22" i="319"/>
  <c r="D52" i="319"/>
  <c r="D23" i="319"/>
  <c r="D12" i="319" s="1"/>
  <c r="M22" i="319"/>
  <c r="G22" i="319"/>
  <c r="D50" i="319"/>
  <c r="E48" i="319"/>
  <c r="D57" i="319"/>
  <c r="K70" i="319"/>
  <c r="K46" i="319" s="1"/>
  <c r="D74" i="319"/>
  <c r="H22" i="319"/>
  <c r="L22" i="319"/>
  <c r="D38" i="319"/>
  <c r="K40" i="319"/>
  <c r="K22" i="319" s="1"/>
  <c r="M46" i="319"/>
  <c r="M46" i="318"/>
  <c r="D68" i="318"/>
  <c r="J22" i="318"/>
  <c r="J22" i="317"/>
  <c r="D83" i="317"/>
  <c r="J11" i="318" l="1"/>
  <c r="M11" i="318"/>
  <c r="D26" i="319"/>
  <c r="F22" i="319"/>
  <c r="F11" i="319" s="1"/>
  <c r="J11" i="317"/>
  <c r="D40" i="319"/>
  <c r="K11" i="319"/>
  <c r="K12" i="319"/>
  <c r="H11" i="319"/>
  <c r="H12" i="319"/>
  <c r="G12" i="319"/>
  <c r="G11" i="319"/>
  <c r="E12" i="319"/>
  <c r="I12" i="319"/>
  <c r="I11" i="319"/>
  <c r="L11" i="319"/>
  <c r="L12" i="319"/>
  <c r="D48" i="319"/>
  <c r="E46" i="319"/>
  <c r="D46" i="319" s="1"/>
  <c r="M11" i="319"/>
  <c r="D70" i="319"/>
  <c r="R28" i="296"/>
  <c r="Q28" i="296"/>
  <c r="L28" i="296"/>
  <c r="K28" i="296"/>
  <c r="N29" i="296"/>
  <c r="D22" i="319" l="1"/>
  <c r="D11" i="319" s="1"/>
  <c r="F12" i="319"/>
  <c r="E11" i="319"/>
  <c r="D32" i="207" l="1"/>
  <c r="W13" i="314" l="1"/>
  <c r="W12" i="314"/>
  <c r="T13" i="314"/>
  <c r="T12" i="314"/>
  <c r="T11" i="314" s="1"/>
  <c r="T10" i="314" s="1"/>
  <c r="T9" i="314" s="1"/>
  <c r="V24" i="314"/>
  <c r="V22" i="314" s="1"/>
  <c r="U24" i="314"/>
  <c r="U22" i="314" s="1"/>
  <c r="S22" i="314"/>
  <c r="R22" i="314"/>
  <c r="Y20" i="314"/>
  <c r="Y13" i="314"/>
  <c r="N16" i="313"/>
  <c r="C15" i="313"/>
  <c r="D15" i="313"/>
  <c r="E15" i="313"/>
  <c r="F15" i="313"/>
  <c r="I15" i="313"/>
  <c r="J15" i="313"/>
  <c r="K15" i="313"/>
  <c r="L15" i="313"/>
  <c r="M15" i="313"/>
  <c r="Q15" i="313"/>
  <c r="R15" i="313"/>
  <c r="O16" i="313"/>
  <c r="C26" i="313"/>
  <c r="C25" i="313"/>
  <c r="C24" i="313"/>
  <c r="C23" i="313"/>
  <c r="C22" i="313"/>
  <c r="C21" i="313"/>
  <c r="T24" i="314" l="1"/>
  <c r="T22" i="314" s="1"/>
  <c r="W11" i="314"/>
  <c r="W10" i="314" s="1"/>
  <c r="W9" i="314" s="1"/>
  <c r="C14" i="315"/>
  <c r="B12" i="204" s="1"/>
  <c r="W24" i="314"/>
  <c r="X13" i="314"/>
  <c r="X12" i="314"/>
  <c r="X20" i="314"/>
  <c r="Y12" i="314"/>
  <c r="N15" i="313"/>
  <c r="AJ22" i="312"/>
  <c r="AK22" i="312" s="1"/>
  <c r="AJ21" i="312"/>
  <c r="AK21" i="312" s="1"/>
  <c r="AJ20" i="312"/>
  <c r="AK20" i="312" s="1"/>
  <c r="AJ19" i="312"/>
  <c r="AK19" i="312" s="1"/>
  <c r="AJ18" i="312"/>
  <c r="AJ17" i="312"/>
  <c r="AI17" i="312"/>
  <c r="AH17" i="312"/>
  <c r="AG17" i="312"/>
  <c r="AJ16" i="312"/>
  <c r="AK16" i="312" s="1"/>
  <c r="AK15" i="312" s="1"/>
  <c r="AJ15" i="312"/>
  <c r="AI15" i="312"/>
  <c r="AH15" i="312"/>
  <c r="AG15" i="312"/>
  <c r="AJ14" i="312"/>
  <c r="AK14" i="312" s="1"/>
  <c r="AK13" i="312" s="1"/>
  <c r="AJ13" i="312"/>
  <c r="AI13" i="312"/>
  <c r="AH13" i="312"/>
  <c r="AG13" i="312"/>
  <c r="AJ12" i="312"/>
  <c r="AK12" i="312" s="1"/>
  <c r="AJ11" i="312"/>
  <c r="AK11" i="312" s="1"/>
  <c r="AJ10" i="312"/>
  <c r="AK10" i="312" s="1"/>
  <c r="AJ9" i="312"/>
  <c r="AI9" i="312"/>
  <c r="AH9" i="312"/>
  <c r="AG9" i="312"/>
  <c r="AE22" i="312"/>
  <c r="AF22" i="312" s="1"/>
  <c r="AE21" i="312"/>
  <c r="AF21" i="312" s="1"/>
  <c r="AE20" i="312"/>
  <c r="AF20" i="312" s="1"/>
  <c r="AE19" i="312"/>
  <c r="AF19" i="312" s="1"/>
  <c r="AE18" i="312"/>
  <c r="AE17" i="312"/>
  <c r="AD17" i="312"/>
  <c r="AC17" i="312"/>
  <c r="AB17" i="312"/>
  <c r="AE16" i="312"/>
  <c r="AF16" i="312" s="1"/>
  <c r="AF15" i="312" s="1"/>
  <c r="AE15" i="312"/>
  <c r="AD15" i="312"/>
  <c r="AC15" i="312"/>
  <c r="AB15" i="312"/>
  <c r="AE14" i="312"/>
  <c r="AF14" i="312" s="1"/>
  <c r="AF13" i="312" s="1"/>
  <c r="AE13" i="312"/>
  <c r="AD13" i="312"/>
  <c r="AC13" i="312"/>
  <c r="AB13" i="312"/>
  <c r="AE12" i="312"/>
  <c r="AF12" i="312" s="1"/>
  <c r="AE11" i="312"/>
  <c r="AF11" i="312" s="1"/>
  <c r="AE10" i="312"/>
  <c r="AF10" i="312" s="1"/>
  <c r="AE9" i="312"/>
  <c r="AD9" i="312"/>
  <c r="AD27" i="312" s="1"/>
  <c r="AC9" i="312"/>
  <c r="AB9" i="312"/>
  <c r="Y22" i="312"/>
  <c r="Z22" i="312" s="1"/>
  <c r="T22" i="312"/>
  <c r="U22" i="312" s="1"/>
  <c r="O22" i="312"/>
  <c r="P22" i="312" s="1"/>
  <c r="Y21" i="312"/>
  <c r="Z21" i="312" s="1"/>
  <c r="T21" i="312"/>
  <c r="U21" i="312" s="1"/>
  <c r="O21" i="312"/>
  <c r="P21" i="312" s="1"/>
  <c r="Y20" i="312"/>
  <c r="Z20" i="312" s="1"/>
  <c r="T20" i="312"/>
  <c r="U20" i="312" s="1"/>
  <c r="O20" i="312"/>
  <c r="P20" i="312" s="1"/>
  <c r="Y19" i="312"/>
  <c r="Z19" i="312" s="1"/>
  <c r="T19" i="312"/>
  <c r="U19" i="312" s="1"/>
  <c r="O19" i="312"/>
  <c r="P19" i="312" s="1"/>
  <c r="Y18" i="312"/>
  <c r="T18" i="312"/>
  <c r="U18" i="312" s="1"/>
  <c r="O18" i="312"/>
  <c r="P18" i="312" s="1"/>
  <c r="Y17" i="312"/>
  <c r="X17" i="312"/>
  <c r="W17" i="312"/>
  <c r="V17" i="312"/>
  <c r="T17" i="312"/>
  <c r="S17" i="312"/>
  <c r="R17" i="312"/>
  <c r="Q17" i="312"/>
  <c r="O17" i="312"/>
  <c r="N17" i="312"/>
  <c r="M17" i="312"/>
  <c r="L17" i="312"/>
  <c r="Y16" i="312"/>
  <c r="Z16" i="312" s="1"/>
  <c r="T16" i="312"/>
  <c r="U16" i="312" s="1"/>
  <c r="U15" i="312" s="1"/>
  <c r="O16" i="312"/>
  <c r="P16" i="312" s="1"/>
  <c r="P15" i="312" s="1"/>
  <c r="Y15" i="312"/>
  <c r="X15" i="312"/>
  <c r="W15" i="312"/>
  <c r="V15" i="312"/>
  <c r="T15" i="312"/>
  <c r="S15" i="312"/>
  <c r="R15" i="312"/>
  <c r="Q15" i="312"/>
  <c r="O15" i="312"/>
  <c r="N15" i="312"/>
  <c r="M15" i="312"/>
  <c r="L15" i="312"/>
  <c r="Y14" i="312"/>
  <c r="Z14" i="312" s="1"/>
  <c r="Z13" i="312" s="1"/>
  <c r="T14" i="312"/>
  <c r="U14" i="312" s="1"/>
  <c r="U13" i="312" s="1"/>
  <c r="O14" i="312"/>
  <c r="P14" i="312" s="1"/>
  <c r="P13" i="312" s="1"/>
  <c r="Y13" i="312"/>
  <c r="X13" i="312"/>
  <c r="W13" i="312"/>
  <c r="V13" i="312"/>
  <c r="T13" i="312"/>
  <c r="S13" i="312"/>
  <c r="R13" i="312"/>
  <c r="Q13" i="312"/>
  <c r="O13" i="312"/>
  <c r="N13" i="312"/>
  <c r="M13" i="312"/>
  <c r="L13" i="312"/>
  <c r="Y12" i="312"/>
  <c r="Z12" i="312" s="1"/>
  <c r="T12" i="312"/>
  <c r="U12" i="312" s="1"/>
  <c r="O12" i="312"/>
  <c r="P12" i="312" s="1"/>
  <c r="Y11" i="312"/>
  <c r="Z11" i="312" s="1"/>
  <c r="T11" i="312"/>
  <c r="U11" i="312" s="1"/>
  <c r="O11" i="312"/>
  <c r="P11" i="312" s="1"/>
  <c r="Y10" i="312"/>
  <c r="Z10" i="312" s="1"/>
  <c r="T10" i="312"/>
  <c r="U10" i="312" s="1"/>
  <c r="O10" i="312"/>
  <c r="P10" i="312" s="1"/>
  <c r="Y9" i="312"/>
  <c r="X9" i="312"/>
  <c r="W9" i="312"/>
  <c r="V9" i="312"/>
  <c r="T9" i="312"/>
  <c r="S9" i="312"/>
  <c r="R9" i="312"/>
  <c r="Q9" i="312"/>
  <c r="O9" i="312"/>
  <c r="N9" i="312"/>
  <c r="M9" i="312"/>
  <c r="L9" i="312"/>
  <c r="D11" i="315" l="1"/>
  <c r="I52" i="317" s="1"/>
  <c r="I48" i="317" s="1"/>
  <c r="N27" i="312"/>
  <c r="S27" i="312"/>
  <c r="X27" i="312"/>
  <c r="Q27" i="312"/>
  <c r="I64" i="207"/>
  <c r="AK18" i="312"/>
  <c r="AK17" i="312" s="1"/>
  <c r="AF18" i="312"/>
  <c r="AF17" i="312" s="1"/>
  <c r="U9" i="312"/>
  <c r="R27" i="312"/>
  <c r="U17" i="312"/>
  <c r="O15" i="313"/>
  <c r="C14" i="192"/>
  <c r="W22" i="314"/>
  <c r="E11" i="315"/>
  <c r="E10" i="315" s="1"/>
  <c r="E14" i="315" s="1"/>
  <c r="I52" i="318" s="1"/>
  <c r="L27" i="312"/>
  <c r="AB27" i="312"/>
  <c r="AF9" i="312"/>
  <c r="AG27" i="312"/>
  <c r="AK9" i="312"/>
  <c r="X11" i="314"/>
  <c r="X10" i="314" s="1"/>
  <c r="X9" i="314" s="1"/>
  <c r="W27" i="312"/>
  <c r="V27" i="312"/>
  <c r="Z18" i="312"/>
  <c r="Z17" i="312" s="1"/>
  <c r="AH27" i="312"/>
  <c r="Y11" i="314"/>
  <c r="Z15" i="312"/>
  <c r="AI27" i="312"/>
  <c r="Z9" i="312"/>
  <c r="M27" i="312"/>
  <c r="AC27" i="312"/>
  <c r="P9" i="312"/>
  <c r="P17" i="312"/>
  <c r="D10" i="315" l="1"/>
  <c r="D14" i="315" s="1"/>
  <c r="C12" i="204" s="1"/>
  <c r="I48" i="318"/>
  <c r="I46" i="317"/>
  <c r="C15" i="184"/>
  <c r="I49" i="207" s="1"/>
  <c r="I47" i="207" s="1"/>
  <c r="H12" i="204"/>
  <c r="U27" i="312"/>
  <c r="AF27" i="312"/>
  <c r="AF36" i="312" s="1"/>
  <c r="Z27" i="312"/>
  <c r="D15" i="184"/>
  <c r="I37" i="317" s="1"/>
  <c r="I35" i="317" s="1"/>
  <c r="I12" i="204"/>
  <c r="D12" i="204"/>
  <c r="Y9" i="314"/>
  <c r="Y10" i="314"/>
  <c r="AK27" i="312"/>
  <c r="P27" i="312"/>
  <c r="I46" i="318" l="1"/>
  <c r="D27" i="151"/>
  <c r="E15" i="184"/>
  <c r="I37" i="318" s="1"/>
  <c r="I35" i="318" s="1"/>
  <c r="J12" i="204"/>
  <c r="Z36" i="312"/>
  <c r="C27" i="151"/>
  <c r="AK36" i="312"/>
  <c r="E27" i="151"/>
  <c r="L8" i="262"/>
  <c r="F12" i="262"/>
  <c r="E12" i="262"/>
  <c r="F11" i="262"/>
  <c r="E11" i="262"/>
  <c r="P10" i="262"/>
  <c r="R10" i="262" s="1"/>
  <c r="R8" i="262" s="1"/>
  <c r="O10" i="262"/>
  <c r="Q10" i="262" s="1"/>
  <c r="Q8" i="262" s="1"/>
  <c r="N10" i="262"/>
  <c r="M10" i="262"/>
  <c r="J10" i="262"/>
  <c r="I10" i="262"/>
  <c r="N9" i="262"/>
  <c r="M9" i="262"/>
  <c r="J9" i="262"/>
  <c r="I9" i="262"/>
  <c r="K8" i="262"/>
  <c r="H8" i="262"/>
  <c r="J8" i="262" s="1"/>
  <c r="G8" i="262"/>
  <c r="I8" i="262" s="1"/>
  <c r="D8" i="262"/>
  <c r="C8" i="262"/>
  <c r="I22" i="317" l="1"/>
  <c r="D40" i="317"/>
  <c r="N8" i="262"/>
  <c r="O8" i="262"/>
  <c r="E8" i="262"/>
  <c r="P8" i="262"/>
  <c r="F8" i="262"/>
  <c r="M8" i="262"/>
  <c r="I11" i="317" l="1"/>
  <c r="I12" i="317"/>
  <c r="I22" i="318"/>
  <c r="D40" i="318"/>
  <c r="Z59" i="311"/>
  <c r="Y56" i="311"/>
  <c r="X56" i="311"/>
  <c r="W56" i="311"/>
  <c r="V56" i="311"/>
  <c r="U56" i="311"/>
  <c r="R56" i="311"/>
  <c r="Q56" i="311"/>
  <c r="P56" i="311"/>
  <c r="O56" i="311"/>
  <c r="N56" i="311"/>
  <c r="M56" i="311"/>
  <c r="L56" i="311"/>
  <c r="K56" i="311"/>
  <c r="J56" i="311"/>
  <c r="I56" i="311"/>
  <c r="H56" i="311"/>
  <c r="G56" i="311"/>
  <c r="F56" i="311"/>
  <c r="Y55" i="311"/>
  <c r="X55" i="311"/>
  <c r="W55" i="311"/>
  <c r="V55" i="311"/>
  <c r="U55" i="311"/>
  <c r="R55" i="311"/>
  <c r="Q55" i="311"/>
  <c r="P55" i="311"/>
  <c r="O55" i="311"/>
  <c r="N55" i="311"/>
  <c r="M55" i="311"/>
  <c r="L55" i="311"/>
  <c r="K55" i="311"/>
  <c r="J55" i="311"/>
  <c r="I55" i="311"/>
  <c r="H55" i="311"/>
  <c r="G55" i="311"/>
  <c r="F55" i="311"/>
  <c r="Y54" i="311"/>
  <c r="X54" i="311"/>
  <c r="W54" i="311"/>
  <c r="V54" i="311"/>
  <c r="U54" i="311"/>
  <c r="R54" i="311"/>
  <c r="Q54" i="311"/>
  <c r="P54" i="311"/>
  <c r="O54" i="311"/>
  <c r="N54" i="311"/>
  <c r="M54" i="311"/>
  <c r="L54" i="311"/>
  <c r="K54" i="311"/>
  <c r="J54" i="311"/>
  <c r="I54" i="311"/>
  <c r="H54" i="311"/>
  <c r="G54" i="311"/>
  <c r="F54" i="311"/>
  <c r="Y53" i="311"/>
  <c r="X53" i="311"/>
  <c r="W53" i="311"/>
  <c r="V53" i="311"/>
  <c r="U53" i="311"/>
  <c r="R53" i="311"/>
  <c r="Q53" i="311"/>
  <c r="P53" i="311"/>
  <c r="O53" i="311"/>
  <c r="N53" i="311"/>
  <c r="M53" i="311"/>
  <c r="L53" i="311"/>
  <c r="K53" i="311"/>
  <c r="J53" i="311"/>
  <c r="I53" i="311"/>
  <c r="H53" i="311"/>
  <c r="G53" i="311"/>
  <c r="F53" i="311"/>
  <c r="W52" i="311"/>
  <c r="V52" i="311"/>
  <c r="Q52" i="311"/>
  <c r="P52" i="311"/>
  <c r="Y51" i="311"/>
  <c r="X51" i="311"/>
  <c r="W51" i="311"/>
  <c r="V51" i="311"/>
  <c r="U51" i="311"/>
  <c r="R51" i="311"/>
  <c r="Q51" i="311"/>
  <c r="P51" i="311"/>
  <c r="O51" i="311"/>
  <c r="N51" i="311"/>
  <c r="M51" i="311"/>
  <c r="L51" i="311"/>
  <c r="K51" i="311"/>
  <c r="J51" i="311"/>
  <c r="I51" i="311"/>
  <c r="H51" i="311"/>
  <c r="G51" i="311"/>
  <c r="F51" i="311"/>
  <c r="W50" i="311"/>
  <c r="V50" i="311"/>
  <c r="Q50" i="311"/>
  <c r="P50" i="311"/>
  <c r="W49" i="311"/>
  <c r="V49" i="311"/>
  <c r="Q49" i="311"/>
  <c r="P49" i="311"/>
  <c r="Y48" i="311"/>
  <c r="X48" i="311"/>
  <c r="W48" i="311"/>
  <c r="V48" i="311"/>
  <c r="U48" i="311"/>
  <c r="R48" i="311"/>
  <c r="Q48" i="311"/>
  <c r="P48" i="311"/>
  <c r="O48" i="311"/>
  <c r="N48" i="311"/>
  <c r="M48" i="311"/>
  <c r="L48" i="311"/>
  <c r="K48" i="311"/>
  <c r="J48" i="311"/>
  <c r="I48" i="311"/>
  <c r="H48" i="311"/>
  <c r="G48" i="311"/>
  <c r="F48" i="311"/>
  <c r="Y47" i="311"/>
  <c r="X47" i="311"/>
  <c r="W47" i="311"/>
  <c r="V47" i="311"/>
  <c r="Q47" i="311"/>
  <c r="P47" i="311"/>
  <c r="W46" i="311"/>
  <c r="V46" i="311"/>
  <c r="U46" i="311"/>
  <c r="Q46" i="311"/>
  <c r="P46" i="311"/>
  <c r="O46" i="311"/>
  <c r="N46" i="311"/>
  <c r="M46" i="311"/>
  <c r="L46" i="311"/>
  <c r="K46" i="311"/>
  <c r="J46" i="311"/>
  <c r="I46" i="311"/>
  <c r="H46" i="311"/>
  <c r="G46" i="311"/>
  <c r="F46" i="311"/>
  <c r="Y45" i="311"/>
  <c r="X45" i="311"/>
  <c r="W45" i="311"/>
  <c r="V45" i="311"/>
  <c r="U45" i="311"/>
  <c r="R45" i="311"/>
  <c r="Q45" i="311"/>
  <c r="P45" i="311"/>
  <c r="O45" i="311"/>
  <c r="N45" i="311"/>
  <c r="M45" i="311"/>
  <c r="L45" i="311"/>
  <c r="K45" i="311"/>
  <c r="J45" i="311"/>
  <c r="I45" i="311"/>
  <c r="H45" i="311"/>
  <c r="G45" i="311"/>
  <c r="F45" i="311"/>
  <c r="Y44" i="311"/>
  <c r="X44" i="311"/>
  <c r="W44" i="311"/>
  <c r="V44" i="311"/>
  <c r="U44" i="311"/>
  <c r="R44" i="311"/>
  <c r="Q44" i="311"/>
  <c r="P44" i="311"/>
  <c r="O44" i="311"/>
  <c r="N44" i="311"/>
  <c r="M44" i="311"/>
  <c r="L44" i="311"/>
  <c r="K44" i="311"/>
  <c r="J44" i="311"/>
  <c r="I44" i="311"/>
  <c r="H44" i="311"/>
  <c r="G44" i="311"/>
  <c r="F44" i="311"/>
  <c r="Y43" i="311"/>
  <c r="X43" i="311"/>
  <c r="W43" i="311"/>
  <c r="V43" i="311"/>
  <c r="U43" i="311"/>
  <c r="R43" i="311"/>
  <c r="Q43" i="311"/>
  <c r="P43" i="311"/>
  <c r="O43" i="311"/>
  <c r="N43" i="311"/>
  <c r="M43" i="311"/>
  <c r="L43" i="311"/>
  <c r="K43" i="311"/>
  <c r="J43" i="311"/>
  <c r="I43" i="311"/>
  <c r="H43" i="311"/>
  <c r="G43" i="311"/>
  <c r="F43" i="311"/>
  <c r="Y42" i="311"/>
  <c r="X42" i="311"/>
  <c r="W42" i="311"/>
  <c r="V42" i="311"/>
  <c r="U42" i="311"/>
  <c r="R42" i="311"/>
  <c r="Q42" i="311"/>
  <c r="P42" i="311"/>
  <c r="O42" i="311"/>
  <c r="N42" i="311"/>
  <c r="M42" i="311"/>
  <c r="L42" i="311"/>
  <c r="K42" i="311"/>
  <c r="J42" i="311"/>
  <c r="I42" i="311"/>
  <c r="H42" i="311"/>
  <c r="G42" i="311"/>
  <c r="F42" i="311"/>
  <c r="Y41" i="311"/>
  <c r="X41" i="311"/>
  <c r="W41" i="311"/>
  <c r="V41" i="311"/>
  <c r="U41" i="311"/>
  <c r="R41" i="311"/>
  <c r="Q41" i="311"/>
  <c r="P41" i="311"/>
  <c r="O41" i="311"/>
  <c r="N41" i="311"/>
  <c r="M41" i="311"/>
  <c r="L41" i="311"/>
  <c r="K41" i="311"/>
  <c r="J41" i="311"/>
  <c r="I41" i="311"/>
  <c r="H41" i="311"/>
  <c r="G41" i="311"/>
  <c r="F41" i="311"/>
  <c r="Y40" i="311"/>
  <c r="X40" i="311"/>
  <c r="W40" i="311"/>
  <c r="V40" i="311"/>
  <c r="U40" i="311"/>
  <c r="R40" i="311"/>
  <c r="Q40" i="311"/>
  <c r="P40" i="311"/>
  <c r="O40" i="311"/>
  <c r="N40" i="311"/>
  <c r="M40" i="311"/>
  <c r="L40" i="311"/>
  <c r="K40" i="311"/>
  <c r="J40" i="311"/>
  <c r="I40" i="311"/>
  <c r="H40" i="311"/>
  <c r="G40" i="311"/>
  <c r="F40" i="311"/>
  <c r="Y39" i="311"/>
  <c r="W39" i="311"/>
  <c r="V39" i="311"/>
  <c r="Q39" i="311"/>
  <c r="P39" i="311"/>
  <c r="Y38" i="311"/>
  <c r="Y57" i="311" s="1"/>
  <c r="Y58" i="311" s="1"/>
  <c r="X38" i="311"/>
  <c r="X57" i="311" s="1"/>
  <c r="X58" i="311" s="1"/>
  <c r="W38" i="311"/>
  <c r="W57" i="311" s="1"/>
  <c r="W58" i="311" s="1"/>
  <c r="V38" i="311"/>
  <c r="V57" i="311" s="1"/>
  <c r="V58" i="311" s="1"/>
  <c r="U38" i="311"/>
  <c r="U57" i="311" s="1"/>
  <c r="U58" i="311" s="1"/>
  <c r="R38" i="311"/>
  <c r="R57" i="311" s="1"/>
  <c r="R58" i="311" s="1"/>
  <c r="Q38" i="311"/>
  <c r="Q57" i="311" s="1"/>
  <c r="Q58" i="311" s="1"/>
  <c r="P38" i="311"/>
  <c r="P57" i="311" s="1"/>
  <c r="P58" i="311" s="1"/>
  <c r="O38" i="311"/>
  <c r="O57" i="311" s="1"/>
  <c r="O58" i="311" s="1"/>
  <c r="N38" i="311"/>
  <c r="N57" i="311" s="1"/>
  <c r="N58" i="311" s="1"/>
  <c r="M38" i="311"/>
  <c r="M57" i="311" s="1"/>
  <c r="M58" i="311" s="1"/>
  <c r="L38" i="311"/>
  <c r="L57" i="311" s="1"/>
  <c r="L58" i="311" s="1"/>
  <c r="K38" i="311"/>
  <c r="K57" i="311" s="1"/>
  <c r="K58" i="311" s="1"/>
  <c r="J38" i="311"/>
  <c r="J57" i="311" s="1"/>
  <c r="J58" i="311" s="1"/>
  <c r="I38" i="311"/>
  <c r="I57" i="311" s="1"/>
  <c r="I58" i="311" s="1"/>
  <c r="H38" i="311"/>
  <c r="H57" i="311" s="1"/>
  <c r="H58" i="311" s="1"/>
  <c r="G38" i="311"/>
  <c r="G57" i="311" s="1"/>
  <c r="G58" i="311" s="1"/>
  <c r="F38" i="311"/>
  <c r="F57" i="311" s="1"/>
  <c r="F58" i="311" s="1"/>
  <c r="F59" i="311" s="1"/>
  <c r="T36" i="311"/>
  <c r="M36" i="311"/>
  <c r="M52" i="311" s="1"/>
  <c r="L36" i="311"/>
  <c r="L52" i="311" s="1"/>
  <c r="I36" i="311"/>
  <c r="I52" i="311" s="1"/>
  <c r="H36" i="311"/>
  <c r="H52" i="311" s="1"/>
  <c r="G36" i="311"/>
  <c r="G52" i="311" s="1"/>
  <c r="Y35" i="311"/>
  <c r="Y50" i="311" s="1"/>
  <c r="X35" i="311"/>
  <c r="X50" i="311" s="1"/>
  <c r="U35" i="311"/>
  <c r="U50" i="311" s="1"/>
  <c r="T35" i="311"/>
  <c r="O35" i="311"/>
  <c r="O50" i="311" s="1"/>
  <c r="N35" i="311"/>
  <c r="N50" i="311" s="1"/>
  <c r="M35" i="311"/>
  <c r="M50" i="311" s="1"/>
  <c r="L35" i="311"/>
  <c r="L50" i="311" s="1"/>
  <c r="K35" i="311"/>
  <c r="K50" i="311" s="1"/>
  <c r="J35" i="311"/>
  <c r="J50" i="311" s="1"/>
  <c r="I35" i="311"/>
  <c r="I50" i="311" s="1"/>
  <c r="H35" i="311"/>
  <c r="H50" i="311" s="1"/>
  <c r="G35" i="311"/>
  <c r="G50" i="311" s="1"/>
  <c r="F35" i="311"/>
  <c r="F50" i="311" s="1"/>
  <c r="Y34" i="311"/>
  <c r="Y49" i="311" s="1"/>
  <c r="X34" i="311"/>
  <c r="X49" i="311" s="1"/>
  <c r="T34" i="311"/>
  <c r="M34" i="311"/>
  <c r="M49" i="311" s="1"/>
  <c r="L34" i="311"/>
  <c r="L49" i="311" s="1"/>
  <c r="I34" i="311"/>
  <c r="I49" i="311" s="1"/>
  <c r="H34" i="311"/>
  <c r="H49" i="311" s="1"/>
  <c r="G34" i="311"/>
  <c r="G49" i="311" s="1"/>
  <c r="Y33" i="311"/>
  <c r="Y46" i="311" s="1"/>
  <c r="X33" i="311"/>
  <c r="X46" i="311" s="1"/>
  <c r="U33" i="311"/>
  <c r="U47" i="311" s="1"/>
  <c r="T33" i="311"/>
  <c r="O33" i="311"/>
  <c r="O47" i="311" s="1"/>
  <c r="N33" i="311"/>
  <c r="N47" i="311" s="1"/>
  <c r="M33" i="311"/>
  <c r="M47" i="311" s="1"/>
  <c r="L33" i="311"/>
  <c r="L47" i="311" s="1"/>
  <c r="K33" i="311"/>
  <c r="K47" i="311" s="1"/>
  <c r="J33" i="311"/>
  <c r="J47" i="311" s="1"/>
  <c r="I33" i="311"/>
  <c r="I47" i="311" s="1"/>
  <c r="H33" i="311"/>
  <c r="H47" i="311" s="1"/>
  <c r="G33" i="311"/>
  <c r="G47" i="311" s="1"/>
  <c r="F33" i="311"/>
  <c r="F47" i="311" s="1"/>
  <c r="Y32" i="311"/>
  <c r="X32" i="311"/>
  <c r="X39" i="311" s="1"/>
  <c r="U32" i="311"/>
  <c r="U39" i="311" s="1"/>
  <c r="T32" i="311"/>
  <c r="R32" i="311"/>
  <c r="R39" i="311" s="1"/>
  <c r="O32" i="311"/>
  <c r="O39" i="311" s="1"/>
  <c r="N32" i="311"/>
  <c r="N39" i="311" s="1"/>
  <c r="M32" i="311"/>
  <c r="M39" i="311" s="1"/>
  <c r="L32" i="311"/>
  <c r="L39" i="311" s="1"/>
  <c r="K32" i="311"/>
  <c r="K39" i="311" s="1"/>
  <c r="J32" i="311"/>
  <c r="J39" i="311" s="1"/>
  <c r="I32" i="311"/>
  <c r="I39" i="311" s="1"/>
  <c r="H32" i="311"/>
  <c r="H39" i="311" s="1"/>
  <c r="G32" i="311"/>
  <c r="G39" i="311" s="1"/>
  <c r="I31" i="311"/>
  <c r="R27" i="311"/>
  <c r="W27" i="311" s="1"/>
  <c r="R26" i="311"/>
  <c r="W26" i="311" s="1"/>
  <c r="Y25" i="311"/>
  <c r="X25" i="311"/>
  <c r="N25" i="311"/>
  <c r="J25" i="311"/>
  <c r="R24" i="311"/>
  <c r="W24" i="311" s="1"/>
  <c r="W23" i="311"/>
  <c r="V23" i="311"/>
  <c r="S23" i="311"/>
  <c r="S32" i="311" s="1"/>
  <c r="F23" i="311"/>
  <c r="F32" i="311" s="1"/>
  <c r="R22" i="311"/>
  <c r="W22" i="311" s="1"/>
  <c r="R21" i="311"/>
  <c r="W21" i="311" s="1"/>
  <c r="R20" i="311"/>
  <c r="W20" i="311" s="1"/>
  <c r="U19" i="311"/>
  <c r="U18" i="311" s="1"/>
  <c r="U36" i="311" s="1"/>
  <c r="U52" i="311" s="1"/>
  <c r="S19" i="311"/>
  <c r="N19" i="311"/>
  <c r="N18" i="311" s="1"/>
  <c r="N36" i="311" s="1"/>
  <c r="N52" i="311" s="1"/>
  <c r="J19" i="311"/>
  <c r="W19" i="311" s="1"/>
  <c r="F19" i="311"/>
  <c r="F18" i="311" s="1"/>
  <c r="F36" i="311" s="1"/>
  <c r="F52" i="311" s="1"/>
  <c r="Y18" i="311"/>
  <c r="Y36" i="311" s="1"/>
  <c r="E29" i="151" s="1"/>
  <c r="X18" i="311"/>
  <c r="X13" i="311" s="1"/>
  <c r="O18" i="311"/>
  <c r="O36" i="311" s="1"/>
  <c r="O52" i="311" s="1"/>
  <c r="K18" i="311"/>
  <c r="K36" i="311" s="1"/>
  <c r="K52" i="311" s="1"/>
  <c r="W17" i="311"/>
  <c r="V17" i="311"/>
  <c r="U17" i="311"/>
  <c r="S17" i="311"/>
  <c r="U16" i="311"/>
  <c r="S16" i="311"/>
  <c r="O16" i="311"/>
  <c r="O14" i="311" s="1"/>
  <c r="N16" i="311"/>
  <c r="N14" i="311" s="1"/>
  <c r="K16" i="311"/>
  <c r="K14" i="311" s="1"/>
  <c r="J16" i="311"/>
  <c r="V16" i="311" s="1"/>
  <c r="F16" i="311"/>
  <c r="R15" i="311"/>
  <c r="N15" i="311"/>
  <c r="J15" i="311"/>
  <c r="F15" i="311"/>
  <c r="R14" i="311"/>
  <c r="R34" i="311" s="1"/>
  <c r="R49" i="311" s="1"/>
  <c r="Z59" i="310"/>
  <c r="Y56" i="310"/>
  <c r="X56" i="310"/>
  <c r="W56" i="310"/>
  <c r="V56" i="310"/>
  <c r="U56" i="310"/>
  <c r="R56" i="310"/>
  <c r="Q56" i="310"/>
  <c r="P56" i="310"/>
  <c r="O56" i="310"/>
  <c r="N56" i="310"/>
  <c r="M56" i="310"/>
  <c r="L56" i="310"/>
  <c r="K56" i="310"/>
  <c r="J56" i="310"/>
  <c r="I56" i="310"/>
  <c r="H56" i="310"/>
  <c r="G56" i="310"/>
  <c r="F56" i="310"/>
  <c r="Y55" i="310"/>
  <c r="X55" i="310"/>
  <c r="W55" i="310"/>
  <c r="V55" i="310"/>
  <c r="U55" i="310"/>
  <c r="R55" i="310"/>
  <c r="Q55" i="310"/>
  <c r="P55" i="310"/>
  <c r="O55" i="310"/>
  <c r="N55" i="310"/>
  <c r="M55" i="310"/>
  <c r="L55" i="310"/>
  <c r="K55" i="310"/>
  <c r="J55" i="310"/>
  <c r="I55" i="310"/>
  <c r="H55" i="310"/>
  <c r="G55" i="310"/>
  <c r="F55" i="310"/>
  <c r="Y54" i="310"/>
  <c r="X54" i="310"/>
  <c r="W54" i="310"/>
  <c r="V54" i="310"/>
  <c r="U54" i="310"/>
  <c r="R54" i="310"/>
  <c r="Q54" i="310"/>
  <c r="P54" i="310"/>
  <c r="O54" i="310"/>
  <c r="N54" i="310"/>
  <c r="M54" i="310"/>
  <c r="L54" i="310"/>
  <c r="K54" i="310"/>
  <c r="J54" i="310"/>
  <c r="I54" i="310"/>
  <c r="H54" i="310"/>
  <c r="G54" i="310"/>
  <c r="F54" i="310"/>
  <c r="Y53" i="310"/>
  <c r="X53" i="310"/>
  <c r="W53" i="310"/>
  <c r="V53" i="310"/>
  <c r="U53" i="310"/>
  <c r="R53" i="310"/>
  <c r="Q53" i="310"/>
  <c r="P53" i="310"/>
  <c r="O53" i="310"/>
  <c r="N53" i="310"/>
  <c r="M53" i="310"/>
  <c r="L53" i="310"/>
  <c r="K53" i="310"/>
  <c r="J53" i="310"/>
  <c r="I53" i="310"/>
  <c r="H53" i="310"/>
  <c r="G53" i="310"/>
  <c r="F53" i="310"/>
  <c r="W52" i="310"/>
  <c r="V52" i="310"/>
  <c r="Q52" i="310"/>
  <c r="P52" i="310"/>
  <c r="Y51" i="310"/>
  <c r="X51" i="310"/>
  <c r="W51" i="310"/>
  <c r="V51" i="310"/>
  <c r="U51" i="310"/>
  <c r="R51" i="310"/>
  <c r="Q51" i="310"/>
  <c r="P51" i="310"/>
  <c r="O51" i="310"/>
  <c r="N51" i="310"/>
  <c r="M51" i="310"/>
  <c r="L51" i="310"/>
  <c r="K51" i="310"/>
  <c r="J51" i="310"/>
  <c r="I51" i="310"/>
  <c r="H51" i="310"/>
  <c r="G51" i="310"/>
  <c r="F51" i="310"/>
  <c r="W50" i="310"/>
  <c r="V50" i="310"/>
  <c r="Q50" i="310"/>
  <c r="P50" i="310"/>
  <c r="W49" i="310"/>
  <c r="V49" i="310"/>
  <c r="Q49" i="310"/>
  <c r="P49" i="310"/>
  <c r="Y48" i="310"/>
  <c r="X48" i="310"/>
  <c r="W48" i="310"/>
  <c r="V48" i="310"/>
  <c r="U48" i="310"/>
  <c r="R48" i="310"/>
  <c r="Q48" i="310"/>
  <c r="P48" i="310"/>
  <c r="O48" i="310"/>
  <c r="N48" i="310"/>
  <c r="M48" i="310"/>
  <c r="L48" i="310"/>
  <c r="K48" i="310"/>
  <c r="J48" i="310"/>
  <c r="I48" i="310"/>
  <c r="H48" i="310"/>
  <c r="G48" i="310"/>
  <c r="F48" i="310"/>
  <c r="Y47" i="310"/>
  <c r="X47" i="310"/>
  <c r="W47" i="310"/>
  <c r="V47" i="310"/>
  <c r="Q47" i="310"/>
  <c r="P47" i="310"/>
  <c r="W46" i="310"/>
  <c r="V46" i="310"/>
  <c r="U46" i="310"/>
  <c r="Q46" i="310"/>
  <c r="P46" i="310"/>
  <c r="O46" i="310"/>
  <c r="N46" i="310"/>
  <c r="M46" i="310"/>
  <c r="L46" i="310"/>
  <c r="K46" i="310"/>
  <c r="J46" i="310"/>
  <c r="I46" i="310"/>
  <c r="H46" i="310"/>
  <c r="G46" i="310"/>
  <c r="F46" i="310"/>
  <c r="Y45" i="310"/>
  <c r="X45" i="310"/>
  <c r="W45" i="310"/>
  <c r="V45" i="310"/>
  <c r="U45" i="310"/>
  <c r="R45" i="310"/>
  <c r="Q45" i="310"/>
  <c r="P45" i="310"/>
  <c r="O45" i="310"/>
  <c r="N45" i="310"/>
  <c r="M45" i="310"/>
  <c r="L45" i="310"/>
  <c r="K45" i="310"/>
  <c r="J45" i="310"/>
  <c r="I45" i="310"/>
  <c r="H45" i="310"/>
  <c r="G45" i="310"/>
  <c r="F45" i="310"/>
  <c r="Y44" i="310"/>
  <c r="X44" i="310"/>
  <c r="W44" i="310"/>
  <c r="V44" i="310"/>
  <c r="U44" i="310"/>
  <c r="R44" i="310"/>
  <c r="Q44" i="310"/>
  <c r="P44" i="310"/>
  <c r="O44" i="310"/>
  <c r="N44" i="310"/>
  <c r="M44" i="310"/>
  <c r="L44" i="310"/>
  <c r="K44" i="310"/>
  <c r="J44" i="310"/>
  <c r="I44" i="310"/>
  <c r="H44" i="310"/>
  <c r="G44" i="310"/>
  <c r="F44" i="310"/>
  <c r="Y43" i="310"/>
  <c r="X43" i="310"/>
  <c r="W43" i="310"/>
  <c r="V43" i="310"/>
  <c r="U43" i="310"/>
  <c r="R43" i="310"/>
  <c r="Q43" i="310"/>
  <c r="P43" i="310"/>
  <c r="O43" i="310"/>
  <c r="N43" i="310"/>
  <c r="M43" i="310"/>
  <c r="L43" i="310"/>
  <c r="K43" i="310"/>
  <c r="J43" i="310"/>
  <c r="I43" i="310"/>
  <c r="H43" i="310"/>
  <c r="G43" i="310"/>
  <c r="F43" i="310"/>
  <c r="Y42" i="310"/>
  <c r="X42" i="310"/>
  <c r="W42" i="310"/>
  <c r="V42" i="310"/>
  <c r="U42" i="310"/>
  <c r="R42" i="310"/>
  <c r="Q42" i="310"/>
  <c r="P42" i="310"/>
  <c r="O42" i="310"/>
  <c r="N42" i="310"/>
  <c r="M42" i="310"/>
  <c r="L42" i="310"/>
  <c r="K42" i="310"/>
  <c r="J42" i="310"/>
  <c r="I42" i="310"/>
  <c r="H42" i="310"/>
  <c r="G42" i="310"/>
  <c r="F42" i="310"/>
  <c r="Y41" i="310"/>
  <c r="X41" i="310"/>
  <c r="W41" i="310"/>
  <c r="V41" i="310"/>
  <c r="U41" i="310"/>
  <c r="R41" i="310"/>
  <c r="Q41" i="310"/>
  <c r="P41" i="310"/>
  <c r="O41" i="310"/>
  <c r="N41" i="310"/>
  <c r="M41" i="310"/>
  <c r="L41" i="310"/>
  <c r="K41" i="310"/>
  <c r="J41" i="310"/>
  <c r="I41" i="310"/>
  <c r="H41" i="310"/>
  <c r="G41" i="310"/>
  <c r="F41" i="310"/>
  <c r="Y40" i="310"/>
  <c r="X40" i="310"/>
  <c r="W40" i="310"/>
  <c r="V40" i="310"/>
  <c r="U40" i="310"/>
  <c r="R40" i="310"/>
  <c r="Q40" i="310"/>
  <c r="P40" i="310"/>
  <c r="O40" i="310"/>
  <c r="N40" i="310"/>
  <c r="M40" i="310"/>
  <c r="L40" i="310"/>
  <c r="K40" i="310"/>
  <c r="J40" i="310"/>
  <c r="I40" i="310"/>
  <c r="H40" i="310"/>
  <c r="G40" i="310"/>
  <c r="F40" i="310"/>
  <c r="W39" i="310"/>
  <c r="V39" i="310"/>
  <c r="Q39" i="310"/>
  <c r="P39" i="310"/>
  <c r="Y38" i="310"/>
  <c r="Y57" i="310" s="1"/>
  <c r="Y58" i="310" s="1"/>
  <c r="X38" i="310"/>
  <c r="X57" i="310" s="1"/>
  <c r="X58" i="310" s="1"/>
  <c r="W38" i="310"/>
  <c r="W57" i="310" s="1"/>
  <c r="W58" i="310" s="1"/>
  <c r="V38" i="310"/>
  <c r="V57" i="310" s="1"/>
  <c r="V58" i="310" s="1"/>
  <c r="U38" i="310"/>
  <c r="U57" i="310" s="1"/>
  <c r="U58" i="310" s="1"/>
  <c r="R38" i="310"/>
  <c r="R57" i="310" s="1"/>
  <c r="R58" i="310" s="1"/>
  <c r="Q38" i="310"/>
  <c r="Q57" i="310" s="1"/>
  <c r="Q58" i="310" s="1"/>
  <c r="P38" i="310"/>
  <c r="P57" i="310" s="1"/>
  <c r="P58" i="310" s="1"/>
  <c r="O38" i="310"/>
  <c r="O57" i="310" s="1"/>
  <c r="O58" i="310" s="1"/>
  <c r="N38" i="310"/>
  <c r="N57" i="310" s="1"/>
  <c r="N58" i="310" s="1"/>
  <c r="M38" i="310"/>
  <c r="M57" i="310" s="1"/>
  <c r="M58" i="310" s="1"/>
  <c r="L38" i="310"/>
  <c r="L57" i="310" s="1"/>
  <c r="L58" i="310" s="1"/>
  <c r="K38" i="310"/>
  <c r="K57" i="310" s="1"/>
  <c r="K58" i="310" s="1"/>
  <c r="J38" i="310"/>
  <c r="J57" i="310" s="1"/>
  <c r="J58" i="310" s="1"/>
  <c r="I38" i="310"/>
  <c r="I57" i="310" s="1"/>
  <c r="I58" i="310" s="1"/>
  <c r="H38" i="310"/>
  <c r="H57" i="310" s="1"/>
  <c r="H58" i="310" s="1"/>
  <c r="G38" i="310"/>
  <c r="G57" i="310" s="1"/>
  <c r="G58" i="310" s="1"/>
  <c r="F38" i="310"/>
  <c r="F57" i="310" s="1"/>
  <c r="F58" i="310" s="1"/>
  <c r="F59" i="310" s="1"/>
  <c r="T36" i="310"/>
  <c r="M36" i="310"/>
  <c r="M52" i="310" s="1"/>
  <c r="L36" i="310"/>
  <c r="L52" i="310" s="1"/>
  <c r="I36" i="310"/>
  <c r="I52" i="310" s="1"/>
  <c r="H36" i="310"/>
  <c r="H52" i="310" s="1"/>
  <c r="G36" i="310"/>
  <c r="G52" i="310" s="1"/>
  <c r="Y35" i="310"/>
  <c r="Y50" i="310" s="1"/>
  <c r="X35" i="310"/>
  <c r="X50" i="310" s="1"/>
  <c r="U35" i="310"/>
  <c r="U50" i="310" s="1"/>
  <c r="T35" i="310"/>
  <c r="O35" i="310"/>
  <c r="O50" i="310" s="1"/>
  <c r="N35" i="310"/>
  <c r="N50" i="310" s="1"/>
  <c r="M35" i="310"/>
  <c r="M50" i="310" s="1"/>
  <c r="L35" i="310"/>
  <c r="L50" i="310" s="1"/>
  <c r="K35" i="310"/>
  <c r="K50" i="310" s="1"/>
  <c r="J35" i="310"/>
  <c r="J50" i="310" s="1"/>
  <c r="I35" i="310"/>
  <c r="H35" i="310"/>
  <c r="H50" i="310" s="1"/>
  <c r="G35" i="310"/>
  <c r="G50" i="310" s="1"/>
  <c r="F35" i="310"/>
  <c r="F50" i="310" s="1"/>
  <c r="Y34" i="310"/>
  <c r="X34" i="310"/>
  <c r="T34" i="310"/>
  <c r="M34" i="310"/>
  <c r="M49" i="310" s="1"/>
  <c r="L34" i="310"/>
  <c r="L49" i="310" s="1"/>
  <c r="I34" i="310"/>
  <c r="I49" i="310" s="1"/>
  <c r="H34" i="310"/>
  <c r="H49" i="310" s="1"/>
  <c r="G34" i="310"/>
  <c r="G49" i="310" s="1"/>
  <c r="Y33" i="310"/>
  <c r="Y46" i="310" s="1"/>
  <c r="X33" i="310"/>
  <c r="X46" i="310" s="1"/>
  <c r="U33" i="310"/>
  <c r="U47" i="310" s="1"/>
  <c r="T33" i="310"/>
  <c r="O33" i="310"/>
  <c r="O47" i="310" s="1"/>
  <c r="N33" i="310"/>
  <c r="N47" i="310" s="1"/>
  <c r="M33" i="310"/>
  <c r="M47" i="310" s="1"/>
  <c r="L33" i="310"/>
  <c r="L47" i="310" s="1"/>
  <c r="K33" i="310"/>
  <c r="K47" i="310" s="1"/>
  <c r="J33" i="310"/>
  <c r="J47" i="310" s="1"/>
  <c r="I33" i="310"/>
  <c r="I47" i="310" s="1"/>
  <c r="H33" i="310"/>
  <c r="H47" i="310" s="1"/>
  <c r="G33" i="310"/>
  <c r="G47" i="310" s="1"/>
  <c r="F33" i="310"/>
  <c r="F47" i="310" s="1"/>
  <c r="Y32" i="310"/>
  <c r="Y39" i="310" s="1"/>
  <c r="X32" i="310"/>
  <c r="X39" i="310" s="1"/>
  <c r="U32" i="310"/>
  <c r="U39" i="310" s="1"/>
  <c r="T32" i="310"/>
  <c r="R32" i="310"/>
  <c r="R39" i="310" s="1"/>
  <c r="O32" i="310"/>
  <c r="N32" i="310"/>
  <c r="N39" i="310" s="1"/>
  <c r="M32" i="310"/>
  <c r="M39" i="310" s="1"/>
  <c r="L32" i="310"/>
  <c r="L39" i="310" s="1"/>
  <c r="K32" i="310"/>
  <c r="K39" i="310" s="1"/>
  <c r="J32" i="310"/>
  <c r="J39" i="310" s="1"/>
  <c r="I32" i="310"/>
  <c r="I39" i="310" s="1"/>
  <c r="H32" i="310"/>
  <c r="H39" i="310" s="1"/>
  <c r="G32" i="310"/>
  <c r="G39" i="310" s="1"/>
  <c r="R27" i="310"/>
  <c r="R26" i="310"/>
  <c r="Y25" i="310"/>
  <c r="X25" i="310"/>
  <c r="N25" i="310"/>
  <c r="J25" i="310"/>
  <c r="R24" i="310"/>
  <c r="R35" i="310" s="1"/>
  <c r="R50" i="310" s="1"/>
  <c r="W23" i="310"/>
  <c r="V23" i="310"/>
  <c r="S23" i="310"/>
  <c r="S32" i="310" s="1"/>
  <c r="F23" i="310"/>
  <c r="F32" i="310" s="1"/>
  <c r="F39" i="310" s="1"/>
  <c r="R22" i="310"/>
  <c r="R21" i="310"/>
  <c r="R20" i="310"/>
  <c r="U19" i="310"/>
  <c r="U18" i="310" s="1"/>
  <c r="S19" i="310"/>
  <c r="N19" i="310"/>
  <c r="N18" i="310" s="1"/>
  <c r="J19" i="310"/>
  <c r="F19" i="310"/>
  <c r="F18" i="310" s="1"/>
  <c r="F36" i="310" s="1"/>
  <c r="F52" i="310" s="1"/>
  <c r="Y18" i="310"/>
  <c r="Y36" i="310" s="1"/>
  <c r="Y52" i="310" s="1"/>
  <c r="X18" i="310"/>
  <c r="X36" i="310" s="1"/>
  <c r="X52" i="310" s="1"/>
  <c r="O18" i="310"/>
  <c r="O36" i="310" s="1"/>
  <c r="O52" i="310" s="1"/>
  <c r="K18" i="310"/>
  <c r="K36" i="310" s="1"/>
  <c r="K52" i="310" s="1"/>
  <c r="W17" i="310"/>
  <c r="V17" i="310"/>
  <c r="U17" i="310"/>
  <c r="S17" i="310"/>
  <c r="U16" i="310"/>
  <c r="S16" i="310"/>
  <c r="O16" i="310"/>
  <c r="O14" i="310" s="1"/>
  <c r="N16" i="310"/>
  <c r="N14" i="310" s="1"/>
  <c r="N34" i="310" s="1"/>
  <c r="N49" i="310" s="1"/>
  <c r="K16" i="310"/>
  <c r="K14" i="310" s="1"/>
  <c r="J16" i="310"/>
  <c r="V16" i="310" s="1"/>
  <c r="F16" i="310"/>
  <c r="R15" i="310"/>
  <c r="N15" i="310"/>
  <c r="J15" i="310"/>
  <c r="J14" i="310" s="1"/>
  <c r="F15" i="310"/>
  <c r="R14" i="310"/>
  <c r="S14" i="310" s="1"/>
  <c r="S34" i="310" s="1"/>
  <c r="X13" i="310"/>
  <c r="B50" i="309"/>
  <c r="B49" i="309"/>
  <c r="H36" i="309"/>
  <c r="G35" i="309"/>
  <c r="X34" i="309"/>
  <c r="U34" i="309"/>
  <c r="Q34" i="309"/>
  <c r="N33" i="309"/>
  <c r="K33" i="309"/>
  <c r="G33" i="309"/>
  <c r="N32" i="309"/>
  <c r="K32" i="309"/>
  <c r="G31" i="309"/>
  <c r="Q28" i="309"/>
  <c r="N27" i="309"/>
  <c r="K27" i="309"/>
  <c r="X26" i="309"/>
  <c r="U26" i="309"/>
  <c r="Q26" i="309"/>
  <c r="N26" i="309"/>
  <c r="K26" i="309"/>
  <c r="G26" i="309"/>
  <c r="K25" i="309"/>
  <c r="F25" i="309"/>
  <c r="G25" i="309" s="1"/>
  <c r="D25" i="309" s="1"/>
  <c r="W24" i="309"/>
  <c r="X24" i="309" s="1"/>
  <c r="T24" i="309"/>
  <c r="U24" i="309" s="1"/>
  <c r="Q24" i="309"/>
  <c r="N24" i="309"/>
  <c r="K24" i="309"/>
  <c r="G24" i="309"/>
  <c r="D24" i="309" s="1"/>
  <c r="X22" i="309"/>
  <c r="U22" i="309"/>
  <c r="Q22" i="309"/>
  <c r="N22" i="309"/>
  <c r="K22" i="309"/>
  <c r="G22" i="309"/>
  <c r="D22" i="309"/>
  <c r="X21" i="309"/>
  <c r="U21" i="309"/>
  <c r="Q21" i="309"/>
  <c r="N21" i="309"/>
  <c r="K21" i="309"/>
  <c r="X20" i="309"/>
  <c r="U20" i="309"/>
  <c r="Q20" i="309"/>
  <c r="G20" i="309"/>
  <c r="D20" i="309" s="1"/>
  <c r="F14" i="310" l="1"/>
  <c r="F34" i="310" s="1"/>
  <c r="F49" i="310" s="1"/>
  <c r="F14" i="311"/>
  <c r="T31" i="310"/>
  <c r="Y13" i="311"/>
  <c r="R18" i="311"/>
  <c r="S18" i="311" s="1"/>
  <c r="S36" i="311" s="1"/>
  <c r="C29" i="151" s="1"/>
  <c r="T31" i="311"/>
  <c r="X36" i="309"/>
  <c r="X51" i="309" s="1"/>
  <c r="K13" i="310"/>
  <c r="I11" i="318"/>
  <c r="I12" i="318"/>
  <c r="N34" i="311"/>
  <c r="N49" i="311" s="1"/>
  <c r="N13" i="311"/>
  <c r="V24" i="311"/>
  <c r="L31" i="311"/>
  <c r="H31" i="311"/>
  <c r="X36" i="311"/>
  <c r="X31" i="311" s="1"/>
  <c r="U14" i="310"/>
  <c r="U34" i="310" s="1"/>
  <c r="U49" i="310" s="1"/>
  <c r="P44" i="309"/>
  <c r="V15" i="311"/>
  <c r="V21" i="311"/>
  <c r="M31" i="311"/>
  <c r="R35" i="311"/>
  <c r="R50" i="311" s="1"/>
  <c r="L31" i="310"/>
  <c r="I31" i="310"/>
  <c r="Q44" i="309"/>
  <c r="U14" i="311"/>
  <c r="U34" i="311" s="1"/>
  <c r="V27" i="311"/>
  <c r="R33" i="311"/>
  <c r="R47" i="311" s="1"/>
  <c r="V20" i="311"/>
  <c r="V22" i="311"/>
  <c r="G31" i="311"/>
  <c r="W15" i="311"/>
  <c r="W16" i="311"/>
  <c r="R25" i="311"/>
  <c r="S25" i="311" s="1"/>
  <c r="V26" i="311"/>
  <c r="O13" i="311"/>
  <c r="O34" i="311"/>
  <c r="K34" i="311"/>
  <c r="K13" i="311"/>
  <c r="F13" i="311"/>
  <c r="F34" i="311"/>
  <c r="F49" i="311" s="1"/>
  <c r="Y31" i="311"/>
  <c r="Y52" i="311"/>
  <c r="F39" i="311"/>
  <c r="V19" i="311"/>
  <c r="J14" i="311"/>
  <c r="V14" i="311" s="1"/>
  <c r="J18" i="311"/>
  <c r="J36" i="311" s="1"/>
  <c r="J52" i="311" s="1"/>
  <c r="R13" i="311"/>
  <c r="S14" i="311"/>
  <c r="S34" i="311" s="1"/>
  <c r="S15" i="311"/>
  <c r="S20" i="311"/>
  <c r="S21" i="311"/>
  <c r="S22" i="311"/>
  <c r="S24" i="311"/>
  <c r="S26" i="311"/>
  <c r="S27" i="311"/>
  <c r="S33" i="311" s="1"/>
  <c r="R36" i="311"/>
  <c r="R52" i="311" s="1"/>
  <c r="Q43" i="309"/>
  <c r="Q36" i="309"/>
  <c r="N36" i="309"/>
  <c r="U36" i="309"/>
  <c r="M31" i="310"/>
  <c r="W15" i="310"/>
  <c r="H31" i="310"/>
  <c r="O34" i="310"/>
  <c r="O49" i="310" s="1"/>
  <c r="O13" i="310"/>
  <c r="W19" i="310"/>
  <c r="V19" i="310"/>
  <c r="W20" i="310"/>
  <c r="V20" i="310"/>
  <c r="W22" i="310"/>
  <c r="V22" i="310"/>
  <c r="W27" i="310"/>
  <c r="R33" i="310"/>
  <c r="V27" i="310"/>
  <c r="V14" i="310"/>
  <c r="J18" i="310"/>
  <c r="J36" i="310" s="1"/>
  <c r="J52" i="310" s="1"/>
  <c r="R18" i="310"/>
  <c r="S20" i="310"/>
  <c r="S22" i="310"/>
  <c r="S27" i="310"/>
  <c r="S33" i="310" s="1"/>
  <c r="O44" i="309" s="1"/>
  <c r="X31" i="310"/>
  <c r="F13" i="310"/>
  <c r="S15" i="310"/>
  <c r="W21" i="310"/>
  <c r="V21" i="310"/>
  <c r="W24" i="310"/>
  <c r="V24" i="310"/>
  <c r="W26" i="310"/>
  <c r="V26" i="310"/>
  <c r="R25" i="310"/>
  <c r="F31" i="310"/>
  <c r="O39" i="310"/>
  <c r="K34" i="310"/>
  <c r="R34" i="310"/>
  <c r="R49" i="310" s="1"/>
  <c r="Y31" i="310"/>
  <c r="X49" i="310"/>
  <c r="Y13" i="310"/>
  <c r="V15" i="310"/>
  <c r="W16" i="310"/>
  <c r="N13" i="310"/>
  <c r="S21" i="310"/>
  <c r="S24" i="310"/>
  <c r="S26" i="310"/>
  <c r="G31" i="310"/>
  <c r="Y49" i="310"/>
  <c r="I50" i="310"/>
  <c r="W14" i="310"/>
  <c r="J34" i="310"/>
  <c r="N36" i="310"/>
  <c r="U36" i="310"/>
  <c r="K36" i="309"/>
  <c r="D36" i="309"/>
  <c r="G36" i="309"/>
  <c r="Q45" i="309" l="1"/>
  <c r="E21" i="151" s="1"/>
  <c r="U31" i="311"/>
  <c r="U49" i="311"/>
  <c r="N31" i="311"/>
  <c r="R46" i="311"/>
  <c r="U13" i="311"/>
  <c r="U13" i="310"/>
  <c r="X52" i="311"/>
  <c r="D29" i="151"/>
  <c r="W25" i="311"/>
  <c r="V25" i="311"/>
  <c r="V18" i="311"/>
  <c r="W18" i="311"/>
  <c r="F31" i="311"/>
  <c r="J34" i="311"/>
  <c r="J13" i="311"/>
  <c r="W13" i="311" s="1"/>
  <c r="O49" i="311"/>
  <c r="O31" i="311"/>
  <c r="S35" i="311"/>
  <c r="S31" i="311" s="1"/>
  <c r="V13" i="311"/>
  <c r="S13" i="311"/>
  <c r="R31" i="311"/>
  <c r="W14" i="311"/>
  <c r="K49" i="311"/>
  <c r="K31" i="311"/>
  <c r="U51" i="309"/>
  <c r="P43" i="309"/>
  <c r="P45" i="309" s="1"/>
  <c r="D21" i="151" s="1"/>
  <c r="Q51" i="309"/>
  <c r="O43" i="309"/>
  <c r="O45" i="309" s="1"/>
  <c r="C21" i="151" s="1"/>
  <c r="O31" i="310"/>
  <c r="S18" i="310"/>
  <c r="S36" i="310" s="1"/>
  <c r="V18" i="310"/>
  <c r="R36" i="310"/>
  <c r="R52" i="310" s="1"/>
  <c r="W18" i="310"/>
  <c r="R13" i="310"/>
  <c r="S35" i="310"/>
  <c r="K49" i="310"/>
  <c r="K31" i="310"/>
  <c r="S25" i="310"/>
  <c r="W25" i="310"/>
  <c r="V25" i="310"/>
  <c r="J13" i="310"/>
  <c r="R46" i="310"/>
  <c r="R47" i="310"/>
  <c r="R31" i="310"/>
  <c r="J49" i="310"/>
  <c r="J31" i="310"/>
  <c r="U52" i="310"/>
  <c r="U31" i="310"/>
  <c r="N52" i="310"/>
  <c r="N31" i="310"/>
  <c r="B58" i="308"/>
  <c r="B57" i="308"/>
  <c r="H46" i="308"/>
  <c r="G45" i="308"/>
  <c r="X44" i="308"/>
  <c r="U44" i="308"/>
  <c r="Q44" i="308"/>
  <c r="N43" i="308"/>
  <c r="K43" i="308"/>
  <c r="G43" i="308"/>
  <c r="X42" i="308"/>
  <c r="Q42" i="308"/>
  <c r="N42" i="308"/>
  <c r="K42" i="308"/>
  <c r="X41" i="308"/>
  <c r="U41" i="308"/>
  <c r="Q41" i="308"/>
  <c r="G41" i="308"/>
  <c r="U40" i="308"/>
  <c r="X39" i="308"/>
  <c r="X38" i="308"/>
  <c r="Q38" i="308"/>
  <c r="N37" i="308"/>
  <c r="K37" i="308"/>
  <c r="X36" i="308"/>
  <c r="U36" i="308"/>
  <c r="Q36" i="308"/>
  <c r="N36" i="308"/>
  <c r="K36" i="308"/>
  <c r="G36" i="308"/>
  <c r="K35" i="308"/>
  <c r="F35" i="308"/>
  <c r="G35" i="308" s="1"/>
  <c r="D35" i="308" s="1"/>
  <c r="W34" i="308"/>
  <c r="X34" i="308" s="1"/>
  <c r="T34" i="308"/>
  <c r="U34" i="308" s="1"/>
  <c r="Q34" i="308"/>
  <c r="N34" i="308"/>
  <c r="K34" i="308"/>
  <c r="G34" i="308"/>
  <c r="D34" i="308" s="1"/>
  <c r="U33" i="308"/>
  <c r="X32" i="308"/>
  <c r="U32" i="308"/>
  <c r="Q32" i="308"/>
  <c r="N32" i="308"/>
  <c r="K32" i="308"/>
  <c r="G32" i="308"/>
  <c r="D32" i="308" s="1"/>
  <c r="X31" i="308"/>
  <c r="U31" i="308"/>
  <c r="Q31" i="308"/>
  <c r="N31" i="308"/>
  <c r="K31" i="308"/>
  <c r="X30" i="308"/>
  <c r="U30" i="308"/>
  <c r="Q30" i="308"/>
  <c r="G30" i="308"/>
  <c r="D30" i="308" s="1"/>
  <c r="X27" i="308"/>
  <c r="U27" i="308"/>
  <c r="Q27" i="308"/>
  <c r="W26" i="308"/>
  <c r="X26" i="308" s="1"/>
  <c r="X20" i="308" s="1"/>
  <c r="T26" i="308"/>
  <c r="U26" i="308" s="1"/>
  <c r="U20" i="308" s="1"/>
  <c r="P26" i="308"/>
  <c r="Q26" i="308" s="1"/>
  <c r="Q20" i="308" s="1"/>
  <c r="M26" i="308"/>
  <c r="N26" i="308" s="1"/>
  <c r="K26" i="308"/>
  <c r="H26" i="308" s="1"/>
  <c r="F26" i="308"/>
  <c r="K24" i="308"/>
  <c r="H24" i="308" s="1"/>
  <c r="W22" i="308"/>
  <c r="T22" i="308"/>
  <c r="P22" i="308"/>
  <c r="M22" i="308"/>
  <c r="N22" i="308" s="1"/>
  <c r="K22" i="308"/>
  <c r="H22" i="308" s="1"/>
  <c r="F22" i="308"/>
  <c r="G22" i="308" s="1"/>
  <c r="G20" i="308" s="1"/>
  <c r="G29" i="308" s="1"/>
  <c r="D20" i="308"/>
  <c r="D29" i="308" s="1"/>
  <c r="N20" i="308" l="1"/>
  <c r="N29" i="308" s="1"/>
  <c r="X46" i="308"/>
  <c r="Q29" i="308"/>
  <c r="H20" i="308"/>
  <c r="H29" i="308" s="1"/>
  <c r="K20" i="308"/>
  <c r="K29" i="308" s="1"/>
  <c r="Q67" i="308"/>
  <c r="C19" i="151"/>
  <c r="K46" i="308"/>
  <c r="N46" i="308"/>
  <c r="X29" i="308"/>
  <c r="U46" i="308"/>
  <c r="Q46" i="308"/>
  <c r="J49" i="311"/>
  <c r="J31" i="311"/>
  <c r="V13" i="310"/>
  <c r="W13" i="310"/>
  <c r="S13" i="310"/>
  <c r="S31" i="310"/>
  <c r="D46" i="308"/>
  <c r="U29" i="308"/>
  <c r="G46" i="308"/>
  <c r="U67" i="308" l="1"/>
  <c r="D19" i="151"/>
  <c r="X67" i="308"/>
  <c r="E19" i="151"/>
  <c r="X41" i="307"/>
  <c r="V41" i="307"/>
  <c r="U41" i="307"/>
  <c r="S41" i="307"/>
  <c r="Q41" i="307"/>
  <c r="O41" i="307"/>
  <c r="N41" i="307"/>
  <c r="L41" i="307"/>
  <c r="K41" i="307"/>
  <c r="I41" i="307"/>
  <c r="H41" i="307"/>
  <c r="G41" i="307"/>
  <c r="E41" i="307"/>
  <c r="D41" i="307"/>
  <c r="N39" i="307"/>
  <c r="N38" i="307" s="1"/>
  <c r="G39" i="307"/>
  <c r="D39" i="307" s="1"/>
  <c r="X38" i="307"/>
  <c r="V38" i="307"/>
  <c r="U38" i="307"/>
  <c r="S38" i="307"/>
  <c r="Q38" i="307"/>
  <c r="O38" i="307"/>
  <c r="L38" i="307"/>
  <c r="K38" i="307"/>
  <c r="I38" i="307"/>
  <c r="H38" i="307"/>
  <c r="E38" i="307"/>
  <c r="J36" i="307"/>
  <c r="H36" i="307"/>
  <c r="H35" i="307" s="1"/>
  <c r="X35" i="307"/>
  <c r="U35" i="307"/>
  <c r="Q35" i="307"/>
  <c r="N35" i="307"/>
  <c r="K35" i="307"/>
  <c r="G35" i="307"/>
  <c r="D35" i="307"/>
  <c r="X32" i="307"/>
  <c r="V32" i="307"/>
  <c r="U32" i="307"/>
  <c r="S32" i="307"/>
  <c r="Q32" i="307"/>
  <c r="O32" i="307"/>
  <c r="N32" i="307"/>
  <c r="L32" i="307"/>
  <c r="K32" i="307"/>
  <c r="I32" i="307"/>
  <c r="H32" i="307"/>
  <c r="G32" i="307"/>
  <c r="E32" i="307"/>
  <c r="D32" i="307"/>
  <c r="W30" i="307"/>
  <c r="T30" i="307"/>
  <c r="P30" i="307"/>
  <c r="M30" i="307"/>
  <c r="X29" i="307"/>
  <c r="U29" i="307"/>
  <c r="Q29" i="307"/>
  <c r="N29" i="307"/>
  <c r="K29" i="307"/>
  <c r="H29" i="307"/>
  <c r="G29" i="307"/>
  <c r="D29" i="307"/>
  <c r="X26" i="307"/>
  <c r="U26" i="307"/>
  <c r="Q26" i="307"/>
  <c r="N26" i="307"/>
  <c r="K26" i="307"/>
  <c r="H26" i="307"/>
  <c r="G26" i="307"/>
  <c r="D26" i="307"/>
  <c r="W24" i="307"/>
  <c r="T24" i="307"/>
  <c r="P24" i="307"/>
  <c r="M24" i="307"/>
  <c r="J24" i="307"/>
  <c r="G24" i="307"/>
  <c r="D24" i="307" s="1"/>
  <c r="D23" i="307" s="1"/>
  <c r="X23" i="307"/>
  <c r="U23" i="307"/>
  <c r="Q23" i="307"/>
  <c r="N23" i="307"/>
  <c r="K23" i="307"/>
  <c r="H23" i="307"/>
  <c r="X16" i="307"/>
  <c r="X19" i="307" s="1"/>
  <c r="X22" i="307" s="1"/>
  <c r="U16" i="307"/>
  <c r="U19" i="307" s="1"/>
  <c r="U22" i="307" s="1"/>
  <c r="Q16" i="307"/>
  <c r="Q19" i="307" s="1"/>
  <c r="Q22" i="307" s="1"/>
  <c r="N16" i="307"/>
  <c r="L16" i="307"/>
  <c r="K16" i="307"/>
  <c r="K19" i="307" s="1"/>
  <c r="K22" i="307" s="1"/>
  <c r="I16" i="307"/>
  <c r="H16" i="307"/>
  <c r="H19" i="307" s="1"/>
  <c r="H22" i="307" s="1"/>
  <c r="G16" i="307"/>
  <c r="G19" i="307" s="1"/>
  <c r="G22" i="307" s="1"/>
  <c r="E16" i="307"/>
  <c r="D16" i="307"/>
  <c r="G38" i="307" l="1"/>
  <c r="D19" i="307"/>
  <c r="D22" i="307" s="1"/>
  <c r="G23" i="307"/>
  <c r="G44" i="307" s="1"/>
  <c r="G47" i="307" s="1"/>
  <c r="N44" i="307"/>
  <c r="N47" i="307" s="1"/>
  <c r="Q44" i="307"/>
  <c r="Q47" i="307" s="1"/>
  <c r="U44" i="307"/>
  <c r="U47" i="307" s="1"/>
  <c r="K44" i="307"/>
  <c r="K47" i="307" s="1"/>
  <c r="X44" i="307"/>
  <c r="X55" i="307" s="1"/>
  <c r="N19" i="307"/>
  <c r="N22" i="307" s="1"/>
  <c r="H44" i="307"/>
  <c r="H47" i="307" s="1"/>
  <c r="D38" i="307"/>
  <c r="D44" i="307" s="1"/>
  <c r="D47" i="307" s="1"/>
  <c r="U55" i="307" l="1"/>
  <c r="Q55" i="307"/>
  <c r="X47" i="307"/>
  <c r="D19" i="306"/>
  <c r="D18" i="306"/>
  <c r="N16" i="306"/>
  <c r="N19" i="306" s="1"/>
  <c r="G16" i="306"/>
  <c r="Q13" i="306"/>
  <c r="Q16" i="306" s="1"/>
  <c r="Q19" i="306" s="1"/>
  <c r="O13" i="306"/>
  <c r="S13" i="306" s="1"/>
  <c r="V13" i="306" s="1"/>
  <c r="M13" i="306"/>
  <c r="P13" i="306" s="1"/>
  <c r="T13" i="306" s="1"/>
  <c r="W13" i="306" s="1"/>
  <c r="D13" i="306"/>
  <c r="F10" i="306"/>
  <c r="D10" i="306"/>
  <c r="D16" i="306" s="1"/>
  <c r="U13" i="306" l="1"/>
  <c r="X13" i="306" s="1"/>
  <c r="X16" i="306" s="1"/>
  <c r="X19" i="306" s="1"/>
  <c r="U16" i="306" l="1"/>
  <c r="U19" i="306" s="1"/>
  <c r="O54" i="305"/>
  <c r="W50" i="305"/>
  <c r="X49" i="305" s="1"/>
  <c r="T50" i="305"/>
  <c r="U49" i="305" s="1"/>
  <c r="P50" i="305"/>
  <c r="Q49" i="305" s="1"/>
  <c r="W48" i="305"/>
  <c r="X47" i="305" s="1"/>
  <c r="T48" i="305"/>
  <c r="U47" i="305" s="1"/>
  <c r="P48" i="305"/>
  <c r="Q47" i="305" s="1"/>
  <c r="W46" i="305"/>
  <c r="X45" i="305" s="1"/>
  <c r="T46" i="305"/>
  <c r="U45" i="305" s="1"/>
  <c r="P46" i="305"/>
  <c r="Q45" i="305" s="1"/>
  <c r="W27" i="305"/>
  <c r="T27" i="305"/>
  <c r="P27" i="305"/>
  <c r="W26" i="305"/>
  <c r="T26" i="305"/>
  <c r="P26" i="305"/>
  <c r="L23" i="305"/>
  <c r="J23" i="305"/>
  <c r="F23" i="305"/>
  <c r="W22" i="305"/>
  <c r="W52" i="305" s="1"/>
  <c r="X51" i="305" s="1"/>
  <c r="T22" i="305"/>
  <c r="T52" i="305" s="1"/>
  <c r="U51" i="305" s="1"/>
  <c r="P22" i="305"/>
  <c r="P52" i="305" s="1"/>
  <c r="Q51" i="305" s="1"/>
  <c r="M22" i="305"/>
  <c r="J22" i="305"/>
  <c r="G22" i="305"/>
  <c r="W21" i="305"/>
  <c r="T21" i="305"/>
  <c r="P21" i="305"/>
  <c r="W18" i="305"/>
  <c r="T18" i="305"/>
  <c r="P18" i="305"/>
  <c r="M18" i="305"/>
  <c r="J18" i="305"/>
  <c r="G18" i="305"/>
  <c r="W17" i="305"/>
  <c r="W44" i="305" s="1"/>
  <c r="X43" i="305" s="1"/>
  <c r="T17" i="305"/>
  <c r="T44" i="305" s="1"/>
  <c r="U43" i="305" s="1"/>
  <c r="P17" i="305"/>
  <c r="P44" i="305" s="1"/>
  <c r="Q43" i="305" s="1"/>
  <c r="M17" i="305"/>
  <c r="J17" i="305"/>
  <c r="G17" i="305"/>
  <c r="W16" i="305"/>
  <c r="T16" i="305"/>
  <c r="P16" i="305"/>
  <c r="M16" i="305"/>
  <c r="J16" i="305"/>
  <c r="G16" i="305"/>
  <c r="W15" i="305"/>
  <c r="T15" i="305"/>
  <c r="P15" i="305"/>
  <c r="M15" i="305"/>
  <c r="J15" i="305"/>
  <c r="G15" i="305"/>
  <c r="W14" i="305"/>
  <c r="T14" i="305"/>
  <c r="P14" i="305"/>
  <c r="M14" i="305"/>
  <c r="J14" i="305"/>
  <c r="G14" i="305"/>
  <c r="W13" i="305"/>
  <c r="T13" i="305"/>
  <c r="P13" i="305"/>
  <c r="M13" i="305"/>
  <c r="J13" i="305"/>
  <c r="G13" i="305"/>
  <c r="W11" i="305"/>
  <c r="T11" i="305"/>
  <c r="P11" i="305"/>
  <c r="M11" i="305"/>
  <c r="J11" i="305"/>
  <c r="G11" i="305"/>
  <c r="W10" i="305"/>
  <c r="T10" i="305"/>
  <c r="P10" i="305"/>
  <c r="M10" i="305"/>
  <c r="J10" i="305"/>
  <c r="G10" i="305"/>
  <c r="D15" i="151"/>
  <c r="E15" i="151"/>
  <c r="M26" i="304"/>
  <c r="L26" i="304"/>
  <c r="K26" i="304"/>
  <c r="E18" i="304"/>
  <c r="I17" i="304"/>
  <c r="I18" i="304" s="1"/>
  <c r="F17" i="304"/>
  <c r="F18" i="304" s="1"/>
  <c r="J17" i="304" l="1"/>
  <c r="J18" i="304" s="1"/>
  <c r="J26" i="304" s="1"/>
  <c r="P42" i="305"/>
  <c r="Q41" i="305" s="1"/>
  <c r="G25" i="305"/>
  <c r="G28" i="305" s="1"/>
  <c r="T25" i="305"/>
  <c r="T28" i="305" s="1"/>
  <c r="T33" i="305" s="1"/>
  <c r="J25" i="305"/>
  <c r="J28" i="305" s="1"/>
  <c r="W42" i="305"/>
  <c r="X41" i="305" s="1"/>
  <c r="M25" i="305"/>
  <c r="M28" i="305" s="1"/>
  <c r="T42" i="305"/>
  <c r="U41" i="305" s="1"/>
  <c r="W25" i="305"/>
  <c r="W28" i="305" s="1"/>
  <c r="W33" i="305" s="1"/>
  <c r="P25" i="305"/>
  <c r="P28" i="305" s="1"/>
  <c r="P33" i="305" s="1"/>
  <c r="W26" i="303"/>
  <c r="L26" i="303"/>
  <c r="J26" i="303"/>
  <c r="H26" i="303"/>
  <c r="F26" i="303"/>
  <c r="D26" i="303"/>
  <c r="S25" i="303"/>
  <c r="U25" i="303" s="1"/>
  <c r="R25" i="303"/>
  <c r="S24" i="303"/>
  <c r="U24" i="303" s="1"/>
  <c r="R24" i="303"/>
  <c r="O23" i="303"/>
  <c r="K23" i="303"/>
  <c r="S22" i="303"/>
  <c r="U22" i="303" s="1"/>
  <c r="R22" i="303"/>
  <c r="S21" i="303"/>
  <c r="U21" i="303" s="1"/>
  <c r="S20" i="303"/>
  <c r="T20" i="303" s="1"/>
  <c r="R20" i="303"/>
  <c r="S19" i="303"/>
  <c r="T19" i="303" s="1"/>
  <c r="R19" i="303"/>
  <c r="S18" i="303"/>
  <c r="T18" i="303" s="1"/>
  <c r="R18" i="303"/>
  <c r="S17" i="303"/>
  <c r="T17" i="303" s="1"/>
  <c r="R17" i="303"/>
  <c r="S16" i="303"/>
  <c r="T16" i="303" s="1"/>
  <c r="R16" i="303"/>
  <c r="M15" i="303"/>
  <c r="S15" i="303" s="1"/>
  <c r="S14" i="303"/>
  <c r="U14" i="303" s="1"/>
  <c r="R14" i="303"/>
  <c r="S13" i="303"/>
  <c r="U13" i="303" s="1"/>
  <c r="R13" i="303"/>
  <c r="R12" i="303"/>
  <c r="P12" i="303"/>
  <c r="N12" i="303"/>
  <c r="M12" i="303"/>
  <c r="S11" i="303"/>
  <c r="T11" i="303" s="1"/>
  <c r="R11" i="303"/>
  <c r="S10" i="303"/>
  <c r="T10" i="303" s="1"/>
  <c r="R10" i="303"/>
  <c r="M9" i="303"/>
  <c r="S9" i="303" s="1"/>
  <c r="W27" i="302"/>
  <c r="T27" i="302"/>
  <c r="W39" i="302"/>
  <c r="T39" i="302"/>
  <c r="P39" i="302"/>
  <c r="W38" i="302"/>
  <c r="T38" i="302"/>
  <c r="P38" i="302"/>
  <c r="W36" i="302"/>
  <c r="T36" i="302"/>
  <c r="P36" i="302"/>
  <c r="M36" i="302"/>
  <c r="J36" i="302"/>
  <c r="G36" i="302"/>
  <c r="W35" i="302"/>
  <c r="T35" i="302"/>
  <c r="P35" i="302"/>
  <c r="M35" i="302"/>
  <c r="J35" i="302"/>
  <c r="G35" i="302"/>
  <c r="W34" i="302"/>
  <c r="T34" i="302"/>
  <c r="P34" i="302"/>
  <c r="M34" i="302"/>
  <c r="J34" i="302"/>
  <c r="G34" i="302"/>
  <c r="W33" i="302"/>
  <c r="T33" i="302"/>
  <c r="P33" i="302"/>
  <c r="M33" i="302"/>
  <c r="J33" i="302"/>
  <c r="G33" i="302"/>
  <c r="G32" i="302"/>
  <c r="W31" i="302"/>
  <c r="T31" i="302"/>
  <c r="P31" i="302"/>
  <c r="M31" i="302"/>
  <c r="J31" i="302"/>
  <c r="G31" i="302"/>
  <c r="W30" i="302"/>
  <c r="T30" i="302"/>
  <c r="P30" i="302"/>
  <c r="M30" i="302"/>
  <c r="J30" i="302"/>
  <c r="G30" i="302"/>
  <c r="W29" i="302"/>
  <c r="T29" i="302"/>
  <c r="P29" i="302"/>
  <c r="M29" i="302"/>
  <c r="J29" i="302"/>
  <c r="G29" i="302"/>
  <c r="W28" i="302"/>
  <c r="T28" i="302"/>
  <c r="P28" i="302"/>
  <c r="M28" i="302"/>
  <c r="J28" i="302"/>
  <c r="G28" i="302"/>
  <c r="P27" i="302"/>
  <c r="M27" i="302"/>
  <c r="J27" i="302"/>
  <c r="W25" i="302"/>
  <c r="T25" i="302"/>
  <c r="P25" i="302"/>
  <c r="M25" i="302"/>
  <c r="J25" i="302"/>
  <c r="G25" i="302"/>
  <c r="W24" i="302"/>
  <c r="T24" i="302"/>
  <c r="P24" i="302"/>
  <c r="M24" i="302"/>
  <c r="J24" i="302"/>
  <c r="G24" i="302"/>
  <c r="W23" i="302"/>
  <c r="T23" i="302"/>
  <c r="P23" i="302"/>
  <c r="M23" i="302"/>
  <c r="J23" i="302"/>
  <c r="G23" i="302"/>
  <c r="W22" i="302"/>
  <c r="T22" i="302"/>
  <c r="P22" i="302"/>
  <c r="M22" i="302"/>
  <c r="J22" i="302"/>
  <c r="G22" i="302"/>
  <c r="W21" i="302"/>
  <c r="T21" i="302"/>
  <c r="P21" i="302"/>
  <c r="M21" i="302"/>
  <c r="J21" i="302"/>
  <c r="G21" i="302"/>
  <c r="W19" i="302"/>
  <c r="T19" i="302"/>
  <c r="P19" i="302"/>
  <c r="W18" i="302"/>
  <c r="T18" i="302"/>
  <c r="P18" i="302"/>
  <c r="M18" i="302"/>
  <c r="J18" i="302"/>
  <c r="W17" i="302"/>
  <c r="T17" i="302"/>
  <c r="P17" i="302"/>
  <c r="M17" i="302"/>
  <c r="J17" i="302"/>
  <c r="W16" i="302"/>
  <c r="T16" i="302"/>
  <c r="P16" i="302"/>
  <c r="M16" i="302"/>
  <c r="J16" i="302"/>
  <c r="G16" i="302"/>
  <c r="W15" i="302"/>
  <c r="T15" i="302"/>
  <c r="P15" i="302"/>
  <c r="M15" i="302"/>
  <c r="J15" i="302"/>
  <c r="G15" i="302"/>
  <c r="W14" i="302"/>
  <c r="T14" i="302"/>
  <c r="P14" i="302"/>
  <c r="M14" i="302"/>
  <c r="J14" i="302"/>
  <c r="G14" i="302"/>
  <c r="W13" i="302"/>
  <c r="T13" i="302"/>
  <c r="P13" i="302"/>
  <c r="M13" i="302"/>
  <c r="J13" i="302"/>
  <c r="W12" i="302"/>
  <c r="T12" i="302"/>
  <c r="P12" i="302"/>
  <c r="M12" i="302"/>
  <c r="J12" i="302"/>
  <c r="W10" i="302"/>
  <c r="T10" i="302"/>
  <c r="P10" i="302"/>
  <c r="M10" i="302"/>
  <c r="J10" i="302"/>
  <c r="R16" i="301"/>
  <c r="S82" i="301"/>
  <c r="N82" i="301"/>
  <c r="M82" i="301"/>
  <c r="H82" i="301"/>
  <c r="S81" i="301"/>
  <c r="N81" i="301"/>
  <c r="M81" i="301"/>
  <c r="H81" i="301"/>
  <c r="S80" i="301"/>
  <c r="N80" i="301"/>
  <c r="M80" i="301"/>
  <c r="H80" i="301"/>
  <c r="S79" i="301"/>
  <c r="N79" i="301"/>
  <c r="M79" i="301"/>
  <c r="H79" i="301"/>
  <c r="U78" i="301"/>
  <c r="V78" i="301" s="1"/>
  <c r="Q78" i="301"/>
  <c r="P78" i="301"/>
  <c r="O78" i="301"/>
  <c r="S77" i="301"/>
  <c r="N77" i="301"/>
  <c r="M77" i="301"/>
  <c r="H77" i="301"/>
  <c r="S76" i="301"/>
  <c r="N76" i="301"/>
  <c r="M76" i="301"/>
  <c r="H76" i="301"/>
  <c r="S75" i="301"/>
  <c r="N75" i="301"/>
  <c r="M75" i="301"/>
  <c r="H75" i="301"/>
  <c r="S73" i="301"/>
  <c r="N73" i="301"/>
  <c r="M73" i="301"/>
  <c r="H73" i="301"/>
  <c r="S72" i="301"/>
  <c r="N72" i="301"/>
  <c r="M72" i="301"/>
  <c r="H72" i="301"/>
  <c r="S71" i="301"/>
  <c r="N71" i="301"/>
  <c r="M71" i="301"/>
  <c r="H71" i="301"/>
  <c r="S70" i="301"/>
  <c r="N70" i="301"/>
  <c r="M70" i="301"/>
  <c r="H70" i="301"/>
  <c r="Q69" i="301"/>
  <c r="P69" i="301"/>
  <c r="O69" i="301"/>
  <c r="S68" i="301"/>
  <c r="N68" i="301"/>
  <c r="M68" i="301"/>
  <c r="H68" i="301"/>
  <c r="S66" i="301"/>
  <c r="N66" i="301"/>
  <c r="M66" i="301"/>
  <c r="H66" i="301"/>
  <c r="U65" i="301"/>
  <c r="V65" i="301" s="1"/>
  <c r="Q65" i="301"/>
  <c r="P65" i="301"/>
  <c r="O65" i="301"/>
  <c r="N65" i="301"/>
  <c r="M65" i="301"/>
  <c r="H65" i="301"/>
  <c r="S64" i="301"/>
  <c r="N64" i="301"/>
  <c r="M64" i="301"/>
  <c r="H64" i="301"/>
  <c r="U63" i="301"/>
  <c r="V63" i="301" s="1"/>
  <c r="S63" i="301"/>
  <c r="N63" i="301"/>
  <c r="M63" i="301"/>
  <c r="H63" i="301"/>
  <c r="U62" i="301"/>
  <c r="V62" i="301" s="1"/>
  <c r="S62" i="301"/>
  <c r="N62" i="301"/>
  <c r="M62" i="301"/>
  <c r="H62" i="301"/>
  <c r="U61" i="301"/>
  <c r="V61" i="301" s="1"/>
  <c r="S61" i="301"/>
  <c r="N61" i="301"/>
  <c r="M61" i="301"/>
  <c r="H61" i="301"/>
  <c r="U60" i="301"/>
  <c r="V60" i="301" s="1"/>
  <c r="S60" i="301"/>
  <c r="N60" i="301"/>
  <c r="M60" i="301"/>
  <c r="H60" i="301"/>
  <c r="S59" i="301"/>
  <c r="N59" i="301"/>
  <c r="M59" i="301"/>
  <c r="H59" i="301"/>
  <c r="U58" i="301"/>
  <c r="V58" i="301" s="1"/>
  <c r="Q58" i="301"/>
  <c r="P58" i="301"/>
  <c r="O58" i="301"/>
  <c r="N58" i="301"/>
  <c r="M58" i="301"/>
  <c r="H58" i="301"/>
  <c r="U57" i="301"/>
  <c r="V57" i="301" s="1"/>
  <c r="P57" i="301"/>
  <c r="S57" i="301" s="1"/>
  <c r="N57" i="301"/>
  <c r="M57" i="301"/>
  <c r="H57" i="301"/>
  <c r="U56" i="301"/>
  <c r="V56" i="301" s="1"/>
  <c r="P56" i="301"/>
  <c r="S56" i="301" s="1"/>
  <c r="N56" i="301"/>
  <c r="M56" i="301"/>
  <c r="H56" i="301"/>
  <c r="U55" i="301"/>
  <c r="V55" i="301" s="1"/>
  <c r="P55" i="301"/>
  <c r="S55" i="301" s="1"/>
  <c r="N55" i="301"/>
  <c r="M55" i="301"/>
  <c r="H55" i="301"/>
  <c r="U54" i="301"/>
  <c r="V54" i="301" s="1"/>
  <c r="P54" i="301"/>
  <c r="S54" i="301" s="1"/>
  <c r="N54" i="301"/>
  <c r="M54" i="301"/>
  <c r="H54" i="301"/>
  <c r="U53" i="301"/>
  <c r="V53" i="301" s="1"/>
  <c r="P53" i="301"/>
  <c r="S53" i="301" s="1"/>
  <c r="N53" i="301"/>
  <c r="M53" i="301"/>
  <c r="H53" i="301"/>
  <c r="U52" i="301"/>
  <c r="V52" i="301" s="1"/>
  <c r="P52" i="301"/>
  <c r="S52" i="301" s="1"/>
  <c r="N52" i="301"/>
  <c r="M52" i="301"/>
  <c r="H52" i="301"/>
  <c r="U51" i="301"/>
  <c r="V51" i="301" s="1"/>
  <c r="P51" i="301"/>
  <c r="S51" i="301" s="1"/>
  <c r="N51" i="301"/>
  <c r="M51" i="301"/>
  <c r="H51" i="301"/>
  <c r="U50" i="301"/>
  <c r="V50" i="301" s="1"/>
  <c r="P50" i="301"/>
  <c r="S50" i="301" s="1"/>
  <c r="N50" i="301"/>
  <c r="M50" i="301"/>
  <c r="H50" i="301"/>
  <c r="U49" i="301"/>
  <c r="V49" i="301" s="1"/>
  <c r="P49" i="301"/>
  <c r="S49" i="301" s="1"/>
  <c r="N49" i="301"/>
  <c r="M49" i="301"/>
  <c r="H49" i="301"/>
  <c r="U48" i="301"/>
  <c r="V48" i="301" s="1"/>
  <c r="P48" i="301"/>
  <c r="S48" i="301" s="1"/>
  <c r="N48" i="301"/>
  <c r="M48" i="301"/>
  <c r="H48" i="301"/>
  <c r="U47" i="301"/>
  <c r="V47" i="301" s="1"/>
  <c r="P47" i="301"/>
  <c r="S47" i="301" s="1"/>
  <c r="N47" i="301"/>
  <c r="M47" i="301"/>
  <c r="H47" i="301"/>
  <c r="U46" i="301"/>
  <c r="V46" i="301" s="1"/>
  <c r="P46" i="301"/>
  <c r="S46" i="301" s="1"/>
  <c r="N46" i="301"/>
  <c r="M46" i="301"/>
  <c r="H46" i="301"/>
  <c r="U45" i="301"/>
  <c r="V45" i="301" s="1"/>
  <c r="P45" i="301"/>
  <c r="S45" i="301" s="1"/>
  <c r="N45" i="301"/>
  <c r="M45" i="301"/>
  <c r="H45" i="301"/>
  <c r="U44" i="301"/>
  <c r="V44" i="301" s="1"/>
  <c r="P44" i="301"/>
  <c r="S44" i="301" s="1"/>
  <c r="N44" i="301"/>
  <c r="M44" i="301"/>
  <c r="H44" i="301"/>
  <c r="U43" i="301"/>
  <c r="V43" i="301" s="1"/>
  <c r="P43" i="301"/>
  <c r="S43" i="301" s="1"/>
  <c r="N43" i="301"/>
  <c r="M43" i="301"/>
  <c r="H43" i="301"/>
  <c r="U42" i="301"/>
  <c r="V42" i="301" s="1"/>
  <c r="P42" i="301"/>
  <c r="S42" i="301" s="1"/>
  <c r="N42" i="301"/>
  <c r="M42" i="301"/>
  <c r="H42" i="301"/>
  <c r="U41" i="301"/>
  <c r="V41" i="301" s="1"/>
  <c r="P41" i="301"/>
  <c r="S41" i="301" s="1"/>
  <c r="N41" i="301"/>
  <c r="M41" i="301"/>
  <c r="H41" i="301"/>
  <c r="U40" i="301"/>
  <c r="V40" i="301" s="1"/>
  <c r="P40" i="301"/>
  <c r="S40" i="301" s="1"/>
  <c r="N40" i="301"/>
  <c r="M40" i="301"/>
  <c r="H40" i="301"/>
  <c r="U39" i="301"/>
  <c r="V39" i="301" s="1"/>
  <c r="P39" i="301"/>
  <c r="S39" i="301" s="1"/>
  <c r="N39" i="301"/>
  <c r="M39" i="301"/>
  <c r="H39" i="301"/>
  <c r="U38" i="301"/>
  <c r="V38" i="301" s="1"/>
  <c r="P38" i="301"/>
  <c r="S38" i="301" s="1"/>
  <c r="N38" i="301"/>
  <c r="M38" i="301"/>
  <c r="H38" i="301"/>
  <c r="U37" i="301"/>
  <c r="V37" i="301" s="1"/>
  <c r="P37" i="301"/>
  <c r="S37" i="301" s="1"/>
  <c r="N37" i="301"/>
  <c r="M37" i="301"/>
  <c r="H37" i="301"/>
  <c r="U36" i="301"/>
  <c r="V36" i="301" s="1"/>
  <c r="P36" i="301"/>
  <c r="S36" i="301" s="1"/>
  <c r="N36" i="301"/>
  <c r="M36" i="301"/>
  <c r="H36" i="301"/>
  <c r="U35" i="301"/>
  <c r="V35" i="301" s="1"/>
  <c r="P35" i="301"/>
  <c r="S35" i="301" s="1"/>
  <c r="N35" i="301"/>
  <c r="M35" i="301"/>
  <c r="H35" i="301"/>
  <c r="U34" i="301"/>
  <c r="V34" i="301" s="1"/>
  <c r="P34" i="301"/>
  <c r="S34" i="301" s="1"/>
  <c r="N34" i="301"/>
  <c r="M34" i="301"/>
  <c r="H34" i="301"/>
  <c r="U33" i="301"/>
  <c r="V33" i="301" s="1"/>
  <c r="P33" i="301"/>
  <c r="S33" i="301" s="1"/>
  <c r="N33" i="301"/>
  <c r="M33" i="301"/>
  <c r="H33" i="301"/>
  <c r="U32" i="301"/>
  <c r="V32" i="301" s="1"/>
  <c r="P32" i="301"/>
  <c r="S32" i="301" s="1"/>
  <c r="N32" i="301"/>
  <c r="M32" i="301"/>
  <c r="H32" i="301"/>
  <c r="U31" i="301"/>
  <c r="V31" i="301" s="1"/>
  <c r="P31" i="301"/>
  <c r="S31" i="301" s="1"/>
  <c r="N31" i="301"/>
  <c r="M31" i="301"/>
  <c r="H31" i="301"/>
  <c r="U30" i="301"/>
  <c r="V30" i="301" s="1"/>
  <c r="P30" i="301"/>
  <c r="S30" i="301" s="1"/>
  <c r="N30" i="301"/>
  <c r="M30" i="301"/>
  <c r="H30" i="301"/>
  <c r="U29" i="301"/>
  <c r="V29" i="301" s="1"/>
  <c r="P29" i="301"/>
  <c r="S29" i="301" s="1"/>
  <c r="N29" i="301"/>
  <c r="M29" i="301"/>
  <c r="H29" i="301"/>
  <c r="U28" i="301"/>
  <c r="V28" i="301" s="1"/>
  <c r="P28" i="301"/>
  <c r="S28" i="301" s="1"/>
  <c r="N28" i="301"/>
  <c r="M28" i="301"/>
  <c r="H28" i="301"/>
  <c r="U27" i="301"/>
  <c r="V27" i="301" s="1"/>
  <c r="P27" i="301"/>
  <c r="S27" i="301" s="1"/>
  <c r="N27" i="301"/>
  <c r="M27" i="301"/>
  <c r="H27" i="301"/>
  <c r="U26" i="301"/>
  <c r="V26" i="301" s="1"/>
  <c r="P26" i="301"/>
  <c r="S26" i="301" s="1"/>
  <c r="N26" i="301"/>
  <c r="M26" i="301"/>
  <c r="H26" i="301"/>
  <c r="U25" i="301"/>
  <c r="V25" i="301" s="1"/>
  <c r="P25" i="301"/>
  <c r="S25" i="301" s="1"/>
  <c r="N25" i="301"/>
  <c r="M25" i="301"/>
  <c r="H25" i="301"/>
  <c r="U24" i="301"/>
  <c r="V24" i="301" s="1"/>
  <c r="P24" i="301"/>
  <c r="S24" i="301" s="1"/>
  <c r="N24" i="301"/>
  <c r="M24" i="301"/>
  <c r="H24" i="301"/>
  <c r="U23" i="301"/>
  <c r="V23" i="301" s="1"/>
  <c r="P23" i="301"/>
  <c r="S23" i="301" s="1"/>
  <c r="N23" i="301"/>
  <c r="M23" i="301"/>
  <c r="H23" i="301"/>
  <c r="U22" i="301"/>
  <c r="V22" i="301" s="1"/>
  <c r="P22" i="301"/>
  <c r="S22" i="301" s="1"/>
  <c r="N22" i="301"/>
  <c r="M22" i="301"/>
  <c r="H22" i="301"/>
  <c r="U21" i="301"/>
  <c r="V21" i="301" s="1"/>
  <c r="P21" i="301"/>
  <c r="S21" i="301" s="1"/>
  <c r="N21" i="301"/>
  <c r="M21" i="301"/>
  <c r="H21" i="301"/>
  <c r="U20" i="301"/>
  <c r="V20" i="301" s="1"/>
  <c r="P20" i="301"/>
  <c r="S20" i="301" s="1"/>
  <c r="N20" i="301"/>
  <c r="M20" i="301"/>
  <c r="H20" i="301"/>
  <c r="S19" i="301"/>
  <c r="N19" i="301"/>
  <c r="M19" i="301"/>
  <c r="H19" i="301"/>
  <c r="S18" i="301"/>
  <c r="N18" i="301"/>
  <c r="M18" i="301"/>
  <c r="H18" i="301"/>
  <c r="P17" i="301"/>
  <c r="S17" i="301" s="1"/>
  <c r="N17" i="301"/>
  <c r="M17" i="301"/>
  <c r="H17" i="301"/>
  <c r="U16" i="301"/>
  <c r="Q16" i="301"/>
  <c r="P16" i="301"/>
  <c r="O16" i="301"/>
  <c r="N16" i="301"/>
  <c r="M16" i="301"/>
  <c r="H16" i="301"/>
  <c r="S15" i="301"/>
  <c r="N15" i="301"/>
  <c r="M15" i="301"/>
  <c r="H15" i="301"/>
  <c r="S14" i="301"/>
  <c r="N14" i="301"/>
  <c r="M14" i="301"/>
  <c r="H14" i="301"/>
  <c r="S13" i="301"/>
  <c r="N13" i="301"/>
  <c r="M13" i="301"/>
  <c r="H13" i="301"/>
  <c r="S12" i="301"/>
  <c r="N12" i="301"/>
  <c r="M12" i="301"/>
  <c r="H12" i="301"/>
  <c r="S11" i="301"/>
  <c r="N11" i="301"/>
  <c r="M11" i="301"/>
  <c r="H11" i="301"/>
  <c r="S10" i="301"/>
  <c r="N10" i="301"/>
  <c r="M10" i="301"/>
  <c r="H10" i="301"/>
  <c r="S9" i="301"/>
  <c r="N9" i="301"/>
  <c r="M9" i="301"/>
  <c r="H9" i="301"/>
  <c r="C15" i="151" l="1"/>
  <c r="S12" i="303"/>
  <c r="U12" i="303" s="1"/>
  <c r="U37" i="303" s="1"/>
  <c r="Y37" i="303" s="1"/>
  <c r="U20" i="303"/>
  <c r="U11" i="303"/>
  <c r="U16" i="303"/>
  <c r="P55" i="305"/>
  <c r="C18" i="151"/>
  <c r="P83" i="301"/>
  <c r="P37" i="302"/>
  <c r="C16" i="151" s="1"/>
  <c r="M37" i="302"/>
  <c r="M40" i="302" s="1"/>
  <c r="J37" i="302"/>
  <c r="J40" i="302" s="1"/>
  <c r="W37" i="302"/>
  <c r="E16" i="151" s="1"/>
  <c r="G37" i="302"/>
  <c r="G40" i="302" s="1"/>
  <c r="T37" i="302"/>
  <c r="D16" i="151" s="1"/>
  <c r="U10" i="303"/>
  <c r="U19" i="303"/>
  <c r="W55" i="305"/>
  <c r="E18" i="151"/>
  <c r="Q83" i="301"/>
  <c r="U18" i="303"/>
  <c r="U17" i="303"/>
  <c r="T55" i="305"/>
  <c r="D18" i="151"/>
  <c r="T9" i="303"/>
  <c r="S36" i="303"/>
  <c r="U9" i="303"/>
  <c r="U36" i="303" s="1"/>
  <c r="S37" i="303"/>
  <c r="W37" i="303" s="1"/>
  <c r="T12" i="303"/>
  <c r="T37" i="303" s="1"/>
  <c r="X37" i="303" s="1"/>
  <c r="T15" i="303"/>
  <c r="U15" i="303"/>
  <c r="R9" i="303"/>
  <c r="R15" i="303"/>
  <c r="M23" i="303"/>
  <c r="S23" i="303" s="1"/>
  <c r="T24" i="303"/>
  <c r="T25" i="303"/>
  <c r="T13" i="303"/>
  <c r="T14" i="303"/>
  <c r="T21" i="303"/>
  <c r="T22" i="303"/>
  <c r="P40" i="302"/>
  <c r="U46" i="302"/>
  <c r="T40" i="302"/>
  <c r="S65" i="301"/>
  <c r="S69" i="301"/>
  <c r="O83" i="301"/>
  <c r="U69" i="301"/>
  <c r="V69" i="301" s="1"/>
  <c r="V16" i="301"/>
  <c r="R83" i="301"/>
  <c r="C13" i="151" s="1"/>
  <c r="S16" i="301"/>
  <c r="S58" i="301"/>
  <c r="S78" i="301"/>
  <c r="U48" i="302" l="1"/>
  <c r="U47" i="302"/>
  <c r="W40" i="302"/>
  <c r="Y36" i="303"/>
  <c r="W36" i="303"/>
  <c r="R23" i="303"/>
  <c r="T36" i="303"/>
  <c r="U83" i="301"/>
  <c r="V83" i="301"/>
  <c r="S83" i="301"/>
  <c r="R90" i="301"/>
  <c r="V90" i="301" l="1"/>
  <c r="E13" i="151"/>
  <c r="U90" i="301"/>
  <c r="D13" i="151"/>
  <c r="X36" i="303"/>
  <c r="U23" i="303"/>
  <c r="U38" i="303" s="1"/>
  <c r="T23" i="303"/>
  <c r="T38" i="303" s="1"/>
  <c r="X38" i="303" s="1"/>
  <c r="S38" i="303"/>
  <c r="S26" i="303"/>
  <c r="Z60" i="300"/>
  <c r="Y57" i="300"/>
  <c r="X57" i="300"/>
  <c r="W57" i="300"/>
  <c r="V57" i="300"/>
  <c r="U57" i="300"/>
  <c r="R57" i="300"/>
  <c r="Q57" i="300"/>
  <c r="P57" i="300"/>
  <c r="O57" i="300"/>
  <c r="N57" i="300"/>
  <c r="M57" i="300"/>
  <c r="L57" i="300"/>
  <c r="K57" i="300"/>
  <c r="J57" i="300"/>
  <c r="I57" i="300"/>
  <c r="H57" i="300"/>
  <c r="G57" i="300"/>
  <c r="F57" i="300"/>
  <c r="Y56" i="300"/>
  <c r="X56" i="300"/>
  <c r="W56" i="300"/>
  <c r="V56" i="300"/>
  <c r="U56" i="300"/>
  <c r="R56" i="300"/>
  <c r="Q56" i="300"/>
  <c r="P56" i="300"/>
  <c r="O56" i="300"/>
  <c r="N56" i="300"/>
  <c r="M56" i="300"/>
  <c r="L56" i="300"/>
  <c r="K56" i="300"/>
  <c r="J56" i="300"/>
  <c r="I56" i="300"/>
  <c r="H56" i="300"/>
  <c r="G56" i="300"/>
  <c r="F56" i="300"/>
  <c r="Y55" i="300"/>
  <c r="X55" i="300"/>
  <c r="W55" i="300"/>
  <c r="V55" i="300"/>
  <c r="U55" i="300"/>
  <c r="R55" i="300"/>
  <c r="Q55" i="300"/>
  <c r="P55" i="300"/>
  <c r="O55" i="300"/>
  <c r="N55" i="300"/>
  <c r="M55" i="300"/>
  <c r="L55" i="300"/>
  <c r="K55" i="300"/>
  <c r="J55" i="300"/>
  <c r="I55" i="300"/>
  <c r="H55" i="300"/>
  <c r="G55" i="300"/>
  <c r="F55" i="300"/>
  <c r="Y54" i="300"/>
  <c r="X54" i="300"/>
  <c r="W54" i="300"/>
  <c r="V54" i="300"/>
  <c r="U54" i="300"/>
  <c r="R54" i="300"/>
  <c r="Q54" i="300"/>
  <c r="P54" i="300"/>
  <c r="O54" i="300"/>
  <c r="N54" i="300"/>
  <c r="M54" i="300"/>
  <c r="L54" i="300"/>
  <c r="K54" i="300"/>
  <c r="J54" i="300"/>
  <c r="I54" i="300"/>
  <c r="H54" i="300"/>
  <c r="G54" i="300"/>
  <c r="F54" i="300"/>
  <c r="W53" i="300"/>
  <c r="V53" i="300"/>
  <c r="Q53" i="300"/>
  <c r="P53" i="300"/>
  <c r="Y52" i="300"/>
  <c r="X52" i="300"/>
  <c r="W52" i="300"/>
  <c r="V52" i="300"/>
  <c r="U52" i="300"/>
  <c r="R52" i="300"/>
  <c r="Q52" i="300"/>
  <c r="P52" i="300"/>
  <c r="O52" i="300"/>
  <c r="N52" i="300"/>
  <c r="M52" i="300"/>
  <c r="L52" i="300"/>
  <c r="K52" i="300"/>
  <c r="J52" i="300"/>
  <c r="I52" i="300"/>
  <c r="H52" i="300"/>
  <c r="G52" i="300"/>
  <c r="F52" i="300"/>
  <c r="W51" i="300"/>
  <c r="V51" i="300"/>
  <c r="Q51" i="300"/>
  <c r="P51" i="300"/>
  <c r="W50" i="300"/>
  <c r="V50" i="300"/>
  <c r="Q50" i="300"/>
  <c r="P50" i="300"/>
  <c r="Y49" i="300"/>
  <c r="X49" i="300"/>
  <c r="W49" i="300"/>
  <c r="V49" i="300"/>
  <c r="U49" i="300"/>
  <c r="R49" i="300"/>
  <c r="Q49" i="300"/>
  <c r="P49" i="300"/>
  <c r="O49" i="300"/>
  <c r="N49" i="300"/>
  <c r="M49" i="300"/>
  <c r="L49" i="300"/>
  <c r="K49" i="300"/>
  <c r="J49" i="300"/>
  <c r="I49" i="300"/>
  <c r="H49" i="300"/>
  <c r="G49" i="300"/>
  <c r="F49" i="300"/>
  <c r="Y48" i="300"/>
  <c r="X48" i="300"/>
  <c r="W48" i="300"/>
  <c r="V48" i="300"/>
  <c r="Q48" i="300"/>
  <c r="P48" i="300"/>
  <c r="W47" i="300"/>
  <c r="V47" i="300"/>
  <c r="U47" i="300"/>
  <c r="Q47" i="300"/>
  <c r="P47" i="300"/>
  <c r="O47" i="300"/>
  <c r="N47" i="300"/>
  <c r="M47" i="300"/>
  <c r="L47" i="300"/>
  <c r="K47" i="300"/>
  <c r="J47" i="300"/>
  <c r="I47" i="300"/>
  <c r="H47" i="300"/>
  <c r="G47" i="300"/>
  <c r="F47" i="300"/>
  <c r="Y46" i="300"/>
  <c r="X46" i="300"/>
  <c r="W46" i="300"/>
  <c r="V46" i="300"/>
  <c r="U46" i="300"/>
  <c r="R46" i="300"/>
  <c r="Q46" i="300"/>
  <c r="P46" i="300"/>
  <c r="O46" i="300"/>
  <c r="N46" i="300"/>
  <c r="M46" i="300"/>
  <c r="L46" i="300"/>
  <c r="K46" i="300"/>
  <c r="J46" i="300"/>
  <c r="I46" i="300"/>
  <c r="H46" i="300"/>
  <c r="G46" i="300"/>
  <c r="F46" i="300"/>
  <c r="Y45" i="300"/>
  <c r="X45" i="300"/>
  <c r="W45" i="300"/>
  <c r="V45" i="300"/>
  <c r="U45" i="300"/>
  <c r="R45" i="300"/>
  <c r="Q45" i="300"/>
  <c r="P45" i="300"/>
  <c r="O45" i="300"/>
  <c r="N45" i="300"/>
  <c r="M45" i="300"/>
  <c r="L45" i="300"/>
  <c r="K45" i="300"/>
  <c r="J45" i="300"/>
  <c r="I45" i="300"/>
  <c r="H45" i="300"/>
  <c r="G45" i="300"/>
  <c r="F45" i="300"/>
  <c r="Y44" i="300"/>
  <c r="X44" i="300"/>
  <c r="W44" i="300"/>
  <c r="V44" i="300"/>
  <c r="U44" i="300"/>
  <c r="R44" i="300"/>
  <c r="Q44" i="300"/>
  <c r="P44" i="300"/>
  <c r="O44" i="300"/>
  <c r="N44" i="300"/>
  <c r="M44" i="300"/>
  <c r="L44" i="300"/>
  <c r="K44" i="300"/>
  <c r="J44" i="300"/>
  <c r="I44" i="300"/>
  <c r="H44" i="300"/>
  <c r="G44" i="300"/>
  <c r="F44" i="300"/>
  <c r="Y43" i="300"/>
  <c r="X43" i="300"/>
  <c r="W43" i="300"/>
  <c r="V43" i="300"/>
  <c r="U43" i="300"/>
  <c r="R43" i="300"/>
  <c r="Q43" i="300"/>
  <c r="P43" i="300"/>
  <c r="O43" i="300"/>
  <c r="N43" i="300"/>
  <c r="M43" i="300"/>
  <c r="L43" i="300"/>
  <c r="K43" i="300"/>
  <c r="J43" i="300"/>
  <c r="I43" i="300"/>
  <c r="H43" i="300"/>
  <c r="G43" i="300"/>
  <c r="F43" i="300"/>
  <c r="Y42" i="300"/>
  <c r="X42" i="300"/>
  <c r="W42" i="300"/>
  <c r="V42" i="300"/>
  <c r="U42" i="300"/>
  <c r="R42" i="300"/>
  <c r="Q42" i="300"/>
  <c r="P42" i="300"/>
  <c r="O42" i="300"/>
  <c r="N42" i="300"/>
  <c r="M42" i="300"/>
  <c r="L42" i="300"/>
  <c r="K42" i="300"/>
  <c r="J42" i="300"/>
  <c r="I42" i="300"/>
  <c r="H42" i="300"/>
  <c r="G42" i="300"/>
  <c r="F42" i="300"/>
  <c r="Y41" i="300"/>
  <c r="X41" i="300"/>
  <c r="W41" i="300"/>
  <c r="V41" i="300"/>
  <c r="U41" i="300"/>
  <c r="R41" i="300"/>
  <c r="Q41" i="300"/>
  <c r="P41" i="300"/>
  <c r="O41" i="300"/>
  <c r="N41" i="300"/>
  <c r="M41" i="300"/>
  <c r="L41" i="300"/>
  <c r="K41" i="300"/>
  <c r="J41" i="300"/>
  <c r="I41" i="300"/>
  <c r="H41" i="300"/>
  <c r="G41" i="300"/>
  <c r="F41" i="300"/>
  <c r="W40" i="300"/>
  <c r="V40" i="300"/>
  <c r="Q40" i="300"/>
  <c r="P40" i="300"/>
  <c r="Y39" i="300"/>
  <c r="Y58" i="300" s="1"/>
  <c r="Y59" i="300" s="1"/>
  <c r="X39" i="300"/>
  <c r="X58" i="300" s="1"/>
  <c r="X59" i="300" s="1"/>
  <c r="W39" i="300"/>
  <c r="W58" i="300" s="1"/>
  <c r="W59" i="300" s="1"/>
  <c r="V39" i="300"/>
  <c r="V58" i="300" s="1"/>
  <c r="V59" i="300" s="1"/>
  <c r="U39" i="300"/>
  <c r="U58" i="300" s="1"/>
  <c r="U59" i="300" s="1"/>
  <c r="R39" i="300"/>
  <c r="R58" i="300" s="1"/>
  <c r="R59" i="300" s="1"/>
  <c r="Q39" i="300"/>
  <c r="Q58" i="300" s="1"/>
  <c r="Q59" i="300" s="1"/>
  <c r="P39" i="300"/>
  <c r="P58" i="300" s="1"/>
  <c r="P59" i="300" s="1"/>
  <c r="O39" i="300"/>
  <c r="O58" i="300" s="1"/>
  <c r="O59" i="300" s="1"/>
  <c r="N39" i="300"/>
  <c r="N58" i="300" s="1"/>
  <c r="N59" i="300" s="1"/>
  <c r="M39" i="300"/>
  <c r="M58" i="300" s="1"/>
  <c r="M59" i="300" s="1"/>
  <c r="L39" i="300"/>
  <c r="L58" i="300" s="1"/>
  <c r="L59" i="300" s="1"/>
  <c r="K39" i="300"/>
  <c r="K58" i="300" s="1"/>
  <c r="K59" i="300" s="1"/>
  <c r="J39" i="300"/>
  <c r="J58" i="300" s="1"/>
  <c r="J59" i="300" s="1"/>
  <c r="I39" i="300"/>
  <c r="I58" i="300" s="1"/>
  <c r="I59" i="300" s="1"/>
  <c r="H39" i="300"/>
  <c r="H58" i="300" s="1"/>
  <c r="H59" i="300" s="1"/>
  <c r="G39" i="300"/>
  <c r="G58" i="300" s="1"/>
  <c r="G59" i="300" s="1"/>
  <c r="F39" i="300"/>
  <c r="F58" i="300" s="1"/>
  <c r="F59" i="300" s="1"/>
  <c r="F60" i="300" s="1"/>
  <c r="T37" i="300"/>
  <c r="M37" i="300"/>
  <c r="M53" i="300" s="1"/>
  <c r="L37" i="300"/>
  <c r="L53" i="300" s="1"/>
  <c r="I37" i="300"/>
  <c r="I53" i="300" s="1"/>
  <c r="H37" i="300"/>
  <c r="H53" i="300" s="1"/>
  <c r="G37" i="300"/>
  <c r="G53" i="300" s="1"/>
  <c r="Y36" i="300"/>
  <c r="E11" i="147" s="1"/>
  <c r="X36" i="300"/>
  <c r="D11" i="147" s="1"/>
  <c r="U36" i="300"/>
  <c r="U51" i="300" s="1"/>
  <c r="T36" i="300"/>
  <c r="O36" i="300"/>
  <c r="O51" i="300" s="1"/>
  <c r="N36" i="300"/>
  <c r="N51" i="300" s="1"/>
  <c r="M36" i="300"/>
  <c r="M51" i="300" s="1"/>
  <c r="L36" i="300"/>
  <c r="L51" i="300" s="1"/>
  <c r="K36" i="300"/>
  <c r="K51" i="300" s="1"/>
  <c r="J36" i="300"/>
  <c r="J51" i="300" s="1"/>
  <c r="I36" i="300"/>
  <c r="I51" i="300" s="1"/>
  <c r="H36" i="300"/>
  <c r="H51" i="300" s="1"/>
  <c r="G36" i="300"/>
  <c r="G51" i="300" s="1"/>
  <c r="F36" i="300"/>
  <c r="F51" i="300" s="1"/>
  <c r="Y35" i="300"/>
  <c r="Y50" i="300" s="1"/>
  <c r="X35" i="300"/>
  <c r="X50" i="300" s="1"/>
  <c r="T35" i="300"/>
  <c r="M35" i="300"/>
  <c r="L35" i="300"/>
  <c r="I35" i="300"/>
  <c r="I50" i="300" s="1"/>
  <c r="H35" i="300"/>
  <c r="G35" i="300"/>
  <c r="G50" i="300" s="1"/>
  <c r="Y34" i="300"/>
  <c r="Y47" i="300" s="1"/>
  <c r="X34" i="300"/>
  <c r="X47" i="300" s="1"/>
  <c r="U34" i="300"/>
  <c r="U48" i="300" s="1"/>
  <c r="T34" i="300"/>
  <c r="O34" i="300"/>
  <c r="O48" i="300" s="1"/>
  <c r="N34" i="300"/>
  <c r="N48" i="300" s="1"/>
  <c r="M34" i="300"/>
  <c r="M48" i="300" s="1"/>
  <c r="L34" i="300"/>
  <c r="L48" i="300" s="1"/>
  <c r="K34" i="300"/>
  <c r="K48" i="300" s="1"/>
  <c r="J34" i="300"/>
  <c r="J48" i="300" s="1"/>
  <c r="I34" i="300"/>
  <c r="I48" i="300" s="1"/>
  <c r="H34" i="300"/>
  <c r="H48" i="300" s="1"/>
  <c r="G34" i="300"/>
  <c r="G48" i="300" s="1"/>
  <c r="F34" i="300"/>
  <c r="F48" i="300" s="1"/>
  <c r="Y33" i="300"/>
  <c r="Y40" i="300" s="1"/>
  <c r="X33" i="300"/>
  <c r="X40" i="300" s="1"/>
  <c r="U33" i="300"/>
  <c r="U40" i="300" s="1"/>
  <c r="T33" i="300"/>
  <c r="R33" i="300"/>
  <c r="R40" i="300" s="1"/>
  <c r="O33" i="300"/>
  <c r="N33" i="300"/>
  <c r="N40" i="300" s="1"/>
  <c r="M33" i="300"/>
  <c r="M40" i="300" s="1"/>
  <c r="L33" i="300"/>
  <c r="L40" i="300" s="1"/>
  <c r="K33" i="300"/>
  <c r="K40" i="300" s="1"/>
  <c r="J33" i="300"/>
  <c r="J40" i="300" s="1"/>
  <c r="I33" i="300"/>
  <c r="I40" i="300" s="1"/>
  <c r="H33" i="300"/>
  <c r="H40" i="300" s="1"/>
  <c r="G33" i="300"/>
  <c r="G40" i="300" s="1"/>
  <c r="R27" i="300"/>
  <c r="R26" i="300"/>
  <c r="W26" i="300" s="1"/>
  <c r="Y25" i="300"/>
  <c r="X25" i="300"/>
  <c r="N25" i="300"/>
  <c r="J25" i="300"/>
  <c r="R24" i="300"/>
  <c r="W24" i="300" s="1"/>
  <c r="W23" i="300"/>
  <c r="V23" i="300"/>
  <c r="S23" i="300"/>
  <c r="S33" i="300" s="1"/>
  <c r="F23" i="300"/>
  <c r="F33" i="300" s="1"/>
  <c r="R22" i="300"/>
  <c r="R21" i="300"/>
  <c r="W21" i="300" s="1"/>
  <c r="R20" i="300"/>
  <c r="U19" i="300"/>
  <c r="U18" i="300" s="1"/>
  <c r="U37" i="300" s="1"/>
  <c r="U53" i="300" s="1"/>
  <c r="S19" i="300"/>
  <c r="N19" i="300"/>
  <c r="N18" i="300" s="1"/>
  <c r="J19" i="300"/>
  <c r="V19" i="300" s="1"/>
  <c r="F19" i="300"/>
  <c r="F18" i="300" s="1"/>
  <c r="F37" i="300" s="1"/>
  <c r="F53" i="300" s="1"/>
  <c r="Y18" i="300"/>
  <c r="Y13" i="300" s="1"/>
  <c r="X18" i="300"/>
  <c r="X37" i="300" s="1"/>
  <c r="X53" i="300" s="1"/>
  <c r="O18" i="300"/>
  <c r="O37" i="300" s="1"/>
  <c r="O53" i="300" s="1"/>
  <c r="K18" i="300"/>
  <c r="K37" i="300" s="1"/>
  <c r="K53" i="300" s="1"/>
  <c r="W17" i="300"/>
  <c r="V17" i="300"/>
  <c r="U17" i="300"/>
  <c r="S17" i="300"/>
  <c r="U16" i="300"/>
  <c r="S16" i="300"/>
  <c r="O16" i="300"/>
  <c r="O14" i="300" s="1"/>
  <c r="N16" i="300"/>
  <c r="K16" i="300"/>
  <c r="K14" i="300" s="1"/>
  <c r="K35" i="300" s="1"/>
  <c r="J16" i="300"/>
  <c r="V16" i="300" s="1"/>
  <c r="F16" i="300"/>
  <c r="R15" i="300"/>
  <c r="N15" i="300"/>
  <c r="J15" i="300"/>
  <c r="F15" i="300"/>
  <c r="J14" i="300"/>
  <c r="J35" i="300" s="1"/>
  <c r="J50" i="300" s="1"/>
  <c r="U14" i="300" l="1"/>
  <c r="U35" i="300" s="1"/>
  <c r="N14" i="300"/>
  <c r="N35" i="300" s="1"/>
  <c r="N50" i="300" s="1"/>
  <c r="J18" i="300"/>
  <c r="J37" i="300" s="1"/>
  <c r="J53" i="300" s="1"/>
  <c r="T32" i="300"/>
  <c r="L32" i="300"/>
  <c r="J13" i="300"/>
  <c r="M32" i="300"/>
  <c r="X51" i="300"/>
  <c r="K13" i="300"/>
  <c r="W19" i="300"/>
  <c r="Y51" i="300"/>
  <c r="Y38" i="303"/>
  <c r="U39" i="303"/>
  <c r="E14" i="151" s="1"/>
  <c r="U26" i="303"/>
  <c r="T26" i="303"/>
  <c r="W38" i="303"/>
  <c r="S39" i="303"/>
  <c r="C14" i="151" s="1"/>
  <c r="T39" i="303"/>
  <c r="D14" i="151" s="1"/>
  <c r="O35" i="300"/>
  <c r="O50" i="300" s="1"/>
  <c r="O13" i="300"/>
  <c r="L50" i="300"/>
  <c r="V20" i="300"/>
  <c r="S20" i="300"/>
  <c r="R18" i="300"/>
  <c r="S18" i="300" s="1"/>
  <c r="S37" i="300" s="1"/>
  <c r="V22" i="300"/>
  <c r="S22" i="300"/>
  <c r="V27" i="300"/>
  <c r="R34" i="300"/>
  <c r="S27" i="300"/>
  <c r="S34" i="300" s="1"/>
  <c r="O40" i="300"/>
  <c r="M50" i="300"/>
  <c r="W15" i="300"/>
  <c r="V15" i="300"/>
  <c r="W20" i="300"/>
  <c r="W22" i="300"/>
  <c r="W27" i="300"/>
  <c r="H50" i="300"/>
  <c r="H32" i="300"/>
  <c r="Y37" i="300"/>
  <c r="Y53" i="300" s="1"/>
  <c r="X13" i="300"/>
  <c r="R14" i="300"/>
  <c r="F14" i="300"/>
  <c r="S15" i="300"/>
  <c r="W16" i="300"/>
  <c r="V21" i="300"/>
  <c r="S21" i="300"/>
  <c r="R36" i="300"/>
  <c r="R51" i="300" s="1"/>
  <c r="V24" i="300"/>
  <c r="S24" i="300"/>
  <c r="V26" i="300"/>
  <c r="R25" i="300"/>
  <c r="S26" i="300"/>
  <c r="G32" i="300"/>
  <c r="X32" i="300"/>
  <c r="I32" i="300"/>
  <c r="K50" i="300"/>
  <c r="K32" i="300"/>
  <c r="N37" i="300"/>
  <c r="R37" i="300"/>
  <c r="F40" i="300"/>
  <c r="U50" i="300" l="1"/>
  <c r="U32" i="300"/>
  <c r="S36" i="300"/>
  <c r="C11" i="147" s="1"/>
  <c r="U13" i="300"/>
  <c r="J32" i="300"/>
  <c r="W18" i="300"/>
  <c r="V18" i="300"/>
  <c r="N13" i="300"/>
  <c r="O32" i="300"/>
  <c r="F35" i="300"/>
  <c r="F13" i="300"/>
  <c r="V14" i="300"/>
  <c r="R13" i="300"/>
  <c r="R35" i="300"/>
  <c r="R50" i="300" s="1"/>
  <c r="W14" i="300"/>
  <c r="S14" i="300"/>
  <c r="S35" i="300" s="1"/>
  <c r="S32" i="300" s="1"/>
  <c r="W25" i="300"/>
  <c r="S25" i="300"/>
  <c r="V25" i="300"/>
  <c r="R48" i="300"/>
  <c r="R47" i="300"/>
  <c r="Y32" i="300"/>
  <c r="N53" i="300"/>
  <c r="N32" i="300"/>
  <c r="R53" i="300"/>
  <c r="F50" i="300" l="1"/>
  <c r="F32" i="300"/>
  <c r="R32" i="300"/>
  <c r="V13" i="300"/>
  <c r="S13" i="300"/>
  <c r="W13" i="300"/>
  <c r="D35" i="299" l="1"/>
  <c r="F33" i="299"/>
  <c r="F37" i="299" s="1"/>
  <c r="R31" i="299" s="1"/>
  <c r="C33" i="299"/>
  <c r="C37" i="299" s="1"/>
  <c r="Q31" i="299" s="1"/>
  <c r="N32" i="299"/>
  <c r="P31" i="299"/>
  <c r="O31" i="299"/>
  <c r="L31" i="299"/>
  <c r="M26" i="299"/>
  <c r="M32" i="299" s="1"/>
  <c r="AE21" i="299"/>
  <c r="AB21" i="299"/>
  <c r="Y21" i="299"/>
  <c r="V21" i="299"/>
  <c r="D21" i="299"/>
  <c r="AG20" i="299"/>
  <c r="AD20" i="299"/>
  <c r="AH20" i="299" s="1"/>
  <c r="AA20" i="299"/>
  <c r="M20" i="299"/>
  <c r="E20" i="299"/>
  <c r="F20" i="299" s="1"/>
  <c r="N20" i="299" s="1"/>
  <c r="AG19" i="299"/>
  <c r="AD19" i="299"/>
  <c r="AA19" i="299"/>
  <c r="M19" i="299"/>
  <c r="E19" i="299"/>
  <c r="F19" i="299" s="1"/>
  <c r="AG18" i="299"/>
  <c r="AD18" i="299"/>
  <c r="AA18" i="299"/>
  <c r="M18" i="299"/>
  <c r="H18" i="299"/>
  <c r="H21" i="299" s="1"/>
  <c r="G18" i="299"/>
  <c r="G21" i="299" s="1"/>
  <c r="E18" i="299"/>
  <c r="F18" i="299" s="1"/>
  <c r="AG17" i="299"/>
  <c r="AD17" i="299"/>
  <c r="AA17" i="299"/>
  <c r="M17" i="299"/>
  <c r="E17" i="299"/>
  <c r="F17" i="299" s="1"/>
  <c r="N17" i="299" s="1"/>
  <c r="AG16" i="299"/>
  <c r="AD16" i="299"/>
  <c r="AA16" i="299"/>
  <c r="M16" i="299"/>
  <c r="E16" i="299"/>
  <c r="F16" i="299" s="1"/>
  <c r="AG15" i="299"/>
  <c r="AD15" i="299"/>
  <c r="AA15" i="299"/>
  <c r="M15" i="299"/>
  <c r="E15" i="299"/>
  <c r="F15" i="299" s="1"/>
  <c r="AG14" i="299"/>
  <c r="AD14" i="299"/>
  <c r="AA14" i="299"/>
  <c r="E14" i="299"/>
  <c r="F14" i="299" s="1"/>
  <c r="AG13" i="299"/>
  <c r="AD13" i="299"/>
  <c r="AA13" i="299"/>
  <c r="L13" i="299"/>
  <c r="C13" i="299"/>
  <c r="C21" i="299" s="1"/>
  <c r="AG12" i="299"/>
  <c r="AD12" i="299"/>
  <c r="AA12" i="299"/>
  <c r="L12" i="299"/>
  <c r="I12" i="299"/>
  <c r="E12" i="299"/>
  <c r="F12" i="299" s="1"/>
  <c r="AG11" i="299"/>
  <c r="AD11" i="299"/>
  <c r="AA11" i="299"/>
  <c r="L11" i="299"/>
  <c r="J11" i="299"/>
  <c r="J21" i="299" s="1"/>
  <c r="I11" i="299"/>
  <c r="E11" i="299"/>
  <c r="F11" i="299" s="1"/>
  <c r="AG10" i="299"/>
  <c r="AD10" i="299"/>
  <c r="AA10" i="299"/>
  <c r="L10" i="299"/>
  <c r="E10" i="299"/>
  <c r="F10" i="299" s="1"/>
  <c r="M10" i="299" s="1"/>
  <c r="AO9" i="299"/>
  <c r="AG9" i="299"/>
  <c r="AH9" i="299" s="1"/>
  <c r="AD9" i="299"/>
  <c r="AA9" i="299"/>
  <c r="E9" i="299"/>
  <c r="F9" i="299" s="1"/>
  <c r="M9" i="299" s="1"/>
  <c r="AO8" i="299"/>
  <c r="D35" i="298"/>
  <c r="F33" i="298"/>
  <c r="F37" i="298" s="1"/>
  <c r="R31" i="298" s="1"/>
  <c r="C33" i="298"/>
  <c r="C37" i="298" s="1"/>
  <c r="Q31" i="298" s="1"/>
  <c r="N32" i="298"/>
  <c r="P31" i="298"/>
  <c r="O31" i="298"/>
  <c r="K31" i="298"/>
  <c r="M26" i="298"/>
  <c r="M32" i="298" s="1"/>
  <c r="AE21" i="298"/>
  <c r="AB21" i="298"/>
  <c r="Y21" i="298"/>
  <c r="V21" i="298"/>
  <c r="D21" i="298"/>
  <c r="AG20" i="298"/>
  <c r="AD20" i="298"/>
  <c r="AA20" i="298"/>
  <c r="M20" i="298"/>
  <c r="E20" i="298"/>
  <c r="F20" i="298" s="1"/>
  <c r="N20" i="298" s="1"/>
  <c r="AG19" i="298"/>
  <c r="AD19" i="298"/>
  <c r="AA19" i="298"/>
  <c r="M19" i="298"/>
  <c r="E19" i="298"/>
  <c r="F19" i="298" s="1"/>
  <c r="AG18" i="298"/>
  <c r="AD18" i="298"/>
  <c r="AA18" i="298"/>
  <c r="M18" i="298"/>
  <c r="H18" i="298"/>
  <c r="H21" i="298" s="1"/>
  <c r="G18" i="298"/>
  <c r="G21" i="298" s="1"/>
  <c r="E18" i="298"/>
  <c r="F18" i="298" s="1"/>
  <c r="AG17" i="298"/>
  <c r="AD17" i="298"/>
  <c r="AA17" i="298"/>
  <c r="M17" i="298"/>
  <c r="E17" i="298"/>
  <c r="F17" i="298" s="1"/>
  <c r="AG16" i="298"/>
  <c r="AD16" i="298"/>
  <c r="AA16" i="298"/>
  <c r="M16" i="298"/>
  <c r="E16" i="298"/>
  <c r="F16" i="298" s="1"/>
  <c r="N16" i="298" s="1"/>
  <c r="P16" i="298" s="1"/>
  <c r="AG15" i="298"/>
  <c r="AD15" i="298"/>
  <c r="AA15" i="298"/>
  <c r="M15" i="298"/>
  <c r="E15" i="298"/>
  <c r="F15" i="298" s="1"/>
  <c r="AG14" i="298"/>
  <c r="AD14" i="298"/>
  <c r="AA14" i="298"/>
  <c r="AH14" i="298" s="1"/>
  <c r="AI14" i="298" s="1"/>
  <c r="E14" i="298"/>
  <c r="F14" i="298" s="1"/>
  <c r="AG13" i="298"/>
  <c r="AD13" i="298"/>
  <c r="AA13" i="298"/>
  <c r="AH13" i="298" s="1"/>
  <c r="L13" i="298"/>
  <c r="C13" i="298"/>
  <c r="D33" i="298" s="1"/>
  <c r="AG12" i="298"/>
  <c r="AD12" i="298"/>
  <c r="AA12" i="298"/>
  <c r="L12" i="298"/>
  <c r="I12" i="298"/>
  <c r="E12" i="298"/>
  <c r="F12" i="298" s="1"/>
  <c r="AG11" i="298"/>
  <c r="AD11" i="298"/>
  <c r="AA11" i="298"/>
  <c r="L11" i="298"/>
  <c r="J11" i="298"/>
  <c r="J21" i="298" s="1"/>
  <c r="I11" i="298"/>
  <c r="E11" i="298"/>
  <c r="F11" i="298" s="1"/>
  <c r="AG10" i="298"/>
  <c r="AD10" i="298"/>
  <c r="AA10" i="298"/>
  <c r="L10" i="298"/>
  <c r="E10" i="298"/>
  <c r="F10" i="298" s="1"/>
  <c r="AO9" i="298"/>
  <c r="AG9" i="298"/>
  <c r="AD9" i="298"/>
  <c r="AA9" i="298"/>
  <c r="E9" i="298"/>
  <c r="AO8" i="298"/>
  <c r="AH17" i="298" l="1"/>
  <c r="AI17" i="298" s="1"/>
  <c r="AH11" i="298"/>
  <c r="AH20" i="298"/>
  <c r="L31" i="298"/>
  <c r="AI16" i="298"/>
  <c r="N18" i="299"/>
  <c r="AG21" i="298"/>
  <c r="AH10" i="298"/>
  <c r="AI10" i="298" s="1"/>
  <c r="I21" i="298"/>
  <c r="D37" i="298"/>
  <c r="AH12" i="299"/>
  <c r="AH17" i="299"/>
  <c r="AI17" i="299" s="1"/>
  <c r="K31" i="299"/>
  <c r="AD21" i="298"/>
  <c r="E13" i="299"/>
  <c r="F13" i="299" s="1"/>
  <c r="M13" i="299" s="1"/>
  <c r="N13" i="299" s="1"/>
  <c r="D33" i="299"/>
  <c r="D37" i="299" s="1"/>
  <c r="N15" i="298"/>
  <c r="AH16" i="298"/>
  <c r="N17" i="298"/>
  <c r="P17" i="298" s="1"/>
  <c r="N16" i="299"/>
  <c r="M14" i="298"/>
  <c r="N14" i="298" s="1"/>
  <c r="M14" i="299"/>
  <c r="N14" i="299"/>
  <c r="AI13" i="298"/>
  <c r="AH9" i="298"/>
  <c r="E13" i="298"/>
  <c r="F13" i="298" s="1"/>
  <c r="AH15" i="298"/>
  <c r="AI15" i="298" s="1"/>
  <c r="AH18" i="298"/>
  <c r="AI18" i="298" s="1"/>
  <c r="AI20" i="298"/>
  <c r="AH10" i="299"/>
  <c r="I21" i="299"/>
  <c r="AH16" i="299"/>
  <c r="AI16" i="299" s="1"/>
  <c r="AH18" i="299"/>
  <c r="AI18" i="299" s="1"/>
  <c r="AH12" i="298"/>
  <c r="AI12" i="298" s="1"/>
  <c r="N19" i="298"/>
  <c r="AH19" i="298"/>
  <c r="AI19" i="298" s="1"/>
  <c r="N15" i="299"/>
  <c r="N19" i="299"/>
  <c r="AH19" i="299"/>
  <c r="K12" i="299"/>
  <c r="M12" i="299"/>
  <c r="P16" i="299"/>
  <c r="P18" i="299"/>
  <c r="Q18" i="299" s="1"/>
  <c r="K11" i="299"/>
  <c r="M11" i="299"/>
  <c r="AI14" i="299"/>
  <c r="AI19" i="299"/>
  <c r="P20" i="299"/>
  <c r="Q20" i="299" s="1"/>
  <c r="AG21" i="299"/>
  <c r="L9" i="299"/>
  <c r="L21" i="299" s="1"/>
  <c r="AI9" i="299"/>
  <c r="P14" i="299"/>
  <c r="Q14" i="299" s="1"/>
  <c r="AI20" i="299"/>
  <c r="E21" i="299"/>
  <c r="AA21" i="299"/>
  <c r="AD21" i="299"/>
  <c r="AI12" i="299"/>
  <c r="AH13" i="299"/>
  <c r="AI13" i="299" s="1"/>
  <c r="AH14" i="299"/>
  <c r="AH15" i="299"/>
  <c r="AI15" i="299" s="1"/>
  <c r="P17" i="299"/>
  <c r="Q17" i="299" s="1"/>
  <c r="F21" i="299"/>
  <c r="N10" i="299"/>
  <c r="AI10" i="299"/>
  <c r="AH11" i="299"/>
  <c r="AI11" i="299" s="1"/>
  <c r="P15" i="298"/>
  <c r="Q15" i="298" s="1"/>
  <c r="M13" i="298"/>
  <c r="N13" i="298" s="1"/>
  <c r="M11" i="298"/>
  <c r="K11" i="298"/>
  <c r="K12" i="298"/>
  <c r="M12" i="298"/>
  <c r="Q19" i="298"/>
  <c r="P19" i="298"/>
  <c r="F9" i="298"/>
  <c r="Q16" i="298"/>
  <c r="Q17" i="298"/>
  <c r="N18" i="298"/>
  <c r="P20" i="298"/>
  <c r="Q20" i="298" s="1"/>
  <c r="AA21" i="298"/>
  <c r="M10" i="298"/>
  <c r="N10" i="298" s="1"/>
  <c r="AI11" i="298"/>
  <c r="C21" i="298"/>
  <c r="Q16" i="299" l="1"/>
  <c r="P15" i="299"/>
  <c r="Q15" i="299" s="1"/>
  <c r="AH21" i="298"/>
  <c r="E21" i="298"/>
  <c r="P14" i="298"/>
  <c r="Q14" i="298" s="1"/>
  <c r="R14" i="298" s="1"/>
  <c r="G33" i="298"/>
  <c r="AI9" i="298"/>
  <c r="G35" i="298" s="1"/>
  <c r="M21" i="299"/>
  <c r="N12" i="299"/>
  <c r="N12" i="298"/>
  <c r="P12" i="298" s="1"/>
  <c r="AH21" i="299"/>
  <c r="N9" i="299"/>
  <c r="P9" i="299" s="1"/>
  <c r="Q9" i="299" s="1"/>
  <c r="P19" i="299"/>
  <c r="Q19" i="299" s="1"/>
  <c r="K21" i="298"/>
  <c r="S18" i="299"/>
  <c r="R18" i="299"/>
  <c r="G33" i="299"/>
  <c r="P12" i="299"/>
  <c r="R14" i="299"/>
  <c r="S14" i="299"/>
  <c r="S20" i="299"/>
  <c r="R20" i="299"/>
  <c r="P13" i="299"/>
  <c r="Q13" i="299" s="1"/>
  <c r="P10" i="299"/>
  <c r="Q10" i="299" s="1"/>
  <c r="S17" i="299"/>
  <c r="R17" i="299"/>
  <c r="AI21" i="299"/>
  <c r="S26" i="299" s="1"/>
  <c r="G35" i="299"/>
  <c r="K21" i="299"/>
  <c r="S16" i="299"/>
  <c r="R16" i="299"/>
  <c r="T16" i="299" s="1"/>
  <c r="U16" i="299" s="1"/>
  <c r="W16" i="299" s="1"/>
  <c r="N11" i="299"/>
  <c r="P10" i="298"/>
  <c r="Q10" i="298" s="1"/>
  <c r="S20" i="298"/>
  <c r="R20" i="298"/>
  <c r="P13" i="298"/>
  <c r="Q13" i="298" s="1"/>
  <c r="S15" i="298"/>
  <c r="R15" i="298"/>
  <c r="S19" i="298"/>
  <c r="T19" i="298" s="1"/>
  <c r="U19" i="298" s="1"/>
  <c r="W19" i="298" s="1"/>
  <c r="R19" i="298"/>
  <c r="S16" i="298"/>
  <c r="R16" i="298"/>
  <c r="P18" i="298"/>
  <c r="Q18" i="298" s="1"/>
  <c r="S17" i="298"/>
  <c r="R17" i="298"/>
  <c r="AI21" i="298"/>
  <c r="S26" i="298" s="1"/>
  <c r="M9" i="298"/>
  <c r="M21" i="298" s="1"/>
  <c r="L9" i="298"/>
  <c r="L21" i="298" s="1"/>
  <c r="F21" i="298"/>
  <c r="N11" i="298"/>
  <c r="R15" i="299" l="1"/>
  <c r="S15" i="299"/>
  <c r="T17" i="298"/>
  <c r="U17" i="298" s="1"/>
  <c r="W17" i="298" s="1"/>
  <c r="X17" i="298" s="1"/>
  <c r="G37" i="298"/>
  <c r="Q12" i="299"/>
  <c r="N21" i="299"/>
  <c r="R19" i="299"/>
  <c r="S19" i="299"/>
  <c r="S32" i="298"/>
  <c r="D12" i="191"/>
  <c r="T15" i="298"/>
  <c r="U15" i="298" s="1"/>
  <c r="W15" i="298" s="1"/>
  <c r="Q12" i="298"/>
  <c r="S12" i="298" s="1"/>
  <c r="T16" i="298"/>
  <c r="U16" i="298" s="1"/>
  <c r="W16" i="298" s="1"/>
  <c r="X16" i="298" s="1"/>
  <c r="S14" i="298"/>
  <c r="T14" i="298" s="1"/>
  <c r="U14" i="298" s="1"/>
  <c r="W14" i="298" s="1"/>
  <c r="S32" i="299"/>
  <c r="E12" i="191"/>
  <c r="G51" i="318" s="1"/>
  <c r="T17" i="299"/>
  <c r="U17" i="299" s="1"/>
  <c r="W17" i="299" s="1"/>
  <c r="AJ17" i="299" s="1"/>
  <c r="T20" i="299"/>
  <c r="U20" i="299" s="1"/>
  <c r="W20" i="299" s="1"/>
  <c r="X20" i="299" s="1"/>
  <c r="S10" i="299"/>
  <c r="R10" i="299"/>
  <c r="X16" i="299"/>
  <c r="AK16" i="299"/>
  <c r="AL16" i="299" s="1"/>
  <c r="AJ16" i="299"/>
  <c r="R13" i="299"/>
  <c r="S13" i="299"/>
  <c r="T15" i="299"/>
  <c r="U15" i="299" s="1"/>
  <c r="W15" i="299" s="1"/>
  <c r="T14" i="299"/>
  <c r="U14" i="299" s="1"/>
  <c r="W14" i="299" s="1"/>
  <c r="S12" i="299"/>
  <c r="R12" i="299"/>
  <c r="P11" i="299"/>
  <c r="Q11" i="299" s="1"/>
  <c r="R9" i="299"/>
  <c r="S9" i="299"/>
  <c r="T18" i="299"/>
  <c r="U18" i="299" s="1"/>
  <c r="W18" i="299" s="1"/>
  <c r="G37" i="299"/>
  <c r="X15" i="298"/>
  <c r="AK15" i="298"/>
  <c r="AL15" i="298" s="1"/>
  <c r="AJ15" i="298"/>
  <c r="AJ16" i="298"/>
  <c r="R13" i="298"/>
  <c r="S13" i="298"/>
  <c r="S18" i="298"/>
  <c r="R18" i="298"/>
  <c r="AJ19" i="298"/>
  <c r="X19" i="298"/>
  <c r="AK19" i="298"/>
  <c r="AL19" i="298" s="1"/>
  <c r="S10" i="298"/>
  <c r="R10" i="298"/>
  <c r="T10" i="298" s="1"/>
  <c r="R12" i="298"/>
  <c r="P11" i="298"/>
  <c r="Q11" i="298" s="1"/>
  <c r="T20" i="298"/>
  <c r="U20" i="298" s="1"/>
  <c r="W20" i="298" s="1"/>
  <c r="N9" i="298"/>
  <c r="AK20" i="299" l="1"/>
  <c r="AL20" i="299" s="1"/>
  <c r="AK14" i="298"/>
  <c r="X14" i="298"/>
  <c r="AJ14" i="298"/>
  <c r="AK17" i="299"/>
  <c r="AL17" i="299" s="1"/>
  <c r="U10" i="298"/>
  <c r="W10" i="298" s="1"/>
  <c r="AJ10" i="298" s="1"/>
  <c r="AK16" i="298"/>
  <c r="AL16" i="298" s="1"/>
  <c r="X17" i="299"/>
  <c r="D51" i="318"/>
  <c r="G48" i="318"/>
  <c r="G46" i="318" s="1"/>
  <c r="T13" i="298"/>
  <c r="AJ20" i="299"/>
  <c r="T12" i="299"/>
  <c r="U12" i="299" s="1"/>
  <c r="W12" i="299" s="1"/>
  <c r="T19" i="299"/>
  <c r="U19" i="299" s="1"/>
  <c r="W19" i="299" s="1"/>
  <c r="AJ19" i="299" s="1"/>
  <c r="T12" i="298"/>
  <c r="U12" i="298" s="1"/>
  <c r="W12" i="298" s="1"/>
  <c r="X12" i="298" s="1"/>
  <c r="AK17" i="298"/>
  <c r="AL17" i="298" s="1"/>
  <c r="AJ17" i="298"/>
  <c r="T13" i="299"/>
  <c r="U13" i="299" s="1"/>
  <c r="W13" i="299" s="1"/>
  <c r="AK13" i="299" s="1"/>
  <c r="AL13" i="299" s="1"/>
  <c r="T18" i="298"/>
  <c r="U18" i="298" s="1"/>
  <c r="W18" i="298" s="1"/>
  <c r="AK14" i="299"/>
  <c r="X14" i="299"/>
  <c r="AJ14" i="299"/>
  <c r="S11" i="299"/>
  <c r="S21" i="299" s="1"/>
  <c r="R11" i="299"/>
  <c r="Q21" i="299"/>
  <c r="AJ18" i="299"/>
  <c r="AK18" i="299"/>
  <c r="AL18" i="299" s="1"/>
  <c r="X18" i="299"/>
  <c r="X15" i="299"/>
  <c r="AK15" i="299"/>
  <c r="AL15" i="299" s="1"/>
  <c r="AJ15" i="299"/>
  <c r="T10" i="299"/>
  <c r="U10" i="299" s="1"/>
  <c r="W10" i="299" s="1"/>
  <c r="T9" i="299"/>
  <c r="U9" i="299" s="1"/>
  <c r="P21" i="299"/>
  <c r="S11" i="298"/>
  <c r="R11" i="298"/>
  <c r="N21" i="298"/>
  <c r="P9" i="298"/>
  <c r="P21" i="298" s="1"/>
  <c r="AJ20" i="298"/>
  <c r="X20" i="298"/>
  <c r="AK20" i="298"/>
  <c r="AL20" i="298" s="1"/>
  <c r="U13" i="298"/>
  <c r="W13" i="298" s="1"/>
  <c r="AJ12" i="298" l="1"/>
  <c r="AK12" i="298"/>
  <c r="AL12" i="298" s="1"/>
  <c r="AK10" i="298"/>
  <c r="AL10" i="298" s="1"/>
  <c r="AK19" i="299"/>
  <c r="AL19" i="299" s="1"/>
  <c r="X10" i="298"/>
  <c r="X19" i="299"/>
  <c r="AJ13" i="299"/>
  <c r="X13" i="299"/>
  <c r="T11" i="298"/>
  <c r="U11" i="298" s="1"/>
  <c r="W11" i="298" s="1"/>
  <c r="X10" i="299"/>
  <c r="AK10" i="299"/>
  <c r="AL10" i="299" s="1"/>
  <c r="AJ10" i="299"/>
  <c r="W9" i="299"/>
  <c r="AK12" i="299"/>
  <c r="AL12" i="299" s="1"/>
  <c r="AJ12" i="299"/>
  <c r="X12" i="299"/>
  <c r="R21" i="299"/>
  <c r="T11" i="299"/>
  <c r="U11" i="299" s="1"/>
  <c r="W11" i="299" s="1"/>
  <c r="AJ18" i="298"/>
  <c r="X18" i="298"/>
  <c r="AK18" i="298"/>
  <c r="AL18" i="298" s="1"/>
  <c r="AK13" i="298"/>
  <c r="AL13" i="298" s="1"/>
  <c r="AJ13" i="298"/>
  <c r="X13" i="298"/>
  <c r="Q9" i="298"/>
  <c r="T21" i="299" l="1"/>
  <c r="K26" i="299"/>
  <c r="X11" i="299"/>
  <c r="AJ11" i="299"/>
  <c r="B33" i="299"/>
  <c r="AK11" i="299"/>
  <c r="AL11" i="299" s="1"/>
  <c r="AK9" i="299"/>
  <c r="B35" i="299"/>
  <c r="W21" i="299"/>
  <c r="AJ9" i="299"/>
  <c r="AK8" i="299"/>
  <c r="AJ8" i="299"/>
  <c r="U21" i="299"/>
  <c r="Q21" i="298"/>
  <c r="R9" i="298"/>
  <c r="R21" i="298" s="1"/>
  <c r="S9" i="298"/>
  <c r="S21" i="298" s="1"/>
  <c r="K26" i="298"/>
  <c r="X11" i="298"/>
  <c r="AK11" i="298"/>
  <c r="AL11" i="298" s="1"/>
  <c r="B33" i="298"/>
  <c r="AJ11" i="298"/>
  <c r="B37" i="299" l="1"/>
  <c r="E26" i="299"/>
  <c r="G26" i="299" s="1"/>
  <c r="O26" i="299"/>
  <c r="O32" i="299" s="1"/>
  <c r="AL8" i="299"/>
  <c r="AM8" i="299" s="1"/>
  <c r="AP8" i="299"/>
  <c r="AN8" i="299"/>
  <c r="AQ8" i="299" s="1"/>
  <c r="AP9" i="299"/>
  <c r="AL9" i="299"/>
  <c r="AM9" i="299" s="1"/>
  <c r="AN9" i="299"/>
  <c r="E33" i="299"/>
  <c r="L26" i="299"/>
  <c r="K32" i="299"/>
  <c r="K32" i="298"/>
  <c r="T9" i="298"/>
  <c r="E33" i="298"/>
  <c r="L26" i="298"/>
  <c r="L32" i="299" l="1"/>
  <c r="Q26" i="299"/>
  <c r="E10" i="136" s="1"/>
  <c r="AQ9" i="299"/>
  <c r="X9" i="299" s="1"/>
  <c r="T21" i="298"/>
  <c r="U9" i="298"/>
  <c r="L32" i="298"/>
  <c r="AR9" i="299" l="1"/>
  <c r="X21" i="299"/>
  <c r="E35" i="299"/>
  <c r="E37" i="299" s="1"/>
  <c r="Q32" i="299"/>
  <c r="T26" i="299"/>
  <c r="U21" i="298"/>
  <c r="W9" i="298"/>
  <c r="P26" i="299" l="1"/>
  <c r="F26" i="299"/>
  <c r="H26" i="299" s="1"/>
  <c r="AK9" i="298"/>
  <c r="B35" i="298"/>
  <c r="B37" i="298" s="1"/>
  <c r="AJ9" i="298"/>
  <c r="W21" i="298"/>
  <c r="AJ8" i="298"/>
  <c r="AK8" i="298"/>
  <c r="P32" i="299" l="1"/>
  <c r="R26" i="299"/>
  <c r="E10" i="137" s="1"/>
  <c r="E26" i="298"/>
  <c r="G26" i="298" s="1"/>
  <c r="O26" i="298"/>
  <c r="AP8" i="298"/>
  <c r="AL8" i="298"/>
  <c r="AM8" i="298" s="1"/>
  <c r="AN8" i="298"/>
  <c r="AN9" i="298"/>
  <c r="AQ9" i="298" s="1"/>
  <c r="X9" i="298" s="1"/>
  <c r="AL9" i="298"/>
  <c r="AM9" i="298" s="1"/>
  <c r="AP9" i="298"/>
  <c r="R32" i="299" l="1"/>
  <c r="U26" i="299"/>
  <c r="O32" i="298"/>
  <c r="Q26" i="298"/>
  <c r="D10" i="136" s="1"/>
  <c r="AQ8" i="298"/>
  <c r="AR9" i="298" s="1"/>
  <c r="X21" i="298"/>
  <c r="E35" i="298"/>
  <c r="E37" i="298" s="1"/>
  <c r="P26" i="298" l="1"/>
  <c r="F26" i="298"/>
  <c r="H26" i="298" s="1"/>
  <c r="Q32" i="298"/>
  <c r="T26" i="298"/>
  <c r="P32" i="298" l="1"/>
  <c r="R26" i="298"/>
  <c r="D10" i="137" s="1"/>
  <c r="R32" i="298" l="1"/>
  <c r="U26" i="298"/>
  <c r="M20" i="296" l="1"/>
  <c r="M19" i="296"/>
  <c r="M18" i="296"/>
  <c r="M17" i="296"/>
  <c r="M16" i="296"/>
  <c r="M15" i="296"/>
  <c r="P31" i="296"/>
  <c r="O31" i="296"/>
  <c r="N32" i="296"/>
  <c r="C33" i="296"/>
  <c r="K31" i="296" s="1"/>
  <c r="C37" i="296" l="1"/>
  <c r="Q31" i="296" s="1"/>
  <c r="D35" i="296"/>
  <c r="F33" i="296"/>
  <c r="L31" i="296" s="1"/>
  <c r="M26" i="296"/>
  <c r="AE21" i="296"/>
  <c r="AB21" i="296"/>
  <c r="Y21" i="296"/>
  <c r="V21" i="296"/>
  <c r="D21" i="296"/>
  <c r="AG20" i="296"/>
  <c r="AD20" i="296"/>
  <c r="AA20" i="296"/>
  <c r="E20" i="296"/>
  <c r="F20" i="296" s="1"/>
  <c r="N20" i="296" s="1"/>
  <c r="AG19" i="296"/>
  <c r="AD19" i="296"/>
  <c r="AA19" i="296"/>
  <c r="E19" i="296"/>
  <c r="F19" i="296" s="1"/>
  <c r="N19" i="296" s="1"/>
  <c r="P19" i="296" s="1"/>
  <c r="AG18" i="296"/>
  <c r="AD18" i="296"/>
  <c r="AA18" i="296"/>
  <c r="H18" i="296"/>
  <c r="H21" i="296" s="1"/>
  <c r="G18" i="296"/>
  <c r="G21" i="296" s="1"/>
  <c r="E18" i="296"/>
  <c r="F18" i="296" s="1"/>
  <c r="N18" i="296" s="1"/>
  <c r="P18" i="296" s="1"/>
  <c r="AG17" i="296"/>
  <c r="AD17" i="296"/>
  <c r="AA17" i="296"/>
  <c r="E17" i="296"/>
  <c r="F17" i="296" s="1"/>
  <c r="N17" i="296" s="1"/>
  <c r="P17" i="296" s="1"/>
  <c r="AG16" i="296"/>
  <c r="AD16" i="296"/>
  <c r="AA16" i="296"/>
  <c r="E16" i="296"/>
  <c r="F16" i="296" s="1"/>
  <c r="N16" i="296" s="1"/>
  <c r="AG15" i="296"/>
  <c r="AD15" i="296"/>
  <c r="AA15" i="296"/>
  <c r="E15" i="296"/>
  <c r="F15" i="296" s="1"/>
  <c r="N15" i="296" s="1"/>
  <c r="AG14" i="296"/>
  <c r="AD14" i="296"/>
  <c r="AA14" i="296"/>
  <c r="E14" i="296"/>
  <c r="F14" i="296" s="1"/>
  <c r="M14" i="296" s="1"/>
  <c r="AG13" i="296"/>
  <c r="AD13" i="296"/>
  <c r="AA13" i="296"/>
  <c r="L13" i="296"/>
  <c r="C13" i="296"/>
  <c r="AG12" i="296"/>
  <c r="AD12" i="296"/>
  <c r="AA12" i="296"/>
  <c r="L12" i="296"/>
  <c r="I12" i="296"/>
  <c r="E12" i="296"/>
  <c r="F12" i="296" s="1"/>
  <c r="M12" i="296" s="1"/>
  <c r="AG11" i="296"/>
  <c r="AD11" i="296"/>
  <c r="AA11" i="296"/>
  <c r="L11" i="296"/>
  <c r="J11" i="296"/>
  <c r="J21" i="296" s="1"/>
  <c r="I11" i="296"/>
  <c r="E11" i="296"/>
  <c r="F11" i="296" s="1"/>
  <c r="M11" i="296" s="1"/>
  <c r="AG10" i="296"/>
  <c r="AD10" i="296"/>
  <c r="AA10" i="296"/>
  <c r="L10" i="296"/>
  <c r="E10" i="296"/>
  <c r="F10" i="296" s="1"/>
  <c r="M10" i="296" s="1"/>
  <c r="AO9" i="296"/>
  <c r="AG9" i="296"/>
  <c r="AD9" i="296"/>
  <c r="AA9" i="296"/>
  <c r="E9" i="296"/>
  <c r="F9" i="296" s="1"/>
  <c r="M9" i="296" s="1"/>
  <c r="AO8" i="296"/>
  <c r="M32" i="296" l="1"/>
  <c r="M29" i="296"/>
  <c r="K11" i="296"/>
  <c r="N11" i="296" s="1"/>
  <c r="F37" i="296"/>
  <c r="R31" i="296" s="1"/>
  <c r="AH11" i="296"/>
  <c r="AI11" i="296" s="1"/>
  <c r="AH12" i="296"/>
  <c r="AI12" i="296" s="1"/>
  <c r="AA21" i="296"/>
  <c r="AH15" i="296"/>
  <c r="AI15" i="296" s="1"/>
  <c r="AH16" i="296"/>
  <c r="AI16" i="296" s="1"/>
  <c r="AH10" i="296"/>
  <c r="AI10" i="296" s="1"/>
  <c r="AH18" i="296"/>
  <c r="AI18" i="296" s="1"/>
  <c r="AG21" i="296"/>
  <c r="I21" i="296"/>
  <c r="K12" i="296"/>
  <c r="N12" i="296" s="1"/>
  <c r="P15" i="296"/>
  <c r="Q15" i="296" s="1"/>
  <c r="AD21" i="296"/>
  <c r="AH9" i="296"/>
  <c r="AI9" i="296" s="1"/>
  <c r="C21" i="296"/>
  <c r="E13" i="296"/>
  <c r="F13" i="296" s="1"/>
  <c r="AH17" i="296"/>
  <c r="AI17" i="296" s="1"/>
  <c r="Q18" i="296"/>
  <c r="L9" i="296"/>
  <c r="L21" i="296" s="1"/>
  <c r="N10" i="296"/>
  <c r="AH13" i="296"/>
  <c r="AI13" i="296" s="1"/>
  <c r="N14" i="296"/>
  <c r="AH14" i="296"/>
  <c r="AI14" i="296" s="1"/>
  <c r="Q17" i="296"/>
  <c r="AH19" i="296"/>
  <c r="AI19" i="296" s="1"/>
  <c r="P20" i="296"/>
  <c r="Q20" i="296" s="1"/>
  <c r="P16" i="296"/>
  <c r="Q16" i="296" s="1"/>
  <c r="Q19" i="296"/>
  <c r="AH20" i="296"/>
  <c r="AI20" i="296" s="1"/>
  <c r="D33" i="296"/>
  <c r="D37" i="296" s="1"/>
  <c r="K21" i="296" l="1"/>
  <c r="P10" i="296"/>
  <c r="Q10" i="296" s="1"/>
  <c r="R15" i="296"/>
  <c r="S15" i="296"/>
  <c r="P11" i="296"/>
  <c r="Q11" i="296" s="1"/>
  <c r="S20" i="296"/>
  <c r="R20" i="296"/>
  <c r="S16" i="296"/>
  <c r="R16" i="296"/>
  <c r="M13" i="296"/>
  <c r="N13" i="296" s="1"/>
  <c r="F21" i="296"/>
  <c r="S19" i="296"/>
  <c r="R19" i="296"/>
  <c r="E21" i="296"/>
  <c r="AH21" i="296"/>
  <c r="N9" i="296"/>
  <c r="P14" i="296"/>
  <c r="Q14" i="296" s="1"/>
  <c r="S18" i="296"/>
  <c r="R18" i="296"/>
  <c r="T18" i="296" s="1"/>
  <c r="U18" i="296" s="1"/>
  <c r="W18" i="296" s="1"/>
  <c r="G35" i="296"/>
  <c r="AI21" i="296"/>
  <c r="S26" i="296" s="1"/>
  <c r="S29" i="296" s="1"/>
  <c r="M21" i="296"/>
  <c r="S17" i="296"/>
  <c r="R17" i="296"/>
  <c r="P12" i="296"/>
  <c r="Q12" i="296" s="1"/>
  <c r="G33" i="296"/>
  <c r="C12" i="191" l="1"/>
  <c r="S32" i="296"/>
  <c r="T16" i="296"/>
  <c r="U16" i="296" s="1"/>
  <c r="W16" i="296" s="1"/>
  <c r="X16" i="296" s="1"/>
  <c r="T17" i="296"/>
  <c r="U17" i="296" s="1"/>
  <c r="W17" i="296" s="1"/>
  <c r="X17" i="296" s="1"/>
  <c r="G37" i="296"/>
  <c r="T19" i="296"/>
  <c r="U19" i="296" s="1"/>
  <c r="W19" i="296" s="1"/>
  <c r="X19" i="296" s="1"/>
  <c r="T15" i="296"/>
  <c r="U15" i="296" s="1"/>
  <c r="W15" i="296" s="1"/>
  <c r="AK15" i="296" s="1"/>
  <c r="AL15" i="296" s="1"/>
  <c r="X18" i="296"/>
  <c r="AK18" i="296"/>
  <c r="AL18" i="296" s="1"/>
  <c r="AJ18" i="296"/>
  <c r="P13" i="296"/>
  <c r="Q13" i="296" s="1"/>
  <c r="S10" i="296"/>
  <c r="R10" i="296"/>
  <c r="S11" i="296"/>
  <c r="R11" i="296"/>
  <c r="R12" i="296"/>
  <c r="S12" i="296"/>
  <c r="S14" i="296"/>
  <c r="R14" i="296"/>
  <c r="P9" i="296"/>
  <c r="N21" i="296"/>
  <c r="T20" i="296"/>
  <c r="U20" i="296" s="1"/>
  <c r="W20" i="296" s="1"/>
  <c r="X20" i="296" s="1"/>
  <c r="AJ16" i="296" l="1"/>
  <c r="AJ17" i="296"/>
  <c r="T14" i="296"/>
  <c r="U14" i="296" s="1"/>
  <c r="W14" i="296" s="1"/>
  <c r="AJ14" i="296" s="1"/>
  <c r="AK17" i="296"/>
  <c r="AL17" i="296" s="1"/>
  <c r="AK16" i="296"/>
  <c r="AL16" i="296" s="1"/>
  <c r="X15" i="296"/>
  <c r="AJ15" i="296"/>
  <c r="AJ19" i="296"/>
  <c r="AK19" i="296"/>
  <c r="AL19" i="296" s="1"/>
  <c r="P21" i="296"/>
  <c r="Q9" i="296"/>
  <c r="S9" i="296" s="1"/>
  <c r="AJ20" i="296"/>
  <c r="AK20" i="296"/>
  <c r="AL20" i="296" s="1"/>
  <c r="T12" i="296"/>
  <c r="U12" i="296" s="1"/>
  <c r="W12" i="296" s="1"/>
  <c r="T10" i="296"/>
  <c r="U10" i="296" s="1"/>
  <c r="W10" i="296" s="1"/>
  <c r="T11" i="296"/>
  <c r="U11" i="296" s="1"/>
  <c r="W11" i="296" s="1"/>
  <c r="X11" i="296" s="1"/>
  <c r="S13" i="296"/>
  <c r="R13" i="296"/>
  <c r="AK14" i="296" l="1"/>
  <c r="X14" i="296"/>
  <c r="S21" i="296"/>
  <c r="R9" i="296"/>
  <c r="T9" i="296" s="1"/>
  <c r="Q21" i="296"/>
  <c r="AJ10" i="296"/>
  <c r="X10" i="296"/>
  <c r="AK10" i="296"/>
  <c r="AL10" i="296" s="1"/>
  <c r="AJ11" i="296"/>
  <c r="AK11" i="296"/>
  <c r="AL11" i="296" s="1"/>
  <c r="AK12" i="296"/>
  <c r="AL12" i="296" s="1"/>
  <c r="AJ12" i="296"/>
  <c r="X12" i="296"/>
  <c r="T13" i="296"/>
  <c r="U13" i="296" s="1"/>
  <c r="W13" i="296" s="1"/>
  <c r="K26" i="296" l="1"/>
  <c r="R21" i="296"/>
  <c r="T21" i="296"/>
  <c r="U9" i="296"/>
  <c r="U21" i="296" s="1"/>
  <c r="X13" i="296"/>
  <c r="L26" i="296" s="1"/>
  <c r="L32" i="296" l="1"/>
  <c r="L29" i="296"/>
  <c r="K32" i="296"/>
  <c r="K29" i="296"/>
  <c r="E33" i="296"/>
  <c r="AJ13" i="296"/>
  <c r="AK13" i="296"/>
  <c r="AL13" i="296" s="1"/>
  <c r="B33" i="296"/>
  <c r="W9" i="296"/>
  <c r="AJ9" i="296" s="1"/>
  <c r="AK9" i="296" l="1"/>
  <c r="AL9" i="296" s="1"/>
  <c r="AM9" i="296" s="1"/>
  <c r="W21" i="296"/>
  <c r="AJ8" i="296"/>
  <c r="B35" i="296"/>
  <c r="B37" i="296" s="1"/>
  <c r="AK8" i="296"/>
  <c r="AP8" i="296" s="1"/>
  <c r="AP9" i="296" l="1"/>
  <c r="E26" i="296"/>
  <c r="G26" i="296" s="1"/>
  <c r="AN8" i="296"/>
  <c r="AQ8" i="296" s="1"/>
  <c r="AN9" i="296"/>
  <c r="O26" i="296"/>
  <c r="AL8" i="296"/>
  <c r="AM8" i="296" s="1"/>
  <c r="AQ9" i="296" l="1"/>
  <c r="X9" i="296" s="1"/>
  <c r="E35" i="296" s="1"/>
  <c r="E37" i="296" s="1"/>
  <c r="Q26" i="296"/>
  <c r="O29" i="296"/>
  <c r="O32" i="296"/>
  <c r="AR9" i="296"/>
  <c r="X21" i="296" l="1"/>
  <c r="P26" i="296" s="1"/>
  <c r="C10" i="136"/>
  <c r="Q29" i="296"/>
  <c r="T26" i="296"/>
  <c r="Q32" i="296"/>
  <c r="F26" i="296" l="1"/>
  <c r="H26" i="296" s="1"/>
  <c r="T29" i="296"/>
  <c r="P29" i="296"/>
  <c r="R26" i="296"/>
  <c r="P32" i="296"/>
  <c r="C10" i="137" l="1"/>
  <c r="R29" i="296"/>
  <c r="U26" i="296"/>
  <c r="R32" i="296"/>
  <c r="U29" i="296" l="1"/>
  <c r="N12" i="295"/>
  <c r="E15" i="176" s="1"/>
  <c r="L12" i="295"/>
  <c r="K12" i="295"/>
  <c r="D15" i="176" s="1"/>
  <c r="I12" i="295"/>
  <c r="H12" i="295"/>
  <c r="C15" i="176" s="1"/>
  <c r="F12" i="295"/>
  <c r="M9" i="295"/>
  <c r="J9" i="295"/>
  <c r="G9" i="295"/>
  <c r="Y41" i="294"/>
  <c r="V41" i="294"/>
  <c r="S41" i="294"/>
  <c r="P41" i="294"/>
  <c r="M41" i="294"/>
  <c r="J41" i="294"/>
  <c r="G41" i="294"/>
  <c r="Y40" i="294"/>
  <c r="V40" i="294"/>
  <c r="S40" i="294"/>
  <c r="P40" i="294"/>
  <c r="M40" i="294"/>
  <c r="J40" i="294"/>
  <c r="G40" i="294"/>
  <c r="Y38" i="294"/>
  <c r="V38" i="294"/>
  <c r="S38" i="294"/>
  <c r="P38" i="294"/>
  <c r="M38" i="294"/>
  <c r="J38" i="294"/>
  <c r="G38" i="294"/>
  <c r="Y37" i="294"/>
  <c r="V37" i="294"/>
  <c r="S37" i="294"/>
  <c r="P37" i="294"/>
  <c r="M37" i="294"/>
  <c r="J37" i="294"/>
  <c r="G37" i="294"/>
  <c r="Y36" i="294"/>
  <c r="V36" i="294"/>
  <c r="S36" i="294"/>
  <c r="P36" i="294"/>
  <c r="M36" i="294"/>
  <c r="J36" i="294"/>
  <c r="G36" i="294"/>
  <c r="Y35" i="294"/>
  <c r="V35" i="294"/>
  <c r="S35" i="294"/>
  <c r="P35" i="294"/>
  <c r="M35" i="294"/>
  <c r="J35" i="294"/>
  <c r="G35" i="294"/>
  <c r="Y34" i="294"/>
  <c r="V34" i="294"/>
  <c r="S34" i="294"/>
  <c r="P34" i="294"/>
  <c r="M34" i="294"/>
  <c r="J34" i="294"/>
  <c r="G34" i="294"/>
  <c r="X33" i="294"/>
  <c r="R33" i="294"/>
  <c r="O33" i="294"/>
  <c r="L33" i="294"/>
  <c r="I33" i="294"/>
  <c r="F33" i="294"/>
  <c r="Y31" i="294"/>
  <c r="V31" i="294"/>
  <c r="S31" i="294"/>
  <c r="P31" i="294"/>
  <c r="M31" i="294"/>
  <c r="J31" i="294"/>
  <c r="G31" i="294"/>
  <c r="Y30" i="294"/>
  <c r="V30" i="294"/>
  <c r="S30" i="294"/>
  <c r="P30" i="294"/>
  <c r="M30" i="294"/>
  <c r="J30" i="294"/>
  <c r="G30" i="294"/>
  <c r="Y29" i="294"/>
  <c r="V29" i="294"/>
  <c r="S29" i="294"/>
  <c r="P29" i="294"/>
  <c r="M29" i="294"/>
  <c r="J29" i="294"/>
  <c r="G29" i="294"/>
  <c r="Y28" i="294"/>
  <c r="V28" i="294"/>
  <c r="S28" i="294"/>
  <c r="P28" i="294"/>
  <c r="M28" i="294"/>
  <c r="J28" i="294"/>
  <c r="G28" i="294"/>
  <c r="Z27" i="294"/>
  <c r="AA27" i="294" s="1"/>
  <c r="AB27" i="294" s="1"/>
  <c r="Y25" i="294"/>
  <c r="V25" i="294"/>
  <c r="S25" i="294"/>
  <c r="P25" i="294"/>
  <c r="M25" i="294"/>
  <c r="J25" i="294"/>
  <c r="G25" i="294"/>
  <c r="X23" i="294"/>
  <c r="X24" i="294" s="1"/>
  <c r="I23" i="294"/>
  <c r="Y22" i="294"/>
  <c r="V22" i="294"/>
  <c r="S22" i="294"/>
  <c r="P22" i="294"/>
  <c r="M22" i="294"/>
  <c r="J22" i="294"/>
  <c r="G22" i="294"/>
  <c r="Y21" i="294"/>
  <c r="V21" i="294"/>
  <c r="S21" i="294"/>
  <c r="P21" i="294"/>
  <c r="M21" i="294"/>
  <c r="J21" i="294"/>
  <c r="G21" i="294"/>
  <c r="Y20" i="294"/>
  <c r="V20" i="294"/>
  <c r="S20" i="294"/>
  <c r="P20" i="294"/>
  <c r="M20" i="294"/>
  <c r="J20" i="294"/>
  <c r="G20" i="294"/>
  <c r="Y19" i="294"/>
  <c r="V19" i="294"/>
  <c r="S19" i="294"/>
  <c r="P19" i="294"/>
  <c r="M19" i="294"/>
  <c r="J19" i="294"/>
  <c r="G19" i="294"/>
  <c r="Y18" i="294"/>
  <c r="V18" i="294"/>
  <c r="S18" i="294"/>
  <c r="P18" i="294"/>
  <c r="M18" i="294"/>
  <c r="J18" i="294"/>
  <c r="G18" i="294"/>
  <c r="W16" i="294"/>
  <c r="T16" i="294"/>
  <c r="Q16" i="294"/>
  <c r="N16" i="294"/>
  <c r="K16" i="294"/>
  <c r="H16" i="294"/>
  <c r="E16" i="294"/>
  <c r="D16" i="294"/>
  <c r="W15" i="294"/>
  <c r="T15" i="294"/>
  <c r="Q15" i="294"/>
  <c r="N15" i="294"/>
  <c r="K15" i="294"/>
  <c r="H15" i="294"/>
  <c r="E15" i="294"/>
  <c r="D15" i="294"/>
  <c r="C14" i="294"/>
  <c r="Y14" i="294" s="1"/>
  <c r="C13" i="294"/>
  <c r="V13" i="294" s="1"/>
  <c r="C12" i="294"/>
  <c r="C32" i="294" s="1"/>
  <c r="C11" i="294"/>
  <c r="C24" i="294" s="1"/>
  <c r="C10" i="294"/>
  <c r="C23" i="294" s="1"/>
  <c r="J10" i="294" l="1"/>
  <c r="M10" i="294"/>
  <c r="V10" i="294"/>
  <c r="Y13" i="294"/>
  <c r="Z18" i="294"/>
  <c r="AA18" i="294" s="1"/>
  <c r="AB18" i="294" s="1"/>
  <c r="Z22" i="294"/>
  <c r="AA22" i="294" s="1"/>
  <c r="AB22" i="294" s="1"/>
  <c r="Z30" i="294"/>
  <c r="AA30" i="294" s="1"/>
  <c r="AB30" i="294" s="1"/>
  <c r="Z34" i="294"/>
  <c r="AA34" i="294" s="1"/>
  <c r="AB34" i="294" s="1"/>
  <c r="Z38" i="294"/>
  <c r="AA38" i="294" s="1"/>
  <c r="AB38" i="294" s="1"/>
  <c r="Z19" i="294"/>
  <c r="AA19" i="294" s="1"/>
  <c r="AB19" i="294" s="1"/>
  <c r="Z31" i="294"/>
  <c r="AA31" i="294" s="1"/>
  <c r="AB31" i="294" s="1"/>
  <c r="Z35" i="294"/>
  <c r="AA35" i="294" s="1"/>
  <c r="AB35" i="294" s="1"/>
  <c r="Z20" i="294"/>
  <c r="AA20" i="294" s="1"/>
  <c r="AB20" i="294" s="1"/>
  <c r="Z25" i="294"/>
  <c r="AA25" i="294" s="1"/>
  <c r="AB25" i="294" s="1"/>
  <c r="Z28" i="294"/>
  <c r="AA28" i="294" s="1"/>
  <c r="AB28" i="294" s="1"/>
  <c r="Z36" i="294"/>
  <c r="AA36" i="294" s="1"/>
  <c r="AB36" i="294" s="1"/>
  <c r="Z40" i="294"/>
  <c r="AA40" i="294" s="1"/>
  <c r="AB40" i="294" s="1"/>
  <c r="Y10" i="294"/>
  <c r="M13" i="294"/>
  <c r="Z21" i="294"/>
  <c r="AA21" i="294" s="1"/>
  <c r="AB21" i="294" s="1"/>
  <c r="Z29" i="294"/>
  <c r="AA29" i="294" s="1"/>
  <c r="AB29" i="294" s="1"/>
  <c r="Z37" i="294"/>
  <c r="AA37" i="294" s="1"/>
  <c r="AB37" i="294" s="1"/>
  <c r="Z41" i="294"/>
  <c r="AA41" i="294" s="1"/>
  <c r="AB41" i="294" s="1"/>
  <c r="Y24" i="294"/>
  <c r="P24" i="294"/>
  <c r="M24" i="294"/>
  <c r="V24" i="294"/>
  <c r="J24" i="294"/>
  <c r="S24" i="294"/>
  <c r="G24" i="294"/>
  <c r="P32" i="294"/>
  <c r="Y32" i="294"/>
  <c r="M32" i="294"/>
  <c r="V32" i="294"/>
  <c r="J32" i="294"/>
  <c r="S32" i="294"/>
  <c r="G32" i="294"/>
  <c r="Y23" i="294"/>
  <c r="P23" i="294"/>
  <c r="G23" i="294"/>
  <c r="M23" i="294"/>
  <c r="V23" i="294"/>
  <c r="J23" i="294"/>
  <c r="S23" i="294"/>
  <c r="P14" i="294"/>
  <c r="M11" i="294"/>
  <c r="Y11" i="294"/>
  <c r="P10" i="294"/>
  <c r="G11" i="294"/>
  <c r="S11" i="294"/>
  <c r="J12" i="294"/>
  <c r="V12" i="294"/>
  <c r="G10" i="294"/>
  <c r="S10" i="294"/>
  <c r="J11" i="294"/>
  <c r="V11" i="294"/>
  <c r="M12" i="294"/>
  <c r="Y12" i="294"/>
  <c r="P13" i="294"/>
  <c r="G14" i="294"/>
  <c r="S14" i="294"/>
  <c r="C39" i="294"/>
  <c r="P12" i="294"/>
  <c r="G13" i="294"/>
  <c r="S13" i="294"/>
  <c r="J14" i="294"/>
  <c r="V14" i="294"/>
  <c r="C33" i="294"/>
  <c r="P11" i="294"/>
  <c r="G12" i="294"/>
  <c r="S12" i="294"/>
  <c r="J13" i="294"/>
  <c r="M14" i="294"/>
  <c r="Z13" i="294" l="1"/>
  <c r="AA13" i="294" s="1"/>
  <c r="AB13" i="294" s="1"/>
  <c r="Z11" i="294"/>
  <c r="AA11" i="294" s="1"/>
  <c r="AB11" i="294" s="1"/>
  <c r="M15" i="294"/>
  <c r="Z10" i="294"/>
  <c r="AA10" i="294" s="1"/>
  <c r="Z23" i="294"/>
  <c r="Z17" i="294" s="1"/>
  <c r="Z32" i="294"/>
  <c r="Z14" i="294"/>
  <c r="AA14" i="294" s="1"/>
  <c r="AB14" i="294" s="1"/>
  <c r="J15" i="294"/>
  <c r="Y15" i="294"/>
  <c r="Z12" i="294"/>
  <c r="AA12" i="294" s="1"/>
  <c r="AB12" i="294" s="1"/>
  <c r="V15" i="294"/>
  <c r="Z24" i="294"/>
  <c r="AA24" i="294" s="1"/>
  <c r="AB24" i="294" s="1"/>
  <c r="AA32" i="294"/>
  <c r="V39" i="294"/>
  <c r="J39" i="294"/>
  <c r="S39" i="294"/>
  <c r="G39" i="294"/>
  <c r="P39" i="294"/>
  <c r="Y39" i="294"/>
  <c r="M39" i="294"/>
  <c r="M16" i="294" s="1"/>
  <c r="P15" i="294"/>
  <c r="Y33" i="294"/>
  <c r="P33" i="294"/>
  <c r="P16" i="294" s="1"/>
  <c r="J33" i="294"/>
  <c r="J16" i="294" s="1"/>
  <c r="V33" i="294"/>
  <c r="V16" i="294" s="1"/>
  <c r="S33" i="294"/>
  <c r="M33" i="294"/>
  <c r="G33" i="294"/>
  <c r="S15" i="294"/>
  <c r="G15" i="294"/>
  <c r="AA23" i="294" l="1"/>
  <c r="Z39" i="294"/>
  <c r="AA39" i="294" s="1"/>
  <c r="AB39" i="294" s="1"/>
  <c r="Z15" i="294"/>
  <c r="C14" i="176" s="1"/>
  <c r="M41" i="207" s="1"/>
  <c r="G16" i="294"/>
  <c r="S16" i="294"/>
  <c r="Y16" i="294"/>
  <c r="AA15" i="294"/>
  <c r="D14" i="176" s="1"/>
  <c r="L29" i="317" s="1"/>
  <c r="AB10" i="294"/>
  <c r="AB15" i="294" s="1"/>
  <c r="E14" i="176" s="1"/>
  <c r="L29" i="318" s="1"/>
  <c r="Z33" i="294"/>
  <c r="AA17" i="294"/>
  <c r="AB23" i="294"/>
  <c r="AB17" i="294" s="1"/>
  <c r="AB32" i="294"/>
  <c r="D29" i="318" l="1"/>
  <c r="L26" i="317"/>
  <c r="D29" i="317"/>
  <c r="AA33" i="294"/>
  <c r="Z26" i="294"/>
  <c r="Z16" i="294" l="1"/>
  <c r="AC15" i="294" s="1"/>
  <c r="AC17" i="294"/>
  <c r="AB33" i="294"/>
  <c r="AB26" i="294" s="1"/>
  <c r="AB16" i="294" s="1"/>
  <c r="AA26" i="294"/>
  <c r="AA16" i="294" s="1"/>
  <c r="AD17" i="294" l="1"/>
  <c r="AD15" i="294"/>
  <c r="AE17" i="294"/>
  <c r="AE15" i="294"/>
  <c r="E31" i="132" l="1"/>
  <c r="D31" i="132"/>
  <c r="C31" i="132"/>
  <c r="C19" i="293"/>
  <c r="G10" i="293"/>
  <c r="G19" i="293" s="1"/>
  <c r="F10" i="293"/>
  <c r="F19" i="293" s="1"/>
  <c r="E10" i="293"/>
  <c r="D10" i="293" s="1"/>
  <c r="D19" i="293" s="1"/>
  <c r="E19" i="293" l="1"/>
  <c r="G11" i="292" l="1"/>
  <c r="F11" i="292"/>
  <c r="E11" i="292"/>
  <c r="D11" i="292"/>
  <c r="N34" i="291" l="1"/>
  <c r="K34" i="291"/>
  <c r="G34" i="291"/>
  <c r="D11" i="290" l="1"/>
  <c r="H9" i="290"/>
  <c r="F9" i="290"/>
  <c r="C9" i="290"/>
  <c r="L36" i="289" l="1"/>
  <c r="M36" i="289"/>
  <c r="M31" i="289"/>
  <c r="M35" i="289" s="1"/>
  <c r="M37" i="289" s="1"/>
  <c r="E27" i="132" s="1"/>
  <c r="L31" i="289"/>
  <c r="L35" i="289" s="1"/>
  <c r="K29" i="289"/>
  <c r="J29" i="289" s="1"/>
  <c r="J28" i="289"/>
  <c r="J27" i="289"/>
  <c r="K26" i="289"/>
  <c r="J26" i="289" s="1"/>
  <c r="K23" i="289"/>
  <c r="J23" i="289" s="1"/>
  <c r="K21" i="289"/>
  <c r="J21" i="289" s="1"/>
  <c r="K19" i="289"/>
  <c r="J19" i="289" s="1"/>
  <c r="K17" i="289"/>
  <c r="J17" i="289" s="1"/>
  <c r="K12" i="289"/>
  <c r="J12" i="289" s="1"/>
  <c r="K9" i="289"/>
  <c r="J9" i="289" l="1"/>
  <c r="K31" i="289"/>
  <c r="K35" i="289" s="1"/>
  <c r="L37" i="289"/>
  <c r="D27" i="132" s="1"/>
  <c r="H62" i="280" l="1"/>
  <c r="G62" i="280"/>
  <c r="L84" i="288"/>
  <c r="M84" i="288"/>
  <c r="M65" i="288"/>
  <c r="M79" i="288" s="1"/>
  <c r="M83" i="288" s="1"/>
  <c r="L65" i="288"/>
  <c r="L79" i="288" s="1"/>
  <c r="L83" i="288" s="1"/>
  <c r="L85" i="288" s="1"/>
  <c r="L76" i="317" s="1"/>
  <c r="K27" i="288"/>
  <c r="J27" i="288" s="1"/>
  <c r="K24" i="288"/>
  <c r="J24" i="288" s="1"/>
  <c r="K23" i="288"/>
  <c r="J23" i="288" s="1"/>
  <c r="J22" i="288"/>
  <c r="K20" i="288"/>
  <c r="J20" i="288" s="1"/>
  <c r="K19" i="288"/>
  <c r="J19" i="288" s="1"/>
  <c r="K18" i="288"/>
  <c r="J18" i="288" s="1"/>
  <c r="J17" i="288"/>
  <c r="K16" i="288"/>
  <c r="J16" i="288" s="1"/>
  <c r="K15" i="288"/>
  <c r="J15" i="288" s="1"/>
  <c r="K14" i="288"/>
  <c r="J14" i="288" s="1"/>
  <c r="K13" i="288"/>
  <c r="J13" i="288" s="1"/>
  <c r="M85" i="288" l="1"/>
  <c r="E26" i="132" s="1"/>
  <c r="L76" i="318" s="1"/>
  <c r="D26" i="132"/>
  <c r="K79" i="288"/>
  <c r="M91" i="288" s="1"/>
  <c r="S17" i="287"/>
  <c r="R17" i="287"/>
  <c r="Q17" i="287"/>
  <c r="P17" i="287" s="1"/>
  <c r="S15" i="287"/>
  <c r="R15" i="287"/>
  <c r="Q15" i="287"/>
  <c r="P15" i="287" s="1"/>
  <c r="S14" i="287"/>
  <c r="R14" i="287"/>
  <c r="Q14" i="287"/>
  <c r="P14" i="287" s="1"/>
  <c r="S13" i="287"/>
  <c r="R13" i="287"/>
  <c r="Q13" i="287"/>
  <c r="P13" i="287" s="1"/>
  <c r="S12" i="287"/>
  <c r="S18" i="287" s="1"/>
  <c r="E23" i="132" s="1"/>
  <c r="R12" i="287"/>
  <c r="Q12" i="287"/>
  <c r="P12" i="287" s="1"/>
  <c r="Q11" i="287"/>
  <c r="P11" i="287" s="1"/>
  <c r="Q10" i="287"/>
  <c r="Q18" i="287" l="1"/>
  <c r="C23" i="132" s="1"/>
  <c r="R18" i="287"/>
  <c r="D23" i="132" s="1"/>
  <c r="L91" i="288"/>
  <c r="K83" i="288"/>
  <c r="P10" i="287"/>
  <c r="F16" i="286"/>
  <c r="G16" i="286"/>
  <c r="G10" i="286"/>
  <c r="I10" i="286" s="1"/>
  <c r="I11" i="286" l="1"/>
  <c r="F15" i="286" s="1"/>
  <c r="F17" i="286" s="1"/>
  <c r="D21" i="132" s="1"/>
  <c r="J10" i="286"/>
  <c r="J11" i="286" s="1"/>
  <c r="G15" i="286" s="1"/>
  <c r="G17" i="286" s="1"/>
  <c r="E21" i="132" s="1"/>
  <c r="G11" i="286"/>
  <c r="E15" i="286" s="1"/>
  <c r="J22" i="285" l="1"/>
  <c r="K22" i="285"/>
  <c r="I21" i="285"/>
  <c r="L17" i="285"/>
  <c r="K21" i="285" s="1"/>
  <c r="K23" i="285" s="1"/>
  <c r="E19" i="132" s="1"/>
  <c r="I17" i="285"/>
  <c r="J21" i="285" s="1"/>
  <c r="J23" i="285" s="1"/>
  <c r="D19" i="132" s="1"/>
  <c r="K10" i="285"/>
  <c r="H10" i="285"/>
  <c r="E10" i="285"/>
  <c r="K9" i="285"/>
  <c r="H9" i="285"/>
  <c r="E9" i="285"/>
  <c r="D17" i="132" l="1"/>
  <c r="E17" i="132"/>
  <c r="J28" i="279" l="1"/>
  <c r="I28" i="279"/>
  <c r="G73" i="282"/>
  <c r="G27" i="281"/>
  <c r="L24" i="281"/>
  <c r="N23" i="281"/>
  <c r="M23" i="281"/>
  <c r="N22" i="281"/>
  <c r="M22" i="281"/>
  <c r="I22" i="281"/>
  <c r="H22" i="281"/>
  <c r="M24" i="281" l="1"/>
  <c r="H27" i="281"/>
  <c r="I27" i="281"/>
  <c r="N24" i="281"/>
  <c r="H78" i="280" l="1"/>
  <c r="H82" i="280" s="1"/>
  <c r="H84" i="280" s="1"/>
  <c r="E14" i="132" s="1"/>
  <c r="G78" i="280"/>
  <c r="G82" i="280" s="1"/>
  <c r="G84" i="280" s="1"/>
  <c r="D14" i="132" s="1"/>
  <c r="F78" i="280"/>
  <c r="F82" i="280" s="1"/>
  <c r="E75" i="280"/>
  <c r="G29" i="279"/>
  <c r="G27" i="279"/>
  <c r="H27" i="279" s="1"/>
  <c r="E26" i="279"/>
  <c r="G26" i="279" s="1"/>
  <c r="H26" i="279" s="1"/>
  <c r="G25" i="279"/>
  <c r="G24" i="279"/>
  <c r="G23" i="279"/>
  <c r="G22" i="279"/>
  <c r="E21" i="279"/>
  <c r="G21" i="279" s="1"/>
  <c r="G20" i="279"/>
  <c r="H20" i="279" s="1"/>
  <c r="K20" i="279" s="1"/>
  <c r="G19" i="279"/>
  <c r="G18" i="279"/>
  <c r="G17" i="279"/>
  <c r="G16" i="279"/>
  <c r="G15" i="279"/>
  <c r="H15" i="279" s="1"/>
  <c r="B23" i="281" s="1"/>
  <c r="H25" i="279" l="1"/>
  <c r="K36" i="289" s="1"/>
  <c r="K37" i="289" s="1"/>
  <c r="C27" i="132" s="1"/>
  <c r="B24" i="281"/>
  <c r="D23" i="281"/>
  <c r="C23" i="281"/>
  <c r="H19" i="279"/>
  <c r="C17" i="132" s="1"/>
  <c r="H22" i="279"/>
  <c r="K22" i="279" s="1"/>
  <c r="K16" i="279"/>
  <c r="H16" i="279"/>
  <c r="G23" i="281" s="1"/>
  <c r="G28" i="281" s="1"/>
  <c r="G29" i="281" s="1"/>
  <c r="C15" i="132" s="1"/>
  <c r="H23" i="279"/>
  <c r="K23" i="279" s="1"/>
  <c r="H18" i="279"/>
  <c r="F83" i="280" s="1"/>
  <c r="F84" i="280" s="1"/>
  <c r="C14" i="132" s="1"/>
  <c r="H17" i="279"/>
  <c r="K17" i="279" s="1"/>
  <c r="H24" i="279"/>
  <c r="K84" i="288" s="1"/>
  <c r="K85" i="288" s="1"/>
  <c r="C26" i="132" s="1"/>
  <c r="H21" i="279"/>
  <c r="K27" i="279"/>
  <c r="K26" i="279"/>
  <c r="G28" i="279"/>
  <c r="K18" i="279" l="1"/>
  <c r="K25" i="279"/>
  <c r="K24" i="279"/>
  <c r="K19" i="279"/>
  <c r="H28" i="279"/>
  <c r="H29" i="279" s="1"/>
  <c r="E16" i="286"/>
  <c r="E17" i="286" s="1"/>
  <c r="C21" i="132" s="1"/>
  <c r="I22" i="285"/>
  <c r="I23" i="285" s="1"/>
  <c r="C19" i="132" s="1"/>
  <c r="C24" i="281"/>
  <c r="H23" i="281"/>
  <c r="H24" i="281" s="1"/>
  <c r="G24" i="281"/>
  <c r="I23" i="281"/>
  <c r="I24" i="281" s="1"/>
  <c r="D24" i="281"/>
  <c r="K21" i="279"/>
  <c r="K15" i="279"/>
  <c r="D14" i="205"/>
  <c r="D11" i="205"/>
  <c r="E11" i="205"/>
  <c r="C39" i="278"/>
  <c r="C38" i="278"/>
  <c r="C37" i="278"/>
  <c r="C36" i="278"/>
  <c r="C35" i="278"/>
  <c r="C34" i="278"/>
  <c r="E29" i="278"/>
  <c r="I29" i="278" s="1"/>
  <c r="E27" i="278"/>
  <c r="I27" i="278" s="1"/>
  <c r="E26" i="278"/>
  <c r="I26" i="278" s="1"/>
  <c r="E25" i="278"/>
  <c r="I25" i="278" s="1"/>
  <c r="K23" i="278"/>
  <c r="E17" i="205" s="1"/>
  <c r="J23" i="278"/>
  <c r="D17" i="205" s="1"/>
  <c r="G23" i="278"/>
  <c r="F23" i="278"/>
  <c r="E18" i="278"/>
  <c r="I18" i="278" s="1"/>
  <c r="E17" i="278"/>
  <c r="I17" i="278" s="1"/>
  <c r="E16" i="278"/>
  <c r="I16" i="278" s="1"/>
  <c r="K15" i="278"/>
  <c r="E14" i="205" s="1"/>
  <c r="J15" i="278"/>
  <c r="G15" i="278"/>
  <c r="F15" i="278"/>
  <c r="E11" i="278"/>
  <c r="I11" i="278" s="1"/>
  <c r="E10" i="278"/>
  <c r="I10" i="278" s="1"/>
  <c r="E9" i="278"/>
  <c r="I9" i="278" s="1"/>
  <c r="G8" i="278"/>
  <c r="F8" i="278"/>
  <c r="F7" i="278" s="1"/>
  <c r="I8" i="278" l="1"/>
  <c r="C11" i="205" s="1"/>
  <c r="G7" i="278"/>
  <c r="I28" i="281"/>
  <c r="I29" i="281" s="1"/>
  <c r="E15" i="132" s="1"/>
  <c r="I15" i="278"/>
  <c r="I23" i="278"/>
  <c r="C17" i="205" s="1"/>
  <c r="E8" i="278"/>
  <c r="E23" i="278"/>
  <c r="K28" i="279"/>
  <c r="E15" i="278"/>
  <c r="E7" i="278" s="1"/>
  <c r="I7" i="278" s="1"/>
  <c r="H28" i="281"/>
  <c r="H29" i="281" s="1"/>
  <c r="D15" i="132" s="1"/>
  <c r="C14" i="205"/>
  <c r="F16" i="176" l="1"/>
  <c r="I9" i="180"/>
  <c r="J9" i="180"/>
  <c r="K9" i="180"/>
  <c r="L9" i="180"/>
  <c r="M9" i="180"/>
  <c r="C16" i="176" s="1"/>
  <c r="N9" i="180"/>
  <c r="D16" i="176" s="1"/>
  <c r="O9" i="180"/>
  <c r="H9" i="180"/>
  <c r="E16" i="176" l="1"/>
  <c r="L30" i="318"/>
  <c r="L26" i="318" s="1"/>
  <c r="C17" i="184"/>
  <c r="K49" i="207" l="1"/>
  <c r="K47" i="207" s="1"/>
  <c r="C14" i="204"/>
  <c r="D17" i="184" s="1"/>
  <c r="D14" i="204"/>
  <c r="E17" i="184" s="1"/>
  <c r="C18" i="273"/>
  <c r="C10" i="273" s="1"/>
  <c r="C33" i="273" s="1"/>
  <c r="E33" i="273"/>
  <c r="D33" i="273"/>
  <c r="J88" i="207" l="1"/>
  <c r="E10" i="270" l="1"/>
  <c r="E14" i="270" s="1"/>
  <c r="F52" i="318" s="1"/>
  <c r="F48" i="318" s="1"/>
  <c r="D10" i="270"/>
  <c r="D14" i="270" s="1"/>
  <c r="F52" i="317" s="1"/>
  <c r="F48" i="317" s="1"/>
  <c r="C10" i="270"/>
  <c r="C14" i="270" s="1"/>
  <c r="F64" i="207" s="1"/>
  <c r="H29" i="151" l="1"/>
  <c r="G29" i="151"/>
  <c r="F29" i="151"/>
  <c r="F19" i="132" l="1"/>
  <c r="C10" i="230"/>
  <c r="C14" i="230" s="1"/>
  <c r="M64" i="207" s="1"/>
  <c r="E10" i="230"/>
  <c r="E14" i="230" s="1"/>
  <c r="D10" i="230"/>
  <c r="D14" i="230" s="1"/>
  <c r="F27" i="132" l="1"/>
  <c r="C10" i="132" l="1"/>
  <c r="M86" i="207" s="1"/>
  <c r="E10" i="132" l="1"/>
  <c r="D10" i="132"/>
  <c r="N20" i="211" l="1"/>
  <c r="M20" i="211"/>
  <c r="L20" i="211"/>
  <c r="N19" i="211"/>
  <c r="M19" i="211"/>
  <c r="L19" i="211"/>
  <c r="N18" i="211"/>
  <c r="M18" i="211"/>
  <c r="L18" i="211"/>
  <c r="N17" i="211"/>
  <c r="M17" i="211"/>
  <c r="L17" i="211"/>
  <c r="N14" i="211"/>
  <c r="M14" i="211"/>
  <c r="L14" i="211"/>
  <c r="N13" i="211"/>
  <c r="M13" i="211"/>
  <c r="L13" i="211"/>
  <c r="F12" i="174"/>
  <c r="F11" i="174" s="1"/>
  <c r="F24" i="174" s="1"/>
  <c r="E12" i="174"/>
  <c r="D12" i="174"/>
  <c r="C12" i="174"/>
  <c r="L21" i="211" l="1"/>
  <c r="C13" i="174" s="1"/>
  <c r="C11" i="174" s="1"/>
  <c r="C24" i="174" s="1"/>
  <c r="N21" i="211"/>
  <c r="E13" i="174" s="1"/>
  <c r="L25" i="318" s="1"/>
  <c r="M21" i="211"/>
  <c r="D13" i="174" s="1"/>
  <c r="L25" i="317" s="1"/>
  <c r="D11" i="174"/>
  <c r="D24" i="174" s="1"/>
  <c r="E11" i="174"/>
  <c r="E24" i="174" s="1"/>
  <c r="D96" i="207"/>
  <c r="D94" i="207"/>
  <c r="D93" i="207"/>
  <c r="D92" i="207"/>
  <c r="D85" i="207"/>
  <c r="D84" i="207"/>
  <c r="D83" i="207"/>
  <c r="D81" i="207"/>
  <c r="D79" i="207"/>
  <c r="D78" i="207"/>
  <c r="D75" i="207"/>
  <c r="D74" i="207"/>
  <c r="F95" i="207"/>
  <c r="G95" i="207"/>
  <c r="H95" i="207"/>
  <c r="I95" i="207"/>
  <c r="J95" i="207"/>
  <c r="K95" i="207"/>
  <c r="L95" i="207"/>
  <c r="M95" i="207"/>
  <c r="N95" i="207"/>
  <c r="E95" i="207"/>
  <c r="F91" i="207"/>
  <c r="G91" i="207"/>
  <c r="H91" i="207"/>
  <c r="I91" i="207"/>
  <c r="J91" i="207"/>
  <c r="K91" i="207"/>
  <c r="L91" i="207"/>
  <c r="M91" i="207"/>
  <c r="N91" i="207"/>
  <c r="E91" i="207"/>
  <c r="G82" i="207"/>
  <c r="I82" i="207"/>
  <c r="K82" i="207"/>
  <c r="F80" i="207"/>
  <c r="G80" i="207"/>
  <c r="H80" i="207"/>
  <c r="I80" i="207"/>
  <c r="J80" i="207"/>
  <c r="K80" i="207"/>
  <c r="L80" i="207"/>
  <c r="M80" i="207"/>
  <c r="N80" i="207"/>
  <c r="E80" i="207"/>
  <c r="F77" i="207"/>
  <c r="G77" i="207"/>
  <c r="H77" i="207"/>
  <c r="I77" i="207"/>
  <c r="J77" i="207"/>
  <c r="K77" i="207"/>
  <c r="L77" i="207"/>
  <c r="M77" i="207"/>
  <c r="N77" i="207"/>
  <c r="E77" i="207"/>
  <c r="F73" i="207"/>
  <c r="G73" i="207"/>
  <c r="H73" i="207"/>
  <c r="I73" i="207"/>
  <c r="J73" i="207"/>
  <c r="K73" i="207"/>
  <c r="L73" i="207"/>
  <c r="N73" i="207"/>
  <c r="E73" i="207"/>
  <c r="N71" i="207"/>
  <c r="M71" i="207"/>
  <c r="M69" i="207" s="1"/>
  <c r="L71" i="207"/>
  <c r="L69" i="207" s="1"/>
  <c r="K71" i="207"/>
  <c r="K69" i="207" s="1"/>
  <c r="J71" i="207"/>
  <c r="J69" i="207" s="1"/>
  <c r="I71" i="207"/>
  <c r="I69" i="207" s="1"/>
  <c r="H71" i="207"/>
  <c r="H69" i="207" s="1"/>
  <c r="F71" i="207"/>
  <c r="F69" i="207" s="1"/>
  <c r="N69" i="207"/>
  <c r="E71" i="207"/>
  <c r="F60" i="207"/>
  <c r="H60" i="207"/>
  <c r="I60" i="207"/>
  <c r="K60" i="207"/>
  <c r="L60" i="207"/>
  <c r="N60" i="207"/>
  <c r="E88" i="207"/>
  <c r="D57" i="207"/>
  <c r="D56" i="207"/>
  <c r="D55" i="207"/>
  <c r="D53" i="207"/>
  <c r="D48" i="207"/>
  <c r="D46" i="207"/>
  <c r="D45" i="207"/>
  <c r="D43" i="207"/>
  <c r="D39" i="207"/>
  <c r="D36" i="207"/>
  <c r="E35" i="207"/>
  <c r="F54" i="207"/>
  <c r="G54" i="207"/>
  <c r="H54" i="207"/>
  <c r="I54" i="207"/>
  <c r="J54" i="207"/>
  <c r="K54" i="207"/>
  <c r="L54" i="207"/>
  <c r="M54" i="207"/>
  <c r="N54" i="207"/>
  <c r="E54" i="207"/>
  <c r="F44" i="207"/>
  <c r="G44" i="207"/>
  <c r="H44" i="207"/>
  <c r="I44" i="207"/>
  <c r="J44" i="207"/>
  <c r="K44" i="207"/>
  <c r="L44" i="207"/>
  <c r="M44" i="207"/>
  <c r="N44" i="207"/>
  <c r="E44" i="207"/>
  <c r="D25" i="317" l="1"/>
  <c r="L23" i="317"/>
  <c r="D25" i="318"/>
  <c r="L23" i="318"/>
  <c r="D95" i="207"/>
  <c r="D54" i="207"/>
  <c r="K58" i="207"/>
  <c r="D80" i="207"/>
  <c r="D44" i="207"/>
  <c r="I58" i="207"/>
  <c r="D77" i="207"/>
  <c r="D91" i="207"/>
  <c r="E69" i="207"/>
  <c r="G38" i="207"/>
  <c r="H38" i="207"/>
  <c r="I38" i="207"/>
  <c r="J38" i="207"/>
  <c r="K38" i="207"/>
  <c r="L38" i="207"/>
  <c r="N38" i="207"/>
  <c r="F35" i="207"/>
  <c r="G35" i="207"/>
  <c r="H35" i="207"/>
  <c r="I35" i="207"/>
  <c r="I34" i="207" s="1"/>
  <c r="I23" i="207" s="1"/>
  <c r="J35" i="207"/>
  <c r="K35" i="207"/>
  <c r="L35" i="207"/>
  <c r="N35" i="207"/>
  <c r="D42" i="207"/>
  <c r="M37" i="207"/>
  <c r="D37" i="207" s="1"/>
  <c r="D10" i="206"/>
  <c r="D18" i="206" s="1"/>
  <c r="E10" i="206"/>
  <c r="E18" i="206" s="1"/>
  <c r="C10" i="206"/>
  <c r="C18" i="206" s="1"/>
  <c r="M76" i="207" s="1"/>
  <c r="L22" i="318" l="1"/>
  <c r="L12" i="318" s="1"/>
  <c r="D23" i="318"/>
  <c r="D12" i="318" s="1"/>
  <c r="L22" i="317"/>
  <c r="L12" i="317" s="1"/>
  <c r="D23" i="317"/>
  <c r="D12" i="317" s="1"/>
  <c r="M73" i="207"/>
  <c r="D73" i="207" s="1"/>
  <c r="D76" i="207"/>
  <c r="M35" i="207"/>
  <c r="D35" i="207" s="1"/>
  <c r="I22" i="207"/>
  <c r="K34" i="207"/>
  <c r="K23" i="207" s="1"/>
  <c r="D10" i="205"/>
  <c r="D21" i="205" s="1"/>
  <c r="C10" i="205"/>
  <c r="C21" i="205" s="1"/>
  <c r="M63" i="207" s="1"/>
  <c r="E10" i="205"/>
  <c r="E21" i="205" s="1"/>
  <c r="C16" i="184"/>
  <c r="H13" i="204"/>
  <c r="J8" i="204"/>
  <c r="I8" i="204"/>
  <c r="H8" i="204"/>
  <c r="K22" i="207" l="1"/>
  <c r="J49" i="207"/>
  <c r="J47" i="207" s="1"/>
  <c r="D10" i="202" l="1"/>
  <c r="D33" i="202" s="1"/>
  <c r="C10" i="202"/>
  <c r="E10" i="202"/>
  <c r="E33" i="202" s="1"/>
  <c r="E10" i="201"/>
  <c r="C10" i="201"/>
  <c r="C14" i="201" s="1"/>
  <c r="J64" i="207" s="1"/>
  <c r="J60" i="207" s="1"/>
  <c r="D10" i="201"/>
  <c r="E10" i="199"/>
  <c r="K76" i="318" s="1"/>
  <c r="D10" i="199"/>
  <c r="K76" i="317" s="1"/>
  <c r="K74" i="317" l="1"/>
  <c r="K70" i="317" s="1"/>
  <c r="K46" i="317" s="1"/>
  <c r="D76" i="317"/>
  <c r="K74" i="318"/>
  <c r="K70" i="318" s="1"/>
  <c r="K46" i="318" s="1"/>
  <c r="D76" i="318"/>
  <c r="E33" i="199"/>
  <c r="E35" i="199" s="1"/>
  <c r="D11" i="204"/>
  <c r="D33" i="199"/>
  <c r="D35" i="199" s="1"/>
  <c r="C11" i="204"/>
  <c r="C33" i="199"/>
  <c r="C35" i="199" s="1"/>
  <c r="L88" i="207"/>
  <c r="L86" i="207" s="1"/>
  <c r="L82" i="207" s="1"/>
  <c r="L58" i="207" s="1"/>
  <c r="B11" i="204"/>
  <c r="C33" i="202"/>
  <c r="J86" i="207"/>
  <c r="J82" i="207" s="1"/>
  <c r="J58" i="207" s="1"/>
  <c r="E14" i="201"/>
  <c r="D13" i="204"/>
  <c r="D14" i="201"/>
  <c r="C13" i="204"/>
  <c r="J34" i="207"/>
  <c r="J23" i="207" s="1"/>
  <c r="J11" i="204" l="1"/>
  <c r="E18" i="184"/>
  <c r="K38" i="318" s="1"/>
  <c r="I11" i="204"/>
  <c r="D18" i="184"/>
  <c r="K38" i="317" s="1"/>
  <c r="H11" i="204"/>
  <c r="C18" i="184"/>
  <c r="L50" i="207" s="1"/>
  <c r="L47" i="207" s="1"/>
  <c r="J13" i="204"/>
  <c r="E16" i="184"/>
  <c r="D16" i="184"/>
  <c r="I13" i="204"/>
  <c r="J22" i="207"/>
  <c r="D38" i="318" l="1"/>
  <c r="K35" i="318"/>
  <c r="K22" i="318" s="1"/>
  <c r="K35" i="317"/>
  <c r="K22" i="317" s="1"/>
  <c r="D38" i="317"/>
  <c r="D50" i="207"/>
  <c r="L34" i="207"/>
  <c r="L23" i="207" s="1"/>
  <c r="K12" i="317" l="1"/>
  <c r="K11" i="317"/>
  <c r="K12" i="318"/>
  <c r="K11" i="318"/>
  <c r="L22" i="207"/>
  <c r="D10" i="192"/>
  <c r="E10" i="192"/>
  <c r="E17" i="192" s="1"/>
  <c r="C10" i="192"/>
  <c r="C17" i="192" s="1"/>
  <c r="G72" i="207" s="1"/>
  <c r="D10" i="191"/>
  <c r="G51" i="317" s="1"/>
  <c r="G48" i="317" l="1"/>
  <c r="G46" i="317" s="1"/>
  <c r="D51" i="317"/>
  <c r="D17" i="192"/>
  <c r="C9" i="204"/>
  <c r="J10" i="204"/>
  <c r="E14" i="184"/>
  <c r="H37" i="318" s="1"/>
  <c r="H35" i="318" s="1"/>
  <c r="H22" i="318" s="1"/>
  <c r="H82" i="207"/>
  <c r="H58" i="207" s="1"/>
  <c r="D72" i="207"/>
  <c r="G71" i="207"/>
  <c r="E10" i="191"/>
  <c r="D9" i="204" s="1"/>
  <c r="D22" i="191"/>
  <c r="C15" i="204"/>
  <c r="C10" i="191"/>
  <c r="G63" i="207" s="1"/>
  <c r="G60" i="207" s="1"/>
  <c r="E10" i="187"/>
  <c r="E33" i="187" s="1"/>
  <c r="D10" i="187"/>
  <c r="C10" i="187"/>
  <c r="E9" i="183"/>
  <c r="C14" i="182" s="1"/>
  <c r="C9" i="182" s="1"/>
  <c r="C17" i="182" s="1"/>
  <c r="N51" i="207" s="1"/>
  <c r="F16" i="181"/>
  <c r="E16" i="181"/>
  <c r="D16" i="181"/>
  <c r="C16" i="181"/>
  <c r="F10" i="176"/>
  <c r="F19" i="176" s="1"/>
  <c r="F74" i="318" l="1"/>
  <c r="F70" i="318" s="1"/>
  <c r="F46" i="318" s="1"/>
  <c r="F74" i="317"/>
  <c r="F70" i="317" s="1"/>
  <c r="F46" i="317" s="1"/>
  <c r="H12" i="318"/>
  <c r="H11" i="318"/>
  <c r="N47" i="207"/>
  <c r="D51" i="207"/>
  <c r="D9" i="177"/>
  <c r="I10" i="204"/>
  <c r="D14" i="184"/>
  <c r="H37" i="317" s="1"/>
  <c r="H35" i="317" s="1"/>
  <c r="H22" i="317" s="1"/>
  <c r="H10" i="204"/>
  <c r="C14" i="184"/>
  <c r="H49" i="207" s="1"/>
  <c r="G69" i="207"/>
  <c r="D69" i="207" s="1"/>
  <c r="D71" i="207"/>
  <c r="D33" i="187"/>
  <c r="C33" i="187"/>
  <c r="F86" i="207"/>
  <c r="F82" i="207" s="1"/>
  <c r="F58" i="207" s="1"/>
  <c r="E22" i="191"/>
  <c r="D15" i="204"/>
  <c r="I9" i="204"/>
  <c r="D13" i="184"/>
  <c r="G37" i="317" s="1"/>
  <c r="C22" i="191"/>
  <c r="B9" i="204"/>
  <c r="B15" i="204" s="1"/>
  <c r="G35" i="317" l="1"/>
  <c r="D37" i="317"/>
  <c r="H47" i="207"/>
  <c r="H34" i="207" s="1"/>
  <c r="H12" i="317"/>
  <c r="H11" i="317"/>
  <c r="N34" i="207"/>
  <c r="G58" i="207"/>
  <c r="B9" i="177"/>
  <c r="J9" i="177"/>
  <c r="E13" i="176"/>
  <c r="F28" i="318" s="1"/>
  <c r="F26" i="318" s="1"/>
  <c r="F22" i="318" s="1"/>
  <c r="C9" i="177"/>
  <c r="E13" i="184"/>
  <c r="G37" i="318" s="1"/>
  <c r="J9" i="204"/>
  <c r="D11" i="184"/>
  <c r="D10" i="184" s="1"/>
  <c r="D22" i="184" s="1"/>
  <c r="H9" i="204"/>
  <c r="C13" i="184"/>
  <c r="H23" i="207" l="1"/>
  <c r="H22" i="207"/>
  <c r="F11" i="318"/>
  <c r="F12" i="318"/>
  <c r="G35" i="318"/>
  <c r="D37" i="318"/>
  <c r="G22" i="317"/>
  <c r="D35" i="317"/>
  <c r="C13" i="176"/>
  <c r="F40" i="207" s="1"/>
  <c r="F38" i="207" s="1"/>
  <c r="F34" i="207" s="1"/>
  <c r="H9" i="177"/>
  <c r="I9" i="177"/>
  <c r="D13" i="176"/>
  <c r="F28" i="317" s="1"/>
  <c r="F26" i="317" s="1"/>
  <c r="F22" i="317" s="1"/>
  <c r="E11" i="184"/>
  <c r="E10" i="184" s="1"/>
  <c r="E22" i="184" s="1"/>
  <c r="G49" i="207"/>
  <c r="G47" i="207" s="1"/>
  <c r="D47" i="207" s="1"/>
  <c r="C11" i="184"/>
  <c r="C10" i="184" s="1"/>
  <c r="C22" i="184" s="1"/>
  <c r="F12" i="317" l="1"/>
  <c r="F11" i="317"/>
  <c r="G12" i="317"/>
  <c r="G11" i="317"/>
  <c r="D35" i="318"/>
  <c r="G22" i="318"/>
  <c r="F23" i="207"/>
  <c r="F22" i="207"/>
  <c r="D49" i="207"/>
  <c r="G11" i="318" l="1"/>
  <c r="G12" i="318"/>
  <c r="G34" i="207"/>
  <c r="G23" i="207" s="1"/>
  <c r="D52" i="207"/>
  <c r="G22" i="207" l="1"/>
  <c r="E10" i="147" l="1"/>
  <c r="E14" i="147" s="1"/>
  <c r="E52" i="318" s="1"/>
  <c r="D52" i="318" s="1"/>
  <c r="D10" i="147"/>
  <c r="D14" i="147" s="1"/>
  <c r="E52" i="317" s="1"/>
  <c r="D52" i="317" s="1"/>
  <c r="C10" i="147"/>
  <c r="C14" i="147" s="1"/>
  <c r="E64" i="207" s="1"/>
  <c r="D64" i="207" s="1"/>
  <c r="H24" i="139" l="1"/>
  <c r="N18" i="139"/>
  <c r="E16" i="142" s="1"/>
  <c r="M18" i="139"/>
  <c r="D16" i="142" s="1"/>
  <c r="L18" i="139"/>
  <c r="K18" i="139"/>
  <c r="C16" i="142" s="1"/>
  <c r="J18" i="139"/>
  <c r="I18" i="139"/>
  <c r="H18" i="139"/>
  <c r="G18" i="139"/>
  <c r="F18" i="139"/>
  <c r="E18" i="139"/>
  <c r="D18" i="139"/>
  <c r="C18" i="139"/>
  <c r="E13" i="137"/>
  <c r="E55" i="318" s="1"/>
  <c r="D13" i="137"/>
  <c r="E55" i="317" s="1"/>
  <c r="C13" i="137"/>
  <c r="E67" i="207" s="1"/>
  <c r="E65" i="207" s="1"/>
  <c r="E13" i="136"/>
  <c r="E50" i="318" s="1"/>
  <c r="D13" i="136"/>
  <c r="E50" i="317" s="1"/>
  <c r="C13" i="136"/>
  <c r="D55" i="317" l="1"/>
  <c r="E53" i="317"/>
  <c r="D53" i="317" s="1"/>
  <c r="D50" i="317"/>
  <c r="E48" i="317"/>
  <c r="D48" i="317" s="1"/>
  <c r="E53" i="318"/>
  <c r="D53" i="318" s="1"/>
  <c r="D55" i="318"/>
  <c r="D50" i="318"/>
  <c r="E62" i="207"/>
  <c r="C10" i="142"/>
  <c r="C22" i="142" s="1"/>
  <c r="E63" i="207" s="1"/>
  <c r="D63" i="207" s="1"/>
  <c r="D10" i="142"/>
  <c r="D22" i="142" s="1"/>
  <c r="E10" i="142"/>
  <c r="E22" i="142" s="1"/>
  <c r="E48" i="318" l="1"/>
  <c r="D48" i="318" s="1"/>
  <c r="E60" i="207"/>
  <c r="D10" i="151"/>
  <c r="E74" i="317" s="1"/>
  <c r="C10" i="151"/>
  <c r="E86" i="207" l="1"/>
  <c r="B8" i="177"/>
  <c r="E70" i="317"/>
  <c r="D33" i="151"/>
  <c r="C33" i="151"/>
  <c r="E46" i="317" l="1"/>
  <c r="H8" i="177"/>
  <c r="E82" i="207"/>
  <c r="E58" i="207" s="1"/>
  <c r="D35" i="151"/>
  <c r="C8" i="177"/>
  <c r="C10" i="177" s="1"/>
  <c r="C35" i="151"/>
  <c r="M88" i="207"/>
  <c r="D88" i="207" s="1"/>
  <c r="C12" i="176" l="1"/>
  <c r="C10" i="176" s="1"/>
  <c r="C19" i="176" s="1"/>
  <c r="B10" i="177"/>
  <c r="D12" i="176"/>
  <c r="E28" i="317" s="1"/>
  <c r="I8" i="177"/>
  <c r="E40" i="207"/>
  <c r="D13" i="130"/>
  <c r="C13" i="130"/>
  <c r="M67" i="207" s="1"/>
  <c r="E13" i="130"/>
  <c r="D13" i="129"/>
  <c r="E13" i="129"/>
  <c r="C13" i="129"/>
  <c r="E26" i="317" l="1"/>
  <c r="D28" i="317"/>
  <c r="D10" i="176"/>
  <c r="D19" i="176" s="1"/>
  <c r="M62" i="207"/>
  <c r="D62" i="207" s="1"/>
  <c r="M65" i="207"/>
  <c r="D67" i="207"/>
  <c r="D40" i="207"/>
  <c r="E38" i="207"/>
  <c r="E34" i="207" s="1"/>
  <c r="E22" i="317" l="1"/>
  <c r="D26" i="317"/>
  <c r="E23" i="207"/>
  <c r="E22" i="207"/>
  <c r="M60" i="207"/>
  <c r="D60" i="207" s="1"/>
  <c r="D65" i="207"/>
  <c r="E12" i="317" l="1"/>
  <c r="D22" i="317"/>
  <c r="E11" i="317"/>
  <c r="D30" i="132"/>
  <c r="L74" i="317" s="1"/>
  <c r="E30" i="132"/>
  <c r="L74" i="318" s="1"/>
  <c r="L70" i="318" s="1"/>
  <c r="L46" i="318" s="1"/>
  <c r="L11" i="318" s="1"/>
  <c r="C30" i="132"/>
  <c r="L70" i="317" l="1"/>
  <c r="D74" i="317"/>
  <c r="C32" i="132"/>
  <c r="D32" i="132"/>
  <c r="E32" i="132"/>
  <c r="C14" i="129"/>
  <c r="L46" i="317" l="1"/>
  <c r="D70" i="317"/>
  <c r="M82" i="207"/>
  <c r="D41" i="207"/>
  <c r="M38" i="207"/>
  <c r="M34" i="207" s="1"/>
  <c r="L11" i="317" l="1"/>
  <c r="D46" i="317"/>
  <c r="D11" i="317" s="1"/>
  <c r="M24" i="207"/>
  <c r="M58" i="207"/>
  <c r="M25" i="207" s="1"/>
  <c r="D38" i="207"/>
  <c r="K11" i="111"/>
  <c r="Q11" i="111" s="1"/>
  <c r="W11" i="111" s="1"/>
  <c r="L16" i="111"/>
  <c r="M16" i="111"/>
  <c r="N16" i="111"/>
  <c r="R16" i="111"/>
  <c r="S16" i="111"/>
  <c r="T16" i="111"/>
  <c r="H16" i="111"/>
  <c r="E16" i="111"/>
  <c r="D15" i="111"/>
  <c r="C15" i="111"/>
  <c r="D14" i="111"/>
  <c r="C14" i="111"/>
  <c r="D13" i="111"/>
  <c r="C13" i="111"/>
  <c r="G11" i="111"/>
  <c r="F11" i="111"/>
  <c r="D11" i="111"/>
  <c r="D12" i="111"/>
  <c r="C12" i="111"/>
  <c r="D10" i="111"/>
  <c r="C10" i="111"/>
  <c r="D34" i="207" l="1"/>
  <c r="D23" i="207" s="1"/>
  <c r="D16" i="111"/>
  <c r="G16" i="111"/>
  <c r="F16" i="111"/>
  <c r="D22" i="111" l="1"/>
  <c r="AE28" i="110" l="1"/>
  <c r="AD28" i="110"/>
  <c r="AB28" i="110"/>
  <c r="AA28" i="110"/>
  <c r="Y28" i="110"/>
  <c r="X28" i="110"/>
  <c r="N28" i="110"/>
  <c r="J28" i="110"/>
  <c r="I28" i="110"/>
  <c r="D28" i="110"/>
  <c r="C28" i="110"/>
  <c r="AS27" i="110"/>
  <c r="AF27" i="110"/>
  <c r="AC27" i="110"/>
  <c r="Z27" i="110"/>
  <c r="H27" i="110"/>
  <c r="G27" i="110"/>
  <c r="E27" i="110"/>
  <c r="F27" i="110" s="1"/>
  <c r="AS26" i="110"/>
  <c r="AF26" i="110"/>
  <c r="AC26" i="110"/>
  <c r="Z26" i="110"/>
  <c r="H26" i="110"/>
  <c r="G26" i="110"/>
  <c r="E26" i="110"/>
  <c r="F26" i="110" s="1"/>
  <c r="AS25" i="110"/>
  <c r="E25" i="110"/>
  <c r="F25" i="110" s="1"/>
  <c r="AS24" i="110"/>
  <c r="E24" i="110"/>
  <c r="F24" i="110" s="1"/>
  <c r="AS23" i="110"/>
  <c r="AF23" i="110"/>
  <c r="AC23" i="110"/>
  <c r="Z23" i="110"/>
  <c r="K23" i="110"/>
  <c r="H23" i="110"/>
  <c r="G23" i="110"/>
  <c r="E23" i="110"/>
  <c r="F23" i="110" s="1"/>
  <c r="AS22" i="110"/>
  <c r="AF22" i="110"/>
  <c r="AC22" i="110"/>
  <c r="Z22" i="110"/>
  <c r="E22" i="110"/>
  <c r="F22" i="110" s="1"/>
  <c r="AS21" i="110"/>
  <c r="AF21" i="110"/>
  <c r="AC21" i="110"/>
  <c r="Z21" i="110"/>
  <c r="H21" i="110"/>
  <c r="E21" i="110"/>
  <c r="F21" i="110" s="1"/>
  <c r="AS20" i="110"/>
  <c r="AF20" i="110"/>
  <c r="AC20" i="110"/>
  <c r="Z20" i="110"/>
  <c r="E20" i="110"/>
  <c r="F20" i="110" s="1"/>
  <c r="AS19" i="110"/>
  <c r="AF19" i="110"/>
  <c r="AC19" i="110"/>
  <c r="Z19" i="110"/>
  <c r="H19" i="110"/>
  <c r="E19" i="110"/>
  <c r="F19" i="110" s="1"/>
  <c r="AS18" i="110"/>
  <c r="AF18" i="110"/>
  <c r="AC18" i="110"/>
  <c r="Z18" i="110"/>
  <c r="K18" i="110"/>
  <c r="H18" i="110"/>
  <c r="E18" i="110"/>
  <c r="F18" i="110" s="1"/>
  <c r="AS17" i="110"/>
  <c r="AF17" i="110"/>
  <c r="AC17" i="110"/>
  <c r="Z17" i="110"/>
  <c r="H17" i="110"/>
  <c r="E17" i="110"/>
  <c r="F17" i="110" s="1"/>
  <c r="AS16" i="110"/>
  <c r="AF16" i="110"/>
  <c r="AC16" i="110"/>
  <c r="Z16" i="110"/>
  <c r="E16" i="110"/>
  <c r="F16" i="110" s="1"/>
  <c r="AS15" i="110"/>
  <c r="AF15" i="110"/>
  <c r="AC15" i="110"/>
  <c r="Z15" i="110"/>
  <c r="E15" i="110"/>
  <c r="F15" i="110" s="1"/>
  <c r="K15" i="110" s="1"/>
  <c r="AS14" i="110"/>
  <c r="AO14" i="110"/>
  <c r="AF14" i="110"/>
  <c r="AC14" i="110"/>
  <c r="Z14" i="110"/>
  <c r="F14" i="110"/>
  <c r="E14" i="110"/>
  <c r="AS13" i="110"/>
  <c r="AF13" i="110"/>
  <c r="AC13" i="110"/>
  <c r="Z13" i="110"/>
  <c r="K13" i="110"/>
  <c r="E13" i="110"/>
  <c r="F13" i="110" s="1"/>
  <c r="AS12" i="110"/>
  <c r="AF12" i="110"/>
  <c r="AC12" i="110"/>
  <c r="Z12" i="110"/>
  <c r="H12" i="110"/>
  <c r="E12" i="110"/>
  <c r="F12" i="110" s="1"/>
  <c r="AS11" i="110"/>
  <c r="AF11" i="110"/>
  <c r="AC11" i="110"/>
  <c r="Z11" i="110"/>
  <c r="K11" i="110"/>
  <c r="H11" i="110"/>
  <c r="E11" i="110"/>
  <c r="F11" i="110" s="1"/>
  <c r="AS10" i="110"/>
  <c r="AO10" i="110"/>
  <c r="AF10" i="110"/>
  <c r="AC10" i="110"/>
  <c r="Z10" i="110"/>
  <c r="K10" i="110"/>
  <c r="H10" i="110"/>
  <c r="E10" i="110"/>
  <c r="F10" i="110" s="1"/>
  <c r="L10" i="110" s="1"/>
  <c r="AS9" i="110"/>
  <c r="AO9" i="110"/>
  <c r="AF9" i="110"/>
  <c r="AC9" i="110"/>
  <c r="Z9" i="110"/>
  <c r="E9" i="110"/>
  <c r="F9" i="110" s="1"/>
  <c r="AE25" i="109"/>
  <c r="AD25" i="109"/>
  <c r="AB25" i="109"/>
  <c r="AA25" i="109"/>
  <c r="Y25" i="109"/>
  <c r="X25" i="109"/>
  <c r="U25" i="109"/>
  <c r="I25" i="109"/>
  <c r="D25" i="109"/>
  <c r="C25" i="109"/>
  <c r="AS24" i="109"/>
  <c r="AF24" i="109"/>
  <c r="AC24" i="109"/>
  <c r="Z24" i="109"/>
  <c r="E24" i="109"/>
  <c r="F24" i="109" s="1"/>
  <c r="M24" i="109" s="1"/>
  <c r="AF23" i="109"/>
  <c r="AC23" i="109"/>
  <c r="Z23" i="109"/>
  <c r="E23" i="109"/>
  <c r="F23" i="109" s="1"/>
  <c r="AS22" i="109"/>
  <c r="AF22" i="109"/>
  <c r="AC22" i="109"/>
  <c r="Z22" i="109"/>
  <c r="H22" i="109"/>
  <c r="G22" i="109"/>
  <c r="G25" i="109" s="1"/>
  <c r="E22" i="109"/>
  <c r="F22" i="109" s="1"/>
  <c r="L22" i="109" s="1"/>
  <c r="AS21" i="109"/>
  <c r="AF21" i="109"/>
  <c r="AC21" i="109"/>
  <c r="Z21" i="109"/>
  <c r="H21" i="109"/>
  <c r="E21" i="109"/>
  <c r="F21" i="109" s="1"/>
  <c r="AF20" i="109"/>
  <c r="AC20" i="109"/>
  <c r="Z20" i="109"/>
  <c r="E20" i="109"/>
  <c r="F20" i="109" s="1"/>
  <c r="L20" i="109" s="1"/>
  <c r="AF19" i="109"/>
  <c r="AC19" i="109"/>
  <c r="Z19" i="109"/>
  <c r="E19" i="109"/>
  <c r="F19" i="109" s="1"/>
  <c r="AF18" i="109"/>
  <c r="AC18" i="109"/>
  <c r="Z18" i="109"/>
  <c r="F18" i="109"/>
  <c r="L18" i="109" s="1"/>
  <c r="E18" i="109"/>
  <c r="AS17" i="109"/>
  <c r="AF17" i="109"/>
  <c r="AC17" i="109"/>
  <c r="Z17" i="109"/>
  <c r="K17" i="109"/>
  <c r="J17" i="109"/>
  <c r="J25" i="109" s="1"/>
  <c r="H17" i="109"/>
  <c r="E17" i="109"/>
  <c r="F17" i="109" s="1"/>
  <c r="L17" i="109" s="1"/>
  <c r="AS16" i="109"/>
  <c r="AF16" i="109"/>
  <c r="AC16" i="109"/>
  <c r="Z16" i="109"/>
  <c r="H16" i="109"/>
  <c r="E16" i="109"/>
  <c r="F16" i="109" s="1"/>
  <c r="L16" i="109" s="1"/>
  <c r="AS15" i="109"/>
  <c r="AF15" i="109"/>
  <c r="AC15" i="109"/>
  <c r="Z15" i="109"/>
  <c r="H15" i="109"/>
  <c r="E15" i="109"/>
  <c r="F15" i="109" s="1"/>
  <c r="L15" i="109" s="1"/>
  <c r="AS14" i="109"/>
  <c r="AF14" i="109"/>
  <c r="AC14" i="109"/>
  <c r="Z14" i="109"/>
  <c r="H14" i="109"/>
  <c r="E14" i="109"/>
  <c r="F14" i="109" s="1"/>
  <c r="AS13" i="109"/>
  <c r="AF13" i="109"/>
  <c r="AC13" i="109"/>
  <c r="Z13" i="109"/>
  <c r="H13" i="109"/>
  <c r="E13" i="109"/>
  <c r="F13" i="109" s="1"/>
  <c r="AS12" i="109"/>
  <c r="AF12" i="109"/>
  <c r="AC12" i="109"/>
  <c r="Z12" i="109"/>
  <c r="E12" i="109"/>
  <c r="F12" i="109" s="1"/>
  <c r="L12" i="109" s="1"/>
  <c r="AS11" i="109"/>
  <c r="AO11" i="109"/>
  <c r="AF11" i="109"/>
  <c r="AC11" i="109"/>
  <c r="Z11" i="109"/>
  <c r="AG11" i="109" s="1"/>
  <c r="H11" i="109"/>
  <c r="E11" i="109"/>
  <c r="F11" i="109" s="1"/>
  <c r="AS10" i="109"/>
  <c r="AO10" i="109"/>
  <c r="AF10" i="109"/>
  <c r="AC10" i="109"/>
  <c r="Z10" i="109"/>
  <c r="E10" i="109"/>
  <c r="F10" i="109" s="1"/>
  <c r="AS9" i="109"/>
  <c r="AO9" i="109"/>
  <c r="AF9" i="109"/>
  <c r="AC9" i="109"/>
  <c r="Z9" i="109"/>
  <c r="E9" i="109"/>
  <c r="F9" i="109" s="1"/>
  <c r="U66" i="108"/>
  <c r="N66" i="108"/>
  <c r="J66" i="108"/>
  <c r="I66" i="108"/>
  <c r="H66" i="108"/>
  <c r="G66" i="108"/>
  <c r="D66" i="108"/>
  <c r="C66" i="108"/>
  <c r="U65" i="108"/>
  <c r="N65" i="108"/>
  <c r="I65" i="108"/>
  <c r="G65" i="108"/>
  <c r="D65" i="108"/>
  <c r="U64" i="108"/>
  <c r="N64" i="108"/>
  <c r="J64" i="108"/>
  <c r="I64" i="108"/>
  <c r="H64" i="108"/>
  <c r="G64" i="108"/>
  <c r="D64" i="108"/>
  <c r="C64" i="108"/>
  <c r="J57" i="108"/>
  <c r="I57" i="108"/>
  <c r="AQ52" i="108"/>
  <c r="AE52" i="108"/>
  <c r="AD52" i="108"/>
  <c r="AB52" i="108"/>
  <c r="AA52" i="108"/>
  <c r="Y52" i="108"/>
  <c r="X52" i="108"/>
  <c r="U52" i="108"/>
  <c r="N52" i="108"/>
  <c r="I52" i="108"/>
  <c r="D52" i="108"/>
  <c r="AQ51" i="108"/>
  <c r="AF51" i="108"/>
  <c r="AC51" i="108"/>
  <c r="Z51" i="108"/>
  <c r="C51" i="108"/>
  <c r="E51" i="108" s="1"/>
  <c r="F51" i="108" s="1"/>
  <c r="AQ50" i="108"/>
  <c r="AF50" i="108"/>
  <c r="AC50" i="108"/>
  <c r="Z50" i="108"/>
  <c r="E50" i="108"/>
  <c r="F50" i="108" s="1"/>
  <c r="AQ49" i="108"/>
  <c r="AF49" i="108"/>
  <c r="AC49" i="108"/>
  <c r="Z49" i="108"/>
  <c r="AG49" i="108" s="1"/>
  <c r="G49" i="108"/>
  <c r="E49" i="108"/>
  <c r="F49" i="108" s="1"/>
  <c r="AQ48" i="108"/>
  <c r="AF48" i="108"/>
  <c r="AC48" i="108"/>
  <c r="Z48" i="108"/>
  <c r="K48" i="108"/>
  <c r="G48" i="108"/>
  <c r="E48" i="108"/>
  <c r="F48" i="108" s="1"/>
  <c r="AQ47" i="108"/>
  <c r="AF47" i="108"/>
  <c r="AC47" i="108"/>
  <c r="Z47" i="108"/>
  <c r="K47" i="108"/>
  <c r="G47" i="108"/>
  <c r="E47" i="108"/>
  <c r="F47" i="108" s="1"/>
  <c r="L47" i="108" s="1"/>
  <c r="AQ46" i="108"/>
  <c r="AF46" i="108"/>
  <c r="AC46" i="108"/>
  <c r="Z46" i="108"/>
  <c r="H46" i="108"/>
  <c r="E46" i="108"/>
  <c r="F46" i="108" s="1"/>
  <c r="AQ45" i="108"/>
  <c r="AF45" i="108"/>
  <c r="AC45" i="108"/>
  <c r="Z45" i="108"/>
  <c r="E45" i="108"/>
  <c r="F45" i="108" s="1"/>
  <c r="L45" i="108" s="1"/>
  <c r="M45" i="108" s="1"/>
  <c r="AQ44" i="108"/>
  <c r="AF44" i="108"/>
  <c r="AC44" i="108"/>
  <c r="Z44" i="108"/>
  <c r="G44" i="108"/>
  <c r="C44" i="108"/>
  <c r="E44" i="108" s="1"/>
  <c r="F44" i="108" s="1"/>
  <c r="AO43" i="108"/>
  <c r="AF43" i="108"/>
  <c r="AC43" i="108"/>
  <c r="Z43" i="108"/>
  <c r="E43" i="108"/>
  <c r="F43" i="108" s="1"/>
  <c r="L43" i="108" s="1"/>
  <c r="AQ42" i="108"/>
  <c r="AG42" i="108"/>
  <c r="W42" i="108"/>
  <c r="AQ41" i="108"/>
  <c r="AF41" i="108"/>
  <c r="AC41" i="108"/>
  <c r="Z41" i="108"/>
  <c r="E41" i="108"/>
  <c r="F41" i="108" s="1"/>
  <c r="M41" i="108" s="1"/>
  <c r="AQ40" i="108"/>
  <c r="AF40" i="108"/>
  <c r="AC40" i="108"/>
  <c r="Z40" i="108"/>
  <c r="H40" i="108"/>
  <c r="E40" i="108"/>
  <c r="F40" i="108" s="1"/>
  <c r="AQ39" i="108"/>
  <c r="AF39" i="108"/>
  <c r="AC39" i="108"/>
  <c r="Z39" i="108"/>
  <c r="C39" i="108"/>
  <c r="E39" i="108" s="1"/>
  <c r="F39" i="108" s="1"/>
  <c r="M39" i="108" s="1"/>
  <c r="AQ38" i="108"/>
  <c r="AF38" i="108"/>
  <c r="AC38" i="108"/>
  <c r="Z38" i="108"/>
  <c r="E38" i="108"/>
  <c r="F38" i="108" s="1"/>
  <c r="M38" i="108" s="1"/>
  <c r="AQ37" i="108"/>
  <c r="AF37" i="108"/>
  <c r="AC37" i="108"/>
  <c r="Z37" i="108"/>
  <c r="E37" i="108"/>
  <c r="F37" i="108" s="1"/>
  <c r="AQ36" i="108"/>
  <c r="AF36" i="108"/>
  <c r="AC36" i="108"/>
  <c r="Z36" i="108"/>
  <c r="E36" i="108"/>
  <c r="F36" i="108" s="1"/>
  <c r="AQ35" i="108"/>
  <c r="AF35" i="108"/>
  <c r="AC35" i="108"/>
  <c r="Z35" i="108"/>
  <c r="K35" i="108"/>
  <c r="E35" i="108"/>
  <c r="F35" i="108" s="1"/>
  <c r="AO34" i="108"/>
  <c r="AF34" i="108"/>
  <c r="AC34" i="108"/>
  <c r="Z34" i="108"/>
  <c r="K34" i="108"/>
  <c r="J34" i="108"/>
  <c r="E34" i="108"/>
  <c r="F34" i="108" s="1"/>
  <c r="AQ33" i="108"/>
  <c r="AF33" i="108"/>
  <c r="AC33" i="108"/>
  <c r="Z33" i="108"/>
  <c r="K33" i="108"/>
  <c r="E33" i="108"/>
  <c r="F33" i="108" s="1"/>
  <c r="AO32" i="108"/>
  <c r="AF32" i="108"/>
  <c r="AC32" i="108"/>
  <c r="Z32" i="108"/>
  <c r="K32" i="108"/>
  <c r="E32" i="108"/>
  <c r="F32" i="108" s="1"/>
  <c r="AQ31" i="108"/>
  <c r="AF31" i="108"/>
  <c r="AC31" i="108"/>
  <c r="Z31" i="108"/>
  <c r="K31" i="108"/>
  <c r="E31" i="108"/>
  <c r="F31" i="108" s="1"/>
  <c r="AQ30" i="108"/>
  <c r="AF30" i="108"/>
  <c r="AC30" i="108"/>
  <c r="Z30" i="108"/>
  <c r="K30" i="108"/>
  <c r="E30" i="108"/>
  <c r="F30" i="108" s="1"/>
  <c r="J30" i="108" s="1"/>
  <c r="AO29" i="108"/>
  <c r="AF29" i="108"/>
  <c r="AC29" i="108"/>
  <c r="Z29" i="108"/>
  <c r="K29" i="108"/>
  <c r="E29" i="108"/>
  <c r="F29" i="108" s="1"/>
  <c r="AO28" i="108"/>
  <c r="AF28" i="108"/>
  <c r="AG28" i="108" s="1"/>
  <c r="AC28" i="108"/>
  <c r="Z28" i="108"/>
  <c r="E28" i="108"/>
  <c r="F28" i="108" s="1"/>
  <c r="AQ27" i="108"/>
  <c r="AF27" i="108"/>
  <c r="AC27" i="108"/>
  <c r="Z27" i="108"/>
  <c r="C27" i="108"/>
  <c r="AQ26" i="108"/>
  <c r="AF26" i="108"/>
  <c r="AC26" i="108"/>
  <c r="Z26" i="108"/>
  <c r="K26" i="108"/>
  <c r="E26" i="108"/>
  <c r="F26" i="108" s="1"/>
  <c r="AQ25" i="108"/>
  <c r="AF25" i="108"/>
  <c r="AC25" i="108"/>
  <c r="Z25" i="108"/>
  <c r="E25" i="108"/>
  <c r="F25" i="108" s="1"/>
  <c r="AQ24" i="108"/>
  <c r="AF24" i="108"/>
  <c r="AC24" i="108"/>
  <c r="Z24" i="108"/>
  <c r="E24" i="108"/>
  <c r="F24" i="108" s="1"/>
  <c r="AQ23" i="108"/>
  <c r="AF23" i="108"/>
  <c r="AC23" i="108"/>
  <c r="Z23" i="108"/>
  <c r="E23" i="108"/>
  <c r="F23" i="108" s="1"/>
  <c r="J23" i="108" s="1"/>
  <c r="AQ22" i="108"/>
  <c r="AF22" i="108"/>
  <c r="AC22" i="108"/>
  <c r="Z22" i="108"/>
  <c r="E22" i="108"/>
  <c r="F22" i="108" s="1"/>
  <c r="AO21" i="108"/>
  <c r="AF21" i="108"/>
  <c r="AC21" i="108"/>
  <c r="Z21" i="108"/>
  <c r="K21" i="108"/>
  <c r="H21" i="108"/>
  <c r="E21" i="108"/>
  <c r="F21" i="108" s="1"/>
  <c r="L21" i="108" s="1"/>
  <c r="AO20" i="108"/>
  <c r="AF20" i="108"/>
  <c r="AC20" i="108"/>
  <c r="Z20" i="108"/>
  <c r="E20" i="108"/>
  <c r="F20" i="108" s="1"/>
  <c r="AQ19" i="108"/>
  <c r="AF19" i="108"/>
  <c r="AC19" i="108"/>
  <c r="Z19" i="108"/>
  <c r="E19" i="108"/>
  <c r="F19" i="108" s="1"/>
  <c r="K19" i="108" s="1"/>
  <c r="AQ18" i="108"/>
  <c r="AF18" i="108"/>
  <c r="AC18" i="108"/>
  <c r="Z18" i="108"/>
  <c r="K18" i="108"/>
  <c r="E18" i="108"/>
  <c r="F18" i="108" s="1"/>
  <c r="AQ17" i="108"/>
  <c r="AF17" i="108"/>
  <c r="AC17" i="108"/>
  <c r="Z17" i="108"/>
  <c r="E17" i="108"/>
  <c r="F17" i="108" s="1"/>
  <c r="L17" i="108" s="1"/>
  <c r="M17" i="108" s="1"/>
  <c r="AO16" i="108"/>
  <c r="AF16" i="108"/>
  <c r="AC16" i="108"/>
  <c r="Z16" i="108"/>
  <c r="E16" i="108"/>
  <c r="F16" i="108" s="1"/>
  <c r="AO15" i="108"/>
  <c r="AF15" i="108"/>
  <c r="AC15" i="108"/>
  <c r="Z15" i="108"/>
  <c r="E15" i="108"/>
  <c r="F15" i="108" s="1"/>
  <c r="AO14" i="108"/>
  <c r="AF14" i="108"/>
  <c r="AC14" i="108"/>
  <c r="Z14" i="108"/>
  <c r="H14" i="108"/>
  <c r="E14" i="108"/>
  <c r="F14" i="108" s="1"/>
  <c r="L14" i="108" s="1"/>
  <c r="AQ13" i="108"/>
  <c r="AF13" i="108"/>
  <c r="AC13" i="108"/>
  <c r="Z13" i="108"/>
  <c r="K13" i="108"/>
  <c r="H13" i="108"/>
  <c r="E13" i="108"/>
  <c r="AO12" i="108"/>
  <c r="AF12" i="108"/>
  <c r="AC12" i="108"/>
  <c r="Z12" i="108"/>
  <c r="E12" i="108"/>
  <c r="F12" i="108" s="1"/>
  <c r="AO11" i="108"/>
  <c r="AF11" i="108"/>
  <c r="AC11" i="108"/>
  <c r="Z11" i="108"/>
  <c r="E11" i="108"/>
  <c r="F11" i="108" s="1"/>
  <c r="K11" i="108" s="1"/>
  <c r="K66" i="108" s="1"/>
  <c r="AO10" i="108"/>
  <c r="AF10" i="108"/>
  <c r="AC10" i="108"/>
  <c r="Z10" i="108"/>
  <c r="E10" i="108"/>
  <c r="F10" i="108" s="1"/>
  <c r="AO9" i="108"/>
  <c r="AF9" i="108"/>
  <c r="AC9" i="108"/>
  <c r="Z9" i="108"/>
  <c r="E9" i="108"/>
  <c r="F9" i="108" s="1"/>
  <c r="K9" i="108" s="1"/>
  <c r="G28" i="107"/>
  <c r="AE23" i="107"/>
  <c r="AD23" i="107"/>
  <c r="AB23" i="107"/>
  <c r="AA23" i="107"/>
  <c r="Y23" i="107"/>
  <c r="X23" i="107"/>
  <c r="U23" i="107"/>
  <c r="H23" i="107"/>
  <c r="G23" i="107"/>
  <c r="D23" i="107"/>
  <c r="AS22" i="107"/>
  <c r="AF22" i="107"/>
  <c r="AC22" i="107"/>
  <c r="Z22" i="107"/>
  <c r="C22" i="107"/>
  <c r="E22" i="107" s="1"/>
  <c r="F22" i="107" s="1"/>
  <c r="M22" i="107" s="1"/>
  <c r="AS21" i="107"/>
  <c r="AF21" i="107"/>
  <c r="AC21" i="107"/>
  <c r="Z21" i="107"/>
  <c r="K21" i="107"/>
  <c r="E21" i="107"/>
  <c r="F21" i="107" s="1"/>
  <c r="AS20" i="107"/>
  <c r="AF20" i="107"/>
  <c r="AC20" i="107"/>
  <c r="Z20" i="107"/>
  <c r="K20" i="107"/>
  <c r="J20" i="107"/>
  <c r="E20" i="107"/>
  <c r="F20" i="107" s="1"/>
  <c r="AS19" i="107"/>
  <c r="AF19" i="107"/>
  <c r="AC19" i="107"/>
  <c r="Z19" i="107"/>
  <c r="E19" i="107"/>
  <c r="F19" i="107" s="1"/>
  <c r="K19" i="107" s="1"/>
  <c r="AS18" i="107"/>
  <c r="AF18" i="107"/>
  <c r="AC18" i="107"/>
  <c r="Z18" i="107"/>
  <c r="E18" i="107"/>
  <c r="F18" i="107" s="1"/>
  <c r="AS17" i="107"/>
  <c r="AF17" i="107"/>
  <c r="AC17" i="107"/>
  <c r="Z17" i="107"/>
  <c r="K17" i="107"/>
  <c r="J17" i="107"/>
  <c r="E17" i="107"/>
  <c r="F17" i="107" s="1"/>
  <c r="AS16" i="107"/>
  <c r="AF16" i="107"/>
  <c r="AC16" i="107"/>
  <c r="Z16" i="107"/>
  <c r="K16" i="107"/>
  <c r="J16" i="107"/>
  <c r="E16" i="107"/>
  <c r="F16" i="107" s="1"/>
  <c r="L16" i="107" s="1"/>
  <c r="AS15" i="107"/>
  <c r="AF15" i="107"/>
  <c r="AC15" i="107"/>
  <c r="Z15" i="107"/>
  <c r="AG15" i="107" s="1"/>
  <c r="K15" i="107"/>
  <c r="J15" i="107"/>
  <c r="C15" i="107"/>
  <c r="E15" i="107" s="1"/>
  <c r="F15" i="107" s="1"/>
  <c r="L15" i="107" s="1"/>
  <c r="AS14" i="107"/>
  <c r="AF14" i="107"/>
  <c r="AC14" i="107"/>
  <c r="Z14" i="107"/>
  <c r="K14" i="107"/>
  <c r="E14" i="107"/>
  <c r="F14" i="107" s="1"/>
  <c r="L14" i="107" s="1"/>
  <c r="AS13" i="107"/>
  <c r="AF13" i="107"/>
  <c r="AC13" i="107"/>
  <c r="Z13" i="107"/>
  <c r="K13" i="107"/>
  <c r="E13" i="107"/>
  <c r="F13" i="107" s="1"/>
  <c r="AS12" i="107"/>
  <c r="AF12" i="107"/>
  <c r="AC12" i="107"/>
  <c r="AG12" i="107" s="1"/>
  <c r="Z12" i="107"/>
  <c r="E12" i="107"/>
  <c r="F12" i="107" s="1"/>
  <c r="AS11" i="107"/>
  <c r="AF11" i="107"/>
  <c r="AC11" i="107"/>
  <c r="Z11" i="107"/>
  <c r="K11" i="107"/>
  <c r="E11" i="107"/>
  <c r="F11" i="107" s="1"/>
  <c r="AS10" i="107"/>
  <c r="AO10" i="107"/>
  <c r="AF10" i="107"/>
  <c r="AC10" i="107"/>
  <c r="Z10" i="107"/>
  <c r="K10" i="107"/>
  <c r="I10" i="107"/>
  <c r="I23" i="107" s="1"/>
  <c r="E10" i="107"/>
  <c r="F10" i="107" s="1"/>
  <c r="AS9" i="107"/>
  <c r="AO9" i="107"/>
  <c r="AF9" i="107"/>
  <c r="AC9" i="107"/>
  <c r="Z9" i="107"/>
  <c r="E9" i="107"/>
  <c r="AE21" i="106"/>
  <c r="AD21" i="106"/>
  <c r="AB21" i="106"/>
  <c r="AA21" i="106"/>
  <c r="Y21" i="106"/>
  <c r="X21" i="106"/>
  <c r="U21" i="106"/>
  <c r="J21" i="106"/>
  <c r="I21" i="106"/>
  <c r="D21" i="106"/>
  <c r="C21" i="106"/>
  <c r="AF20" i="106"/>
  <c r="AC20" i="106"/>
  <c r="Z20" i="106"/>
  <c r="H20" i="106"/>
  <c r="G20" i="106"/>
  <c r="E20" i="106"/>
  <c r="F20" i="106" s="1"/>
  <c r="L20" i="106" s="1"/>
  <c r="AF19" i="106"/>
  <c r="AC19" i="106"/>
  <c r="Z19" i="106"/>
  <c r="E19" i="106"/>
  <c r="F19" i="106" s="1"/>
  <c r="AF18" i="106"/>
  <c r="AC18" i="106"/>
  <c r="Z18" i="106"/>
  <c r="H18" i="106"/>
  <c r="G18" i="106"/>
  <c r="E18" i="106"/>
  <c r="F18" i="106" s="1"/>
  <c r="L18" i="106" s="1"/>
  <c r="AF17" i="106"/>
  <c r="AC17" i="106"/>
  <c r="Z17" i="106"/>
  <c r="E17" i="106"/>
  <c r="F17" i="106" s="1"/>
  <c r="AF16" i="106"/>
  <c r="AC16" i="106"/>
  <c r="Z16" i="106"/>
  <c r="H16" i="106"/>
  <c r="G16" i="106"/>
  <c r="E16" i="106"/>
  <c r="F16" i="106" s="1"/>
  <c r="AF15" i="106"/>
  <c r="AC15" i="106"/>
  <c r="Z15" i="106"/>
  <c r="K15" i="106"/>
  <c r="E15" i="106"/>
  <c r="F15" i="106" s="1"/>
  <c r="AF14" i="106"/>
  <c r="AC14" i="106"/>
  <c r="Z14" i="106"/>
  <c r="E14" i="106"/>
  <c r="F14" i="106" s="1"/>
  <c r="AF13" i="106"/>
  <c r="AC13" i="106"/>
  <c r="Z13" i="106"/>
  <c r="AG13" i="106" s="1"/>
  <c r="E13" i="106"/>
  <c r="F13" i="106" s="1"/>
  <c r="AF12" i="106"/>
  <c r="AC12" i="106"/>
  <c r="Z12" i="106"/>
  <c r="E12" i="106"/>
  <c r="F12" i="106" s="1"/>
  <c r="AF11" i="106"/>
  <c r="AC11" i="106"/>
  <c r="Z11" i="106"/>
  <c r="E11" i="106"/>
  <c r="F11" i="106" s="1"/>
  <c r="L11" i="106" s="1"/>
  <c r="AO10" i="106"/>
  <c r="AF10" i="106"/>
  <c r="AC10" i="106"/>
  <c r="Z10" i="106"/>
  <c r="E10" i="106"/>
  <c r="F10" i="106" s="1"/>
  <c r="AO9" i="106"/>
  <c r="AF9" i="106"/>
  <c r="AC9" i="106"/>
  <c r="Z9" i="106"/>
  <c r="K9" i="106"/>
  <c r="E9" i="106"/>
  <c r="AE28" i="105"/>
  <c r="AD28" i="105"/>
  <c r="AB28" i="105"/>
  <c r="AA28" i="105"/>
  <c r="Y28" i="105"/>
  <c r="X28" i="105"/>
  <c r="U28" i="105"/>
  <c r="N28" i="105"/>
  <c r="J28" i="105"/>
  <c r="I28" i="105"/>
  <c r="G28" i="105"/>
  <c r="D28" i="105"/>
  <c r="C28" i="105"/>
  <c r="AL27" i="105"/>
  <c r="AF27" i="105"/>
  <c r="AC27" i="105"/>
  <c r="Z27" i="105"/>
  <c r="H27" i="105"/>
  <c r="M27" i="105" s="1"/>
  <c r="E27" i="105"/>
  <c r="F27" i="105" s="1"/>
  <c r="AL26" i="105"/>
  <c r="AF26" i="105"/>
  <c r="AC26" i="105"/>
  <c r="Z26" i="105"/>
  <c r="H26" i="105"/>
  <c r="E26" i="105"/>
  <c r="F26" i="105" s="1"/>
  <c r="AL25" i="105"/>
  <c r="AF25" i="105"/>
  <c r="AC25" i="105"/>
  <c r="Z25" i="105"/>
  <c r="H25" i="105"/>
  <c r="E25" i="105"/>
  <c r="F25" i="105" s="1"/>
  <c r="K25" i="105" s="1"/>
  <c r="AL24" i="105"/>
  <c r="AF24" i="105"/>
  <c r="AC24" i="105"/>
  <c r="Z24" i="105"/>
  <c r="K24" i="105"/>
  <c r="H24" i="105"/>
  <c r="E24" i="105"/>
  <c r="F24" i="105" s="1"/>
  <c r="L24" i="105" s="1"/>
  <c r="AL23" i="105"/>
  <c r="AF23" i="105"/>
  <c r="AC23" i="105"/>
  <c r="Z23" i="105"/>
  <c r="E23" i="105"/>
  <c r="F23" i="105" s="1"/>
  <c r="L23" i="105" s="1"/>
  <c r="M23" i="105" s="1"/>
  <c r="AL22" i="105"/>
  <c r="AF22" i="105"/>
  <c r="AC22" i="105"/>
  <c r="Z22" i="105"/>
  <c r="L22" i="105"/>
  <c r="K22" i="105"/>
  <c r="H22" i="105"/>
  <c r="E22" i="105"/>
  <c r="F22" i="105" s="1"/>
  <c r="AL21" i="105"/>
  <c r="AF21" i="105"/>
  <c r="AC21" i="105"/>
  <c r="Z21" i="105"/>
  <c r="L21" i="105"/>
  <c r="H21" i="105"/>
  <c r="E21" i="105"/>
  <c r="F21" i="105" s="1"/>
  <c r="AL20" i="105"/>
  <c r="AF20" i="105"/>
  <c r="AC20" i="105"/>
  <c r="Z20" i="105"/>
  <c r="K20" i="105"/>
  <c r="H20" i="105"/>
  <c r="E20" i="105"/>
  <c r="F20" i="105" s="1"/>
  <c r="AL19" i="105"/>
  <c r="AF19" i="105"/>
  <c r="AC19" i="105"/>
  <c r="Z19" i="105"/>
  <c r="K19" i="105"/>
  <c r="H19" i="105"/>
  <c r="F19" i="105"/>
  <c r="L19" i="105" s="1"/>
  <c r="E19" i="105"/>
  <c r="AL18" i="105"/>
  <c r="AF18" i="105"/>
  <c r="AC18" i="105"/>
  <c r="Z18" i="105"/>
  <c r="H18" i="105"/>
  <c r="E18" i="105"/>
  <c r="F18" i="105" s="1"/>
  <c r="AL17" i="105"/>
  <c r="AF17" i="105"/>
  <c r="AC17" i="105"/>
  <c r="Z17" i="105"/>
  <c r="K17" i="105"/>
  <c r="H17" i="105"/>
  <c r="E17" i="105"/>
  <c r="F17" i="105" s="1"/>
  <c r="L17" i="105" s="1"/>
  <c r="AL16" i="105"/>
  <c r="AF16" i="105"/>
  <c r="AC16" i="105"/>
  <c r="Z16" i="105"/>
  <c r="K16" i="105"/>
  <c r="H16" i="105"/>
  <c r="E16" i="105"/>
  <c r="F16" i="105" s="1"/>
  <c r="AL15" i="105"/>
  <c r="AF15" i="105"/>
  <c r="AC15" i="105"/>
  <c r="Z15" i="105"/>
  <c r="H15" i="105"/>
  <c r="E15" i="105"/>
  <c r="F15" i="105" s="1"/>
  <c r="L15" i="105" s="1"/>
  <c r="AL14" i="105"/>
  <c r="AF14" i="105"/>
  <c r="AC14" i="105"/>
  <c r="Z14" i="105"/>
  <c r="H14" i="105"/>
  <c r="E14" i="105"/>
  <c r="F14" i="105" s="1"/>
  <c r="AL13" i="105"/>
  <c r="AF13" i="105"/>
  <c r="AC13" i="105"/>
  <c r="Z13" i="105"/>
  <c r="H13" i="105"/>
  <c r="E13" i="105"/>
  <c r="F13" i="105" s="1"/>
  <c r="AL12" i="105"/>
  <c r="AF12" i="105"/>
  <c r="AC12" i="105"/>
  <c r="Z12" i="105"/>
  <c r="H12" i="105"/>
  <c r="E12" i="105"/>
  <c r="F12" i="105" s="1"/>
  <c r="AL11" i="105"/>
  <c r="AF11" i="105"/>
  <c r="AC11" i="105"/>
  <c r="Z11" i="105"/>
  <c r="K11" i="105"/>
  <c r="H11" i="105"/>
  <c r="E11" i="105"/>
  <c r="F11" i="105" s="1"/>
  <c r="AL10" i="105"/>
  <c r="AF10" i="105"/>
  <c r="AC10" i="105"/>
  <c r="Z10" i="105"/>
  <c r="K10" i="105"/>
  <c r="E10" i="105"/>
  <c r="F10" i="105" s="1"/>
  <c r="AL9" i="105"/>
  <c r="AF9" i="105"/>
  <c r="AC9" i="105"/>
  <c r="Z9" i="105"/>
  <c r="K9" i="105"/>
  <c r="E9" i="105"/>
  <c r="AE28" i="104"/>
  <c r="AD28" i="104"/>
  <c r="AB28" i="104"/>
  <c r="AA28" i="104"/>
  <c r="Y28" i="104"/>
  <c r="X28" i="104"/>
  <c r="N28" i="104"/>
  <c r="J28" i="104"/>
  <c r="I28" i="104"/>
  <c r="D28" i="104"/>
  <c r="C28" i="104"/>
  <c r="AS27" i="104"/>
  <c r="AF27" i="104"/>
  <c r="AC27" i="104"/>
  <c r="AG27" i="104" s="1"/>
  <c r="AH27" i="104" s="1"/>
  <c r="Z27" i="104"/>
  <c r="H27" i="104"/>
  <c r="G27" i="104"/>
  <c r="E27" i="104"/>
  <c r="F27" i="104" s="1"/>
  <c r="M27" i="104" s="1"/>
  <c r="O27" i="104" s="1"/>
  <c r="AS26" i="104"/>
  <c r="AF26" i="104"/>
  <c r="AC26" i="104"/>
  <c r="Z26" i="104"/>
  <c r="H26" i="104"/>
  <c r="G26" i="104"/>
  <c r="E26" i="104"/>
  <c r="F26" i="104" s="1"/>
  <c r="AS25" i="104"/>
  <c r="E25" i="104"/>
  <c r="F25" i="104" s="1"/>
  <c r="AS24" i="104"/>
  <c r="E24" i="104"/>
  <c r="F24" i="104" s="1"/>
  <c r="AS23" i="104"/>
  <c r="AF23" i="104"/>
  <c r="AC23" i="104"/>
  <c r="Z23" i="104"/>
  <c r="K23" i="104"/>
  <c r="H23" i="104"/>
  <c r="G23" i="104"/>
  <c r="F23" i="104"/>
  <c r="E23" i="104"/>
  <c r="AS22" i="104"/>
  <c r="AF22" i="104"/>
  <c r="AG22" i="104" s="1"/>
  <c r="AH22" i="104" s="1"/>
  <c r="AC22" i="104"/>
  <c r="Z22" i="104"/>
  <c r="E22" i="104"/>
  <c r="F22" i="104" s="1"/>
  <c r="AS21" i="104"/>
  <c r="AF21" i="104"/>
  <c r="AC21" i="104"/>
  <c r="Z21" i="104"/>
  <c r="H21" i="104"/>
  <c r="E21" i="104"/>
  <c r="F21" i="104" s="1"/>
  <c r="AS20" i="104"/>
  <c r="AF20" i="104"/>
  <c r="AC20" i="104"/>
  <c r="Z20" i="104"/>
  <c r="E20" i="104"/>
  <c r="F20" i="104" s="1"/>
  <c r="AS19" i="104"/>
  <c r="AF19" i="104"/>
  <c r="AC19" i="104"/>
  <c r="Z19" i="104"/>
  <c r="H19" i="104"/>
  <c r="E19" i="104"/>
  <c r="F19" i="104" s="1"/>
  <c r="AS18" i="104"/>
  <c r="AF18" i="104"/>
  <c r="AC18" i="104"/>
  <c r="Z18" i="104"/>
  <c r="K18" i="104"/>
  <c r="H18" i="104"/>
  <c r="E18" i="104"/>
  <c r="F18" i="104" s="1"/>
  <c r="L18" i="104" s="1"/>
  <c r="AS17" i="104"/>
  <c r="AF17" i="104"/>
  <c r="AC17" i="104"/>
  <c r="Z17" i="104"/>
  <c r="H17" i="104"/>
  <c r="E17" i="104"/>
  <c r="F17" i="104" s="1"/>
  <c r="L17" i="104" s="1"/>
  <c r="AS16" i="104"/>
  <c r="AF16" i="104"/>
  <c r="AC16" i="104"/>
  <c r="Z16" i="104"/>
  <c r="E16" i="104"/>
  <c r="F16" i="104" s="1"/>
  <c r="AS15" i="104"/>
  <c r="AF15" i="104"/>
  <c r="AC15" i="104"/>
  <c r="Z15" i="104"/>
  <c r="E15" i="104"/>
  <c r="F15" i="104" s="1"/>
  <c r="K15" i="104" s="1"/>
  <c r="AS14" i="104"/>
  <c r="AO14" i="104"/>
  <c r="AF14" i="104"/>
  <c r="AC14" i="104"/>
  <c r="Z14" i="104"/>
  <c r="E14" i="104"/>
  <c r="F14" i="104" s="1"/>
  <c r="AS13" i="104"/>
  <c r="AF13" i="104"/>
  <c r="AC13" i="104"/>
  <c r="Z13" i="104"/>
  <c r="K13" i="104"/>
  <c r="E13" i="104"/>
  <c r="F13" i="104" s="1"/>
  <c r="AS12" i="104"/>
  <c r="AF12" i="104"/>
  <c r="AC12" i="104"/>
  <c r="Z12" i="104"/>
  <c r="H12" i="104"/>
  <c r="E12" i="104"/>
  <c r="F12" i="104" s="1"/>
  <c r="AS11" i="104"/>
  <c r="AF11" i="104"/>
  <c r="AC11" i="104"/>
  <c r="Z11" i="104"/>
  <c r="K11" i="104"/>
  <c r="H11" i="104"/>
  <c r="E11" i="104"/>
  <c r="F11" i="104" s="1"/>
  <c r="L11" i="104" s="1"/>
  <c r="AS10" i="104"/>
  <c r="AO10" i="104"/>
  <c r="AF10" i="104"/>
  <c r="AC10" i="104"/>
  <c r="Z10" i="104"/>
  <c r="K10" i="104"/>
  <c r="H10" i="104"/>
  <c r="E10" i="104"/>
  <c r="F10" i="104" s="1"/>
  <c r="L10" i="104" s="1"/>
  <c r="AS9" i="104"/>
  <c r="AO9" i="104"/>
  <c r="AF9" i="104"/>
  <c r="AC9" i="104"/>
  <c r="Z9" i="104"/>
  <c r="E9" i="104"/>
  <c r="AE25" i="103"/>
  <c r="AD25" i="103"/>
  <c r="AB25" i="103"/>
  <c r="AA25" i="103"/>
  <c r="Y25" i="103"/>
  <c r="X25" i="103"/>
  <c r="U25" i="103"/>
  <c r="I25" i="103"/>
  <c r="D25" i="103"/>
  <c r="C25" i="103"/>
  <c r="AS24" i="103"/>
  <c r="AF24" i="103"/>
  <c r="AC24" i="103"/>
  <c r="Z24" i="103"/>
  <c r="E24" i="103"/>
  <c r="F24" i="103" s="1"/>
  <c r="M24" i="103" s="1"/>
  <c r="AF23" i="103"/>
  <c r="AC23" i="103"/>
  <c r="Z23" i="103"/>
  <c r="E23" i="103"/>
  <c r="F23" i="103" s="1"/>
  <c r="L23" i="103" s="1"/>
  <c r="AS22" i="103"/>
  <c r="AF22" i="103"/>
  <c r="AC22" i="103"/>
  <c r="Z22" i="103"/>
  <c r="H22" i="103"/>
  <c r="G22" i="103"/>
  <c r="G25" i="103" s="1"/>
  <c r="E22" i="103"/>
  <c r="F22" i="103" s="1"/>
  <c r="K22" i="103" s="1"/>
  <c r="AS21" i="103"/>
  <c r="AF21" i="103"/>
  <c r="AC21" i="103"/>
  <c r="Z21" i="103"/>
  <c r="H21" i="103"/>
  <c r="E21" i="103"/>
  <c r="F21" i="103" s="1"/>
  <c r="L21" i="103" s="1"/>
  <c r="AF20" i="103"/>
  <c r="AC20" i="103"/>
  <c r="Z20" i="103"/>
  <c r="AG20" i="103" s="1"/>
  <c r="F20" i="103"/>
  <c r="E20" i="103"/>
  <c r="AF19" i="103"/>
  <c r="AC19" i="103"/>
  <c r="Z19" i="103"/>
  <c r="E19" i="103"/>
  <c r="F19" i="103" s="1"/>
  <c r="L19" i="103" s="1"/>
  <c r="AF18" i="103"/>
  <c r="AC18" i="103"/>
  <c r="Z18" i="103"/>
  <c r="E18" i="103"/>
  <c r="F18" i="103" s="1"/>
  <c r="AS17" i="103"/>
  <c r="AF17" i="103"/>
  <c r="AC17" i="103"/>
  <c r="Z17" i="103"/>
  <c r="K17" i="103"/>
  <c r="J17" i="103"/>
  <c r="J25" i="103" s="1"/>
  <c r="H17" i="103"/>
  <c r="E17" i="103"/>
  <c r="F17" i="103" s="1"/>
  <c r="AS16" i="103"/>
  <c r="AF16" i="103"/>
  <c r="AC16" i="103"/>
  <c r="Z16" i="103"/>
  <c r="H16" i="103"/>
  <c r="E16" i="103"/>
  <c r="F16" i="103" s="1"/>
  <c r="AS15" i="103"/>
  <c r="AF15" i="103"/>
  <c r="AC15" i="103"/>
  <c r="Z15" i="103"/>
  <c r="H15" i="103"/>
  <c r="E15" i="103"/>
  <c r="F15" i="103" s="1"/>
  <c r="AS14" i="103"/>
  <c r="AF14" i="103"/>
  <c r="AC14" i="103"/>
  <c r="Z14" i="103"/>
  <c r="H14" i="103"/>
  <c r="E14" i="103"/>
  <c r="F14" i="103" s="1"/>
  <c r="AS13" i="103"/>
  <c r="AF13" i="103"/>
  <c r="AC13" i="103"/>
  <c r="Z13" i="103"/>
  <c r="H13" i="103"/>
  <c r="E13" i="103"/>
  <c r="F13" i="103" s="1"/>
  <c r="AS12" i="103"/>
  <c r="AF12" i="103"/>
  <c r="AC12" i="103"/>
  <c r="Z12" i="103"/>
  <c r="E12" i="103"/>
  <c r="F12" i="103" s="1"/>
  <c r="L12" i="103" s="1"/>
  <c r="AS11" i="103"/>
  <c r="AO11" i="103"/>
  <c r="AF11" i="103"/>
  <c r="AC11" i="103"/>
  <c r="Z11" i="103"/>
  <c r="H11" i="103"/>
  <c r="E11" i="103"/>
  <c r="F11" i="103" s="1"/>
  <c r="K11" i="103" s="1"/>
  <c r="AS10" i="103"/>
  <c r="AO10" i="103"/>
  <c r="AF10" i="103"/>
  <c r="AC10" i="103"/>
  <c r="Z10" i="103"/>
  <c r="E10" i="103"/>
  <c r="F10" i="103" s="1"/>
  <c r="AS9" i="103"/>
  <c r="AO9" i="103"/>
  <c r="AF9" i="103"/>
  <c r="AC9" i="103"/>
  <c r="Z9" i="103"/>
  <c r="E9" i="103"/>
  <c r="F9" i="103" s="1"/>
  <c r="U66" i="102"/>
  <c r="N66" i="102"/>
  <c r="J66" i="102"/>
  <c r="I66" i="102"/>
  <c r="H66" i="102"/>
  <c r="G66" i="102"/>
  <c r="D66" i="102"/>
  <c r="C66" i="102"/>
  <c r="U65" i="102"/>
  <c r="N65" i="102"/>
  <c r="I65" i="102"/>
  <c r="G65" i="102"/>
  <c r="D65" i="102"/>
  <c r="U64" i="102"/>
  <c r="N64" i="102"/>
  <c r="J64" i="102"/>
  <c r="I64" i="102"/>
  <c r="H64" i="102"/>
  <c r="G64" i="102"/>
  <c r="D64" i="102"/>
  <c r="C64" i="102"/>
  <c r="J57" i="102"/>
  <c r="I57" i="102"/>
  <c r="AQ52" i="102"/>
  <c r="AE52" i="102"/>
  <c r="AD52" i="102"/>
  <c r="AB52" i="102"/>
  <c r="AA52" i="102"/>
  <c r="Y52" i="102"/>
  <c r="X52" i="102"/>
  <c r="U52" i="102"/>
  <c r="N52" i="102"/>
  <c r="I52" i="102"/>
  <c r="D52" i="102"/>
  <c r="AQ51" i="102"/>
  <c r="AF51" i="102"/>
  <c r="AC51" i="102"/>
  <c r="AG51" i="102" s="1"/>
  <c r="Z51" i="102"/>
  <c r="C51" i="102"/>
  <c r="E51" i="102" s="1"/>
  <c r="F51" i="102" s="1"/>
  <c r="L51" i="102" s="1"/>
  <c r="AQ50" i="102"/>
  <c r="AF50" i="102"/>
  <c r="AC50" i="102"/>
  <c r="Z50" i="102"/>
  <c r="E50" i="102"/>
  <c r="F50" i="102" s="1"/>
  <c r="AQ49" i="102"/>
  <c r="AF49" i="102"/>
  <c r="AC49" i="102"/>
  <c r="Z49" i="102"/>
  <c r="G49" i="102"/>
  <c r="E49" i="102"/>
  <c r="F49" i="102" s="1"/>
  <c r="AQ48" i="102"/>
  <c r="AF48" i="102"/>
  <c r="AC48" i="102"/>
  <c r="Z48" i="102"/>
  <c r="K48" i="102"/>
  <c r="G48" i="102"/>
  <c r="E48" i="102"/>
  <c r="F48" i="102" s="1"/>
  <c r="L48" i="102" s="1"/>
  <c r="AQ47" i="102"/>
  <c r="AF47" i="102"/>
  <c r="AC47" i="102"/>
  <c r="Z47" i="102"/>
  <c r="K47" i="102"/>
  <c r="G47" i="102"/>
  <c r="E47" i="102"/>
  <c r="F47" i="102" s="1"/>
  <c r="AQ46" i="102"/>
  <c r="AF46" i="102"/>
  <c r="AC46" i="102"/>
  <c r="Z46" i="102"/>
  <c r="H46" i="102"/>
  <c r="E46" i="102"/>
  <c r="F46" i="102" s="1"/>
  <c r="AQ45" i="102"/>
  <c r="AF45" i="102"/>
  <c r="AG45" i="102" s="1"/>
  <c r="AC45" i="102"/>
  <c r="Z45" i="102"/>
  <c r="E45" i="102"/>
  <c r="F45" i="102" s="1"/>
  <c r="L45" i="102" s="1"/>
  <c r="M45" i="102" s="1"/>
  <c r="AQ44" i="102"/>
  <c r="AF44" i="102"/>
  <c r="AC44" i="102"/>
  <c r="Z44" i="102"/>
  <c r="G44" i="102"/>
  <c r="C44" i="102"/>
  <c r="E44" i="102" s="1"/>
  <c r="F44" i="102" s="1"/>
  <c r="AO43" i="102"/>
  <c r="AF43" i="102"/>
  <c r="AC43" i="102"/>
  <c r="Z43" i="102"/>
  <c r="E43" i="102"/>
  <c r="F43" i="102" s="1"/>
  <c r="AQ42" i="102"/>
  <c r="AG42" i="102"/>
  <c r="W42" i="102"/>
  <c r="AQ41" i="102"/>
  <c r="AF41" i="102"/>
  <c r="AC41" i="102"/>
  <c r="Z41" i="102"/>
  <c r="E41" i="102"/>
  <c r="F41" i="102" s="1"/>
  <c r="M41" i="102" s="1"/>
  <c r="AQ40" i="102"/>
  <c r="AF40" i="102"/>
  <c r="AC40" i="102"/>
  <c r="Z40" i="102"/>
  <c r="H40" i="102"/>
  <c r="E40" i="102"/>
  <c r="F40" i="102" s="1"/>
  <c r="AQ39" i="102"/>
  <c r="AF39" i="102"/>
  <c r="AC39" i="102"/>
  <c r="Z39" i="102"/>
  <c r="C39" i="102"/>
  <c r="E39" i="102" s="1"/>
  <c r="F39" i="102" s="1"/>
  <c r="M39" i="102" s="1"/>
  <c r="O39" i="102" s="1"/>
  <c r="AQ38" i="102"/>
  <c r="AF38" i="102"/>
  <c r="AC38" i="102"/>
  <c r="Z38" i="102"/>
  <c r="E38" i="102"/>
  <c r="F38" i="102" s="1"/>
  <c r="M38" i="102" s="1"/>
  <c r="O38" i="102" s="1"/>
  <c r="AQ37" i="102"/>
  <c r="AF37" i="102"/>
  <c r="AC37" i="102"/>
  <c r="Z37" i="102"/>
  <c r="E37" i="102"/>
  <c r="F37" i="102" s="1"/>
  <c r="AQ36" i="102"/>
  <c r="AF36" i="102"/>
  <c r="AC36" i="102"/>
  <c r="Z36" i="102"/>
  <c r="E36" i="102"/>
  <c r="F36" i="102" s="1"/>
  <c r="L36" i="102" s="1"/>
  <c r="M36" i="102" s="1"/>
  <c r="AQ35" i="102"/>
  <c r="AF35" i="102"/>
  <c r="AC35" i="102"/>
  <c r="Z35" i="102"/>
  <c r="K35" i="102"/>
  <c r="E35" i="102"/>
  <c r="F35" i="102" s="1"/>
  <c r="L35" i="102" s="1"/>
  <c r="AO34" i="102"/>
  <c r="AF34" i="102"/>
  <c r="AC34" i="102"/>
  <c r="Z34" i="102"/>
  <c r="K34" i="102"/>
  <c r="J34" i="102"/>
  <c r="E34" i="102"/>
  <c r="F34" i="102" s="1"/>
  <c r="L34" i="102" s="1"/>
  <c r="AQ33" i="102"/>
  <c r="AF33" i="102"/>
  <c r="AC33" i="102"/>
  <c r="Z33" i="102"/>
  <c r="K33" i="102"/>
  <c r="E33" i="102"/>
  <c r="F33" i="102" s="1"/>
  <c r="L33" i="102" s="1"/>
  <c r="AO32" i="102"/>
  <c r="AF32" i="102"/>
  <c r="AC32" i="102"/>
  <c r="Z32" i="102"/>
  <c r="K32" i="102"/>
  <c r="E32" i="102"/>
  <c r="F32" i="102" s="1"/>
  <c r="AQ31" i="102"/>
  <c r="AF31" i="102"/>
  <c r="AC31" i="102"/>
  <c r="Z31" i="102"/>
  <c r="K31" i="102"/>
  <c r="E31" i="102"/>
  <c r="F31" i="102" s="1"/>
  <c r="L31" i="102" s="1"/>
  <c r="AQ30" i="102"/>
  <c r="AF30" i="102"/>
  <c r="AC30" i="102"/>
  <c r="Z30" i="102"/>
  <c r="K30" i="102"/>
  <c r="E30" i="102"/>
  <c r="F30" i="102" s="1"/>
  <c r="L30" i="102" s="1"/>
  <c r="AO29" i="102"/>
  <c r="AF29" i="102"/>
  <c r="AC29" i="102"/>
  <c r="Z29" i="102"/>
  <c r="K29" i="102"/>
  <c r="E29" i="102"/>
  <c r="F29" i="102" s="1"/>
  <c r="AO28" i="102"/>
  <c r="AF28" i="102"/>
  <c r="AC28" i="102"/>
  <c r="Z28" i="102"/>
  <c r="E28" i="102"/>
  <c r="F28" i="102" s="1"/>
  <c r="K28" i="102" s="1"/>
  <c r="AQ27" i="102"/>
  <c r="AF27" i="102"/>
  <c r="AC27" i="102"/>
  <c r="Z27" i="102"/>
  <c r="C27" i="102"/>
  <c r="E27" i="102" s="1"/>
  <c r="F27" i="102" s="1"/>
  <c r="AQ26" i="102"/>
  <c r="AF26" i="102"/>
  <c r="AC26" i="102"/>
  <c r="Z26" i="102"/>
  <c r="K26" i="102"/>
  <c r="E26" i="102"/>
  <c r="F26" i="102" s="1"/>
  <c r="L26" i="102" s="1"/>
  <c r="AQ25" i="102"/>
  <c r="AF25" i="102"/>
  <c r="AC25" i="102"/>
  <c r="Z25" i="102"/>
  <c r="F25" i="102"/>
  <c r="J25" i="102" s="1"/>
  <c r="E25" i="102"/>
  <c r="AQ24" i="102"/>
  <c r="AF24" i="102"/>
  <c r="AC24" i="102"/>
  <c r="Z24" i="102"/>
  <c r="E24" i="102"/>
  <c r="F24" i="102" s="1"/>
  <c r="J24" i="102" s="1"/>
  <c r="AQ23" i="102"/>
  <c r="AF23" i="102"/>
  <c r="AC23" i="102"/>
  <c r="Z23" i="102"/>
  <c r="E23" i="102"/>
  <c r="F23" i="102" s="1"/>
  <c r="L23" i="102" s="1"/>
  <c r="AQ22" i="102"/>
  <c r="AF22" i="102"/>
  <c r="AC22" i="102"/>
  <c r="Z22" i="102"/>
  <c r="E22" i="102"/>
  <c r="F22" i="102" s="1"/>
  <c r="AO21" i="102"/>
  <c r="AF21" i="102"/>
  <c r="AC21" i="102"/>
  <c r="Z21" i="102"/>
  <c r="K21" i="102"/>
  <c r="H21" i="102"/>
  <c r="E21" i="102"/>
  <c r="F21" i="102" s="1"/>
  <c r="L21" i="102" s="1"/>
  <c r="AO20" i="102"/>
  <c r="AF20" i="102"/>
  <c r="AC20" i="102"/>
  <c r="Z20" i="102"/>
  <c r="E20" i="102"/>
  <c r="F20" i="102" s="1"/>
  <c r="AQ19" i="102"/>
  <c r="AF19" i="102"/>
  <c r="AC19" i="102"/>
  <c r="Z19" i="102"/>
  <c r="E19" i="102"/>
  <c r="F19" i="102" s="1"/>
  <c r="K19" i="102" s="1"/>
  <c r="AQ18" i="102"/>
  <c r="AF18" i="102"/>
  <c r="AC18" i="102"/>
  <c r="Z18" i="102"/>
  <c r="K18" i="102"/>
  <c r="E18" i="102"/>
  <c r="F18" i="102" s="1"/>
  <c r="L18" i="102" s="1"/>
  <c r="AQ17" i="102"/>
  <c r="AF17" i="102"/>
  <c r="AC17" i="102"/>
  <c r="Z17" i="102"/>
  <c r="E17" i="102"/>
  <c r="F17" i="102" s="1"/>
  <c r="L17" i="102" s="1"/>
  <c r="AO16" i="102"/>
  <c r="AF16" i="102"/>
  <c r="AC16" i="102"/>
  <c r="Z16" i="102"/>
  <c r="E16" i="102"/>
  <c r="F16" i="102" s="1"/>
  <c r="AO15" i="102"/>
  <c r="AF15" i="102"/>
  <c r="AC15" i="102"/>
  <c r="Z15" i="102"/>
  <c r="E15" i="102"/>
  <c r="F15" i="102" s="1"/>
  <c r="K15" i="102" s="1"/>
  <c r="AO14" i="102"/>
  <c r="AF14" i="102"/>
  <c r="AC14" i="102"/>
  <c r="Z14" i="102"/>
  <c r="H14" i="102"/>
  <c r="E14" i="102"/>
  <c r="F14" i="102" s="1"/>
  <c r="AQ13" i="102"/>
  <c r="AF13" i="102"/>
  <c r="AC13" i="102"/>
  <c r="Z13" i="102"/>
  <c r="K13" i="102"/>
  <c r="H13" i="102"/>
  <c r="E13" i="102"/>
  <c r="F13" i="102" s="1"/>
  <c r="L13" i="102" s="1"/>
  <c r="AO12" i="102"/>
  <c r="AF12" i="102"/>
  <c r="AC12" i="102"/>
  <c r="Z12" i="102"/>
  <c r="E12" i="102"/>
  <c r="F12" i="102" s="1"/>
  <c r="AO11" i="102"/>
  <c r="AF11" i="102"/>
  <c r="AC11" i="102"/>
  <c r="Z11" i="102"/>
  <c r="E11" i="102"/>
  <c r="AO10" i="102"/>
  <c r="AF10" i="102"/>
  <c r="AC10" i="102"/>
  <c r="Z10" i="102"/>
  <c r="E10" i="102"/>
  <c r="F10" i="102" s="1"/>
  <c r="AO9" i="102"/>
  <c r="AF9" i="102"/>
  <c r="AC9" i="102"/>
  <c r="Z9" i="102"/>
  <c r="E9" i="102"/>
  <c r="G28" i="101"/>
  <c r="AE23" i="101"/>
  <c r="AD23" i="101"/>
  <c r="AB23" i="101"/>
  <c r="AA23" i="101"/>
  <c r="Y23" i="101"/>
  <c r="X23" i="101"/>
  <c r="U23" i="101"/>
  <c r="H23" i="101"/>
  <c r="G23" i="101"/>
  <c r="D23" i="101"/>
  <c r="AS22" i="101"/>
  <c r="AF22" i="101"/>
  <c r="AG22" i="101" s="1"/>
  <c r="AC22" i="101"/>
  <c r="Z22" i="101"/>
  <c r="C22" i="101"/>
  <c r="E22" i="101" s="1"/>
  <c r="F22" i="101" s="1"/>
  <c r="M22" i="101" s="1"/>
  <c r="AS21" i="101"/>
  <c r="AF21" i="101"/>
  <c r="AC21" i="101"/>
  <c r="Z21" i="101"/>
  <c r="K21" i="101"/>
  <c r="E21" i="101"/>
  <c r="F21" i="101" s="1"/>
  <c r="AS20" i="101"/>
  <c r="AF20" i="101"/>
  <c r="AC20" i="101"/>
  <c r="Z20" i="101"/>
  <c r="K20" i="101"/>
  <c r="J20" i="101"/>
  <c r="E20" i="101"/>
  <c r="F20" i="101" s="1"/>
  <c r="L20" i="101" s="1"/>
  <c r="AS19" i="101"/>
  <c r="AF19" i="101"/>
  <c r="AC19" i="101"/>
  <c r="Z19" i="101"/>
  <c r="E19" i="101"/>
  <c r="F19" i="101" s="1"/>
  <c r="K19" i="101" s="1"/>
  <c r="AS18" i="101"/>
  <c r="AF18" i="101"/>
  <c r="AC18" i="101"/>
  <c r="AG18" i="101" s="1"/>
  <c r="Z18" i="101"/>
  <c r="E18" i="101"/>
  <c r="F18" i="101" s="1"/>
  <c r="AS17" i="101"/>
  <c r="AF17" i="101"/>
  <c r="AC17" i="101"/>
  <c r="Z17" i="101"/>
  <c r="K17" i="101"/>
  <c r="J17" i="101"/>
  <c r="E17" i="101"/>
  <c r="F17" i="101" s="1"/>
  <c r="AS16" i="101"/>
  <c r="AF16" i="101"/>
  <c r="AC16" i="101"/>
  <c r="Z16" i="101"/>
  <c r="K16" i="101"/>
  <c r="J16" i="101"/>
  <c r="E16" i="101"/>
  <c r="F16" i="101" s="1"/>
  <c r="AS15" i="101"/>
  <c r="AF15" i="101"/>
  <c r="AC15" i="101"/>
  <c r="Z15" i="101"/>
  <c r="K15" i="101"/>
  <c r="J15" i="101"/>
  <c r="C15" i="101"/>
  <c r="E15" i="101" s="1"/>
  <c r="F15" i="101" s="1"/>
  <c r="L15" i="101" s="1"/>
  <c r="AS14" i="101"/>
  <c r="AF14" i="101"/>
  <c r="AC14" i="101"/>
  <c r="Z14" i="101"/>
  <c r="AG14" i="101" s="1"/>
  <c r="K14" i="101"/>
  <c r="E14" i="101"/>
  <c r="F14" i="101" s="1"/>
  <c r="L14" i="101" s="1"/>
  <c r="AS13" i="101"/>
  <c r="AF13" i="101"/>
  <c r="AC13" i="101"/>
  <c r="Z13" i="101"/>
  <c r="K13" i="101"/>
  <c r="E13" i="101"/>
  <c r="F13" i="101" s="1"/>
  <c r="AS12" i="101"/>
  <c r="AF12" i="101"/>
  <c r="AC12" i="101"/>
  <c r="Z12" i="101"/>
  <c r="AG12" i="101" s="1"/>
  <c r="E12" i="101"/>
  <c r="F12" i="101" s="1"/>
  <c r="AS11" i="101"/>
  <c r="AF11" i="101"/>
  <c r="AC11" i="101"/>
  <c r="Z11" i="101"/>
  <c r="K11" i="101"/>
  <c r="E11" i="101"/>
  <c r="F11" i="101" s="1"/>
  <c r="AS10" i="101"/>
  <c r="AO10" i="101"/>
  <c r="AF10" i="101"/>
  <c r="AC10" i="101"/>
  <c r="Z10" i="101"/>
  <c r="AG10" i="101" s="1"/>
  <c r="K10" i="101"/>
  <c r="I10" i="101"/>
  <c r="I23" i="101" s="1"/>
  <c r="E10" i="101"/>
  <c r="F10" i="101" s="1"/>
  <c r="AS9" i="101"/>
  <c r="AO9" i="101"/>
  <c r="AF9" i="101"/>
  <c r="AC9" i="101"/>
  <c r="Z9" i="101"/>
  <c r="AG9" i="101" s="1"/>
  <c r="E9" i="101"/>
  <c r="F9" i="101" s="1"/>
  <c r="AE21" i="100"/>
  <c r="AD21" i="100"/>
  <c r="AB21" i="100"/>
  <c r="AA21" i="100"/>
  <c r="Y21" i="100"/>
  <c r="X21" i="100"/>
  <c r="U21" i="100"/>
  <c r="J21" i="100"/>
  <c r="I21" i="100"/>
  <c r="D21" i="100"/>
  <c r="C21" i="100"/>
  <c r="AF20" i="100"/>
  <c r="AC20" i="100"/>
  <c r="Z20" i="100"/>
  <c r="H20" i="100"/>
  <c r="G20" i="100"/>
  <c r="E20" i="100"/>
  <c r="F20" i="100" s="1"/>
  <c r="AF19" i="100"/>
  <c r="AC19" i="100"/>
  <c r="Z19" i="100"/>
  <c r="E19" i="100"/>
  <c r="F19" i="100" s="1"/>
  <c r="L19" i="100" s="1"/>
  <c r="AF18" i="100"/>
  <c r="AC18" i="100"/>
  <c r="Z18" i="100"/>
  <c r="H18" i="100"/>
  <c r="G18" i="100"/>
  <c r="E18" i="100"/>
  <c r="F18" i="100" s="1"/>
  <c r="AF17" i="100"/>
  <c r="AC17" i="100"/>
  <c r="Z17" i="100"/>
  <c r="E17" i="100"/>
  <c r="F17" i="100" s="1"/>
  <c r="L17" i="100" s="1"/>
  <c r="AF16" i="100"/>
  <c r="AC16" i="100"/>
  <c r="Z16" i="100"/>
  <c r="H16" i="100"/>
  <c r="G16" i="100"/>
  <c r="E16" i="100"/>
  <c r="F16" i="100" s="1"/>
  <c r="K16" i="100" s="1"/>
  <c r="AF15" i="100"/>
  <c r="AC15" i="100"/>
  <c r="Z15" i="100"/>
  <c r="K15" i="100"/>
  <c r="E15" i="100"/>
  <c r="F15" i="100" s="1"/>
  <c r="L15" i="100" s="1"/>
  <c r="AF14" i="100"/>
  <c r="AC14" i="100"/>
  <c r="Z14" i="100"/>
  <c r="F14" i="100"/>
  <c r="E14" i="100"/>
  <c r="AF13" i="100"/>
  <c r="AC13" i="100"/>
  <c r="Z13" i="100"/>
  <c r="E13" i="100"/>
  <c r="F13" i="100" s="1"/>
  <c r="AF12" i="100"/>
  <c r="AC12" i="100"/>
  <c r="Z12" i="100"/>
  <c r="E12" i="100"/>
  <c r="F12" i="100" s="1"/>
  <c r="L12" i="100" s="1"/>
  <c r="AF11" i="100"/>
  <c r="AC11" i="100"/>
  <c r="Z11" i="100"/>
  <c r="E11" i="100"/>
  <c r="F11" i="100" s="1"/>
  <c r="AO10" i="100"/>
  <c r="AF10" i="100"/>
  <c r="AC10" i="100"/>
  <c r="Z10" i="100"/>
  <c r="E10" i="100"/>
  <c r="F10" i="100" s="1"/>
  <c r="AO9" i="100"/>
  <c r="AF9" i="100"/>
  <c r="AC9" i="100"/>
  <c r="Z9" i="100"/>
  <c r="K9" i="100"/>
  <c r="E9" i="100"/>
  <c r="F9" i="100" s="1"/>
  <c r="AE28" i="99"/>
  <c r="AD28" i="99"/>
  <c r="AB28" i="99"/>
  <c r="AA28" i="99"/>
  <c r="Y28" i="99"/>
  <c r="X28" i="99"/>
  <c r="U28" i="99"/>
  <c r="N28" i="99"/>
  <c r="J28" i="99"/>
  <c r="I28" i="99"/>
  <c r="G28" i="99"/>
  <c r="D28" i="99"/>
  <c r="C28" i="99"/>
  <c r="AL27" i="99"/>
  <c r="AF27" i="99"/>
  <c r="AC27" i="99"/>
  <c r="Z27" i="99"/>
  <c r="H27" i="99"/>
  <c r="E27" i="99"/>
  <c r="F27" i="99" s="1"/>
  <c r="AL26" i="99"/>
  <c r="AF26" i="99"/>
  <c r="AC26" i="99"/>
  <c r="Z26" i="99"/>
  <c r="H26" i="99"/>
  <c r="F26" i="99"/>
  <c r="E26" i="99"/>
  <c r="AL25" i="99"/>
  <c r="AF25" i="99"/>
  <c r="AC25" i="99"/>
  <c r="Z25" i="99"/>
  <c r="H25" i="99"/>
  <c r="E25" i="99"/>
  <c r="F25" i="99" s="1"/>
  <c r="L25" i="99" s="1"/>
  <c r="AL24" i="99"/>
  <c r="AF24" i="99"/>
  <c r="AC24" i="99"/>
  <c r="Z24" i="99"/>
  <c r="K24" i="99"/>
  <c r="H24" i="99"/>
  <c r="E24" i="99"/>
  <c r="F24" i="99" s="1"/>
  <c r="AL23" i="99"/>
  <c r="AF23" i="99"/>
  <c r="AC23" i="99"/>
  <c r="Z23" i="99"/>
  <c r="E23" i="99"/>
  <c r="F23" i="99" s="1"/>
  <c r="L23" i="99" s="1"/>
  <c r="AL22" i="99"/>
  <c r="AF22" i="99"/>
  <c r="AC22" i="99"/>
  <c r="Z22" i="99"/>
  <c r="K22" i="99"/>
  <c r="H22" i="99"/>
  <c r="E22" i="99"/>
  <c r="F22" i="99" s="1"/>
  <c r="AL21" i="99"/>
  <c r="AF21" i="99"/>
  <c r="AC21" i="99"/>
  <c r="Z21" i="99"/>
  <c r="H21" i="99"/>
  <c r="E21" i="99"/>
  <c r="F21" i="99" s="1"/>
  <c r="AL20" i="99"/>
  <c r="AF20" i="99"/>
  <c r="AC20" i="99"/>
  <c r="Z20" i="99"/>
  <c r="K20" i="99"/>
  <c r="H20" i="99"/>
  <c r="E20" i="99"/>
  <c r="F20" i="99" s="1"/>
  <c r="AL19" i="99"/>
  <c r="AF19" i="99"/>
  <c r="AC19" i="99"/>
  <c r="Z19" i="99"/>
  <c r="K19" i="99"/>
  <c r="H19" i="99"/>
  <c r="E19" i="99"/>
  <c r="F19" i="99" s="1"/>
  <c r="L19" i="99" s="1"/>
  <c r="AL18" i="99"/>
  <c r="AF18" i="99"/>
  <c r="AC18" i="99"/>
  <c r="Z18" i="99"/>
  <c r="H18" i="99"/>
  <c r="E18" i="99"/>
  <c r="F18" i="99" s="1"/>
  <c r="M18" i="99" s="1"/>
  <c r="O18" i="99" s="1"/>
  <c r="AL17" i="99"/>
  <c r="AF17" i="99"/>
  <c r="AC17" i="99"/>
  <c r="Z17" i="99"/>
  <c r="AG17" i="99" s="1"/>
  <c r="K17" i="99"/>
  <c r="H17" i="99"/>
  <c r="E17" i="99"/>
  <c r="F17" i="99" s="1"/>
  <c r="L17" i="99" s="1"/>
  <c r="AL16" i="99"/>
  <c r="AF16" i="99"/>
  <c r="AC16" i="99"/>
  <c r="Z16" i="99"/>
  <c r="K16" i="99"/>
  <c r="H16" i="99"/>
  <c r="E16" i="99"/>
  <c r="F16" i="99" s="1"/>
  <c r="L16" i="99" s="1"/>
  <c r="AL15" i="99"/>
  <c r="AF15" i="99"/>
  <c r="AC15" i="99"/>
  <c r="Z15" i="99"/>
  <c r="H15" i="99"/>
  <c r="E15" i="99"/>
  <c r="F15" i="99" s="1"/>
  <c r="K15" i="99" s="1"/>
  <c r="AL14" i="99"/>
  <c r="AF14" i="99"/>
  <c r="AC14" i="99"/>
  <c r="Z14" i="99"/>
  <c r="H14" i="99"/>
  <c r="E14" i="99"/>
  <c r="F14" i="99" s="1"/>
  <c r="AL13" i="99"/>
  <c r="AF13" i="99"/>
  <c r="AC13" i="99"/>
  <c r="Z13" i="99"/>
  <c r="H13" i="99"/>
  <c r="E13" i="99"/>
  <c r="F13" i="99" s="1"/>
  <c r="AL12" i="99"/>
  <c r="AF12" i="99"/>
  <c r="AC12" i="99"/>
  <c r="Z12" i="99"/>
  <c r="AG12" i="99" s="1"/>
  <c r="H12" i="99"/>
  <c r="E12" i="99"/>
  <c r="F12" i="99" s="1"/>
  <c r="AL11" i="99"/>
  <c r="AF11" i="99"/>
  <c r="AC11" i="99"/>
  <c r="Z11" i="99"/>
  <c r="K11" i="99"/>
  <c r="H11" i="99"/>
  <c r="E11" i="99"/>
  <c r="F11" i="99" s="1"/>
  <c r="L11" i="99" s="1"/>
  <c r="AL10" i="99"/>
  <c r="AF10" i="99"/>
  <c r="AC10" i="99"/>
  <c r="Z10" i="99"/>
  <c r="K10" i="99"/>
  <c r="E10" i="99"/>
  <c r="F10" i="99" s="1"/>
  <c r="AL9" i="99"/>
  <c r="AF9" i="99"/>
  <c r="AF28" i="99" s="1"/>
  <c r="AC9" i="99"/>
  <c r="Z9" i="99"/>
  <c r="K9" i="99"/>
  <c r="E9" i="99"/>
  <c r="F9" i="99" s="1"/>
  <c r="K20" i="110" l="1"/>
  <c r="L20" i="110"/>
  <c r="AG11" i="99"/>
  <c r="AG10" i="102"/>
  <c r="AG18" i="103"/>
  <c r="AG18" i="104"/>
  <c r="AG9" i="107"/>
  <c r="AG10" i="99"/>
  <c r="AG17" i="103"/>
  <c r="AG10" i="105"/>
  <c r="AG18" i="107"/>
  <c r="AF21" i="100"/>
  <c r="L15" i="104"/>
  <c r="M15" i="104" s="1"/>
  <c r="G28" i="104"/>
  <c r="AG18" i="108"/>
  <c r="AG44" i="108"/>
  <c r="AG14" i="100"/>
  <c r="AG20" i="100"/>
  <c r="N67" i="108"/>
  <c r="AG9" i="110"/>
  <c r="AG10" i="110"/>
  <c r="AG13" i="99"/>
  <c r="AG12" i="100"/>
  <c r="E66" i="102"/>
  <c r="AG24" i="103"/>
  <c r="AG18" i="106"/>
  <c r="M40" i="108"/>
  <c r="AH49" i="108"/>
  <c r="U67" i="108"/>
  <c r="AG15" i="104"/>
  <c r="AH15" i="104" s="1"/>
  <c r="AG11" i="107"/>
  <c r="AG10" i="108"/>
  <c r="M26" i="105"/>
  <c r="O26" i="105" s="1"/>
  <c r="AG17" i="106"/>
  <c r="L23" i="108"/>
  <c r="AG14" i="110"/>
  <c r="AG24" i="102"/>
  <c r="AG41" i="102"/>
  <c r="AG14" i="107"/>
  <c r="AG16" i="108"/>
  <c r="F25" i="103"/>
  <c r="AG23" i="99"/>
  <c r="AH23" i="99" s="1"/>
  <c r="AG11" i="100"/>
  <c r="AG26" i="104"/>
  <c r="AH26" i="104" s="1"/>
  <c r="AG17" i="109"/>
  <c r="AH17" i="109" s="1"/>
  <c r="AG25" i="99"/>
  <c r="AH25" i="99" s="1"/>
  <c r="AG18" i="100"/>
  <c r="L15" i="102"/>
  <c r="AG22" i="102"/>
  <c r="AG35" i="102"/>
  <c r="AH35" i="102" s="1"/>
  <c r="AG14" i="103"/>
  <c r="AG23" i="103"/>
  <c r="H28" i="104"/>
  <c r="AG13" i="104"/>
  <c r="AH13" i="104" s="1"/>
  <c r="AG19" i="104"/>
  <c r="AH19" i="104" s="1"/>
  <c r="AG20" i="104"/>
  <c r="AH20" i="104" s="1"/>
  <c r="AG10" i="106"/>
  <c r="AH10" i="106" s="1"/>
  <c r="AG14" i="106"/>
  <c r="AH14" i="106" s="1"/>
  <c r="AG22" i="107"/>
  <c r="AG11" i="108"/>
  <c r="L19" i="108"/>
  <c r="M19" i="108" s="1"/>
  <c r="O19" i="108" s="1"/>
  <c r="P19" i="108" s="1"/>
  <c r="AG25" i="108"/>
  <c r="AH25" i="108" s="1"/>
  <c r="AG26" i="108"/>
  <c r="AH26" i="108" s="1"/>
  <c r="AG10" i="109"/>
  <c r="AG16" i="110"/>
  <c r="AH16" i="110" s="1"/>
  <c r="AG23" i="102"/>
  <c r="AG31" i="102"/>
  <c r="AG33" i="102"/>
  <c r="P38" i="102"/>
  <c r="R38" i="102" s="1"/>
  <c r="AF28" i="104"/>
  <c r="G21" i="106"/>
  <c r="AH11" i="99"/>
  <c r="AH12" i="99"/>
  <c r="AG19" i="99"/>
  <c r="AH19" i="99" s="1"/>
  <c r="AG22" i="99"/>
  <c r="H21" i="100"/>
  <c r="AG16" i="101"/>
  <c r="AH16" i="101" s="1"/>
  <c r="AG13" i="102"/>
  <c r="AG34" i="102"/>
  <c r="AG40" i="102"/>
  <c r="AG14" i="105"/>
  <c r="AG18" i="105"/>
  <c r="AH18" i="105" s="1"/>
  <c r="AG19" i="105"/>
  <c r="AG21" i="105"/>
  <c r="M14" i="107"/>
  <c r="O14" i="107" s="1"/>
  <c r="P14" i="107" s="1"/>
  <c r="AG17" i="108"/>
  <c r="AH17" i="108" s="1"/>
  <c r="K23" i="108"/>
  <c r="AG43" i="108"/>
  <c r="AG45" i="108"/>
  <c r="AH45" i="108" s="1"/>
  <c r="AG50" i="108"/>
  <c r="AH14" i="110"/>
  <c r="L16" i="102"/>
  <c r="K16" i="102"/>
  <c r="M16" i="102" s="1"/>
  <c r="L44" i="102"/>
  <c r="M44" i="102" s="1"/>
  <c r="L32" i="102"/>
  <c r="J32" i="102"/>
  <c r="K12" i="104"/>
  <c r="L12" i="104"/>
  <c r="L22" i="102"/>
  <c r="K22" i="102"/>
  <c r="L17" i="110"/>
  <c r="M17" i="110" s="1"/>
  <c r="O17" i="110" s="1"/>
  <c r="P17" i="110" s="1"/>
  <c r="F28" i="99"/>
  <c r="AG44" i="102"/>
  <c r="AH44" i="102" s="1"/>
  <c r="AG12" i="105"/>
  <c r="AH12" i="105" s="1"/>
  <c r="AG15" i="106"/>
  <c r="AH15" i="106" s="1"/>
  <c r="F9" i="107"/>
  <c r="E23" i="107"/>
  <c r="L10" i="107"/>
  <c r="M10" i="107" s="1"/>
  <c r="AG14" i="99"/>
  <c r="AG10" i="100"/>
  <c r="AH10" i="100" s="1"/>
  <c r="L11" i="100"/>
  <c r="M11" i="100" s="1"/>
  <c r="O11" i="100" s="1"/>
  <c r="P11" i="100" s="1"/>
  <c r="AH12" i="100"/>
  <c r="AG11" i="101"/>
  <c r="AH11" i="101" s="1"/>
  <c r="AG13" i="101"/>
  <c r="AG17" i="101"/>
  <c r="AG19" i="101"/>
  <c r="AH16" i="103"/>
  <c r="AG16" i="103"/>
  <c r="AG12" i="104"/>
  <c r="AH12" i="104" s="1"/>
  <c r="L19" i="104"/>
  <c r="K19" i="104"/>
  <c r="Z28" i="105"/>
  <c r="AF21" i="106"/>
  <c r="AG19" i="106"/>
  <c r="AH19" i="106" s="1"/>
  <c r="M20" i="106"/>
  <c r="AG16" i="107"/>
  <c r="AH16" i="107"/>
  <c r="AH18" i="107"/>
  <c r="AC52" i="108"/>
  <c r="AH10" i="108"/>
  <c r="AG20" i="108"/>
  <c r="AH20" i="108" s="1"/>
  <c r="AH37" i="108"/>
  <c r="AG37" i="108"/>
  <c r="AG41" i="108"/>
  <c r="AH44" i="108"/>
  <c r="G52" i="108"/>
  <c r="G67" i="108"/>
  <c r="L19" i="109"/>
  <c r="M19" i="109" s="1"/>
  <c r="AC28" i="110"/>
  <c r="L13" i="110"/>
  <c r="M13" i="110" s="1"/>
  <c r="O13" i="110" s="1"/>
  <c r="P13" i="110" s="1"/>
  <c r="L15" i="110"/>
  <c r="AG21" i="99"/>
  <c r="AH21" i="99" s="1"/>
  <c r="AG24" i="99"/>
  <c r="AH24" i="99" s="1"/>
  <c r="AC21" i="100"/>
  <c r="AF23" i="101"/>
  <c r="M14" i="101"/>
  <c r="O14" i="101" s="1"/>
  <c r="P14" i="101" s="1"/>
  <c r="J23" i="101"/>
  <c r="AG21" i="101"/>
  <c r="AH21" i="101" s="1"/>
  <c r="AG11" i="102"/>
  <c r="AH11" i="102" s="1"/>
  <c r="AG12" i="102"/>
  <c r="AH12" i="102" s="1"/>
  <c r="AG15" i="102"/>
  <c r="AG26" i="102"/>
  <c r="AH26" i="102" s="1"/>
  <c r="AG36" i="102"/>
  <c r="AH36" i="102" s="1"/>
  <c r="AG39" i="102"/>
  <c r="AH39" i="102" s="1"/>
  <c r="M40" i="102"/>
  <c r="U67" i="102"/>
  <c r="AH18" i="103"/>
  <c r="M19" i="103"/>
  <c r="O19" i="103" s="1"/>
  <c r="P19" i="103" s="1"/>
  <c r="AG22" i="103"/>
  <c r="AH22" i="103" s="1"/>
  <c r="Z28" i="104"/>
  <c r="M17" i="104"/>
  <c r="O17" i="104" s="1"/>
  <c r="P17" i="104" s="1"/>
  <c r="M18" i="104"/>
  <c r="AG13" i="105"/>
  <c r="AH13" i="105" s="1"/>
  <c r="AG20" i="105"/>
  <c r="M21" i="105"/>
  <c r="AG26" i="105"/>
  <c r="AH26" i="105" s="1"/>
  <c r="AG9" i="106"/>
  <c r="AH9" i="106" s="1"/>
  <c r="K10" i="106"/>
  <c r="L10" i="106"/>
  <c r="AG16" i="106"/>
  <c r="AH16" i="106" s="1"/>
  <c r="AG27" i="108"/>
  <c r="AH27" i="108" s="1"/>
  <c r="AG32" i="108"/>
  <c r="AG38" i="108"/>
  <c r="AH38" i="108" s="1"/>
  <c r="O41" i="108"/>
  <c r="P41" i="108" s="1"/>
  <c r="AG46" i="108"/>
  <c r="AG48" i="108"/>
  <c r="AG19" i="109"/>
  <c r="AH19" i="109" s="1"/>
  <c r="E28" i="110"/>
  <c r="AG11" i="110"/>
  <c r="AH11" i="110" s="1"/>
  <c r="AF28" i="110"/>
  <c r="G28" i="110"/>
  <c r="AH12" i="101"/>
  <c r="AH18" i="101"/>
  <c r="AH22" i="101"/>
  <c r="AG17" i="102"/>
  <c r="AH17" i="102" s="1"/>
  <c r="AG21" i="102"/>
  <c r="M12" i="103"/>
  <c r="O12" i="103" s="1"/>
  <c r="AH24" i="103"/>
  <c r="AG15" i="99"/>
  <c r="AH15" i="99" s="1"/>
  <c r="AG16" i="99"/>
  <c r="AH17" i="99"/>
  <c r="AG18" i="99"/>
  <c r="AH18" i="99" s="1"/>
  <c r="M26" i="99"/>
  <c r="M27" i="99"/>
  <c r="G21" i="100"/>
  <c r="AH9" i="101"/>
  <c r="AH14" i="101"/>
  <c r="AG15" i="101"/>
  <c r="AH15" i="101" s="1"/>
  <c r="AH13" i="102"/>
  <c r="L25" i="102"/>
  <c r="K25" i="102"/>
  <c r="AG29" i="102"/>
  <c r="M33" i="102"/>
  <c r="O33" i="102" s="1"/>
  <c r="P33" i="102" s="1"/>
  <c r="M35" i="102"/>
  <c r="O35" i="102" s="1"/>
  <c r="P35" i="102" s="1"/>
  <c r="AG43" i="102"/>
  <c r="AH43" i="102" s="1"/>
  <c r="I67" i="102"/>
  <c r="D67" i="102"/>
  <c r="AG21" i="103"/>
  <c r="AG17" i="104"/>
  <c r="AH17" i="104" s="1"/>
  <c r="AG23" i="104"/>
  <c r="AH23" i="104" s="1"/>
  <c r="AG15" i="105"/>
  <c r="AH15" i="105" s="1"/>
  <c r="AC21" i="106"/>
  <c r="L16" i="106"/>
  <c r="K16" i="106"/>
  <c r="AH10" i="107"/>
  <c r="AG10" i="107"/>
  <c r="AH14" i="107"/>
  <c r="AH11" i="109"/>
  <c r="L9" i="110"/>
  <c r="M9" i="110" s="1"/>
  <c r="O9" i="110" s="1"/>
  <c r="L11" i="110"/>
  <c r="M11" i="110" s="1"/>
  <c r="O11" i="110" s="1"/>
  <c r="P11" i="110" s="1"/>
  <c r="AG18" i="110"/>
  <c r="K22" i="110"/>
  <c r="L22" i="110"/>
  <c r="AG30" i="102"/>
  <c r="AH31" i="102"/>
  <c r="AH33" i="102"/>
  <c r="AH40" i="102"/>
  <c r="AH41" i="102"/>
  <c r="AG50" i="102"/>
  <c r="AH50" i="102" s="1"/>
  <c r="G67" i="102"/>
  <c r="N67" i="102"/>
  <c r="AG10" i="103"/>
  <c r="AH10" i="103" s="1"/>
  <c r="AG14" i="104"/>
  <c r="AH14" i="104" s="1"/>
  <c r="AH18" i="104"/>
  <c r="AG21" i="104"/>
  <c r="AH21" i="104" s="1"/>
  <c r="AF28" i="105"/>
  <c r="AG11" i="105"/>
  <c r="AH11" i="105" s="1"/>
  <c r="AG16" i="105"/>
  <c r="AG17" i="105"/>
  <c r="M19" i="105"/>
  <c r="O19" i="105" s="1"/>
  <c r="P19" i="105" s="1"/>
  <c r="AG23" i="105"/>
  <c r="AH23" i="105" s="1"/>
  <c r="AG20" i="106"/>
  <c r="AG13" i="107"/>
  <c r="C23" i="107"/>
  <c r="AG12" i="108"/>
  <c r="AH12" i="108" s="1"/>
  <c r="AG13" i="108"/>
  <c r="AG14" i="108"/>
  <c r="C65" i="108"/>
  <c r="C67" i="108" s="1"/>
  <c r="AG29" i="108"/>
  <c r="AH29" i="108" s="1"/>
  <c r="AG31" i="108"/>
  <c r="AG33" i="108"/>
  <c r="AG34" i="108"/>
  <c r="AH34" i="108" s="1"/>
  <c r="AG40" i="108"/>
  <c r="AH40" i="108" s="1"/>
  <c r="AG51" i="108"/>
  <c r="AG12" i="109"/>
  <c r="AG20" i="109"/>
  <c r="AH20" i="109" s="1"/>
  <c r="AG21" i="109"/>
  <c r="AH21" i="109" s="1"/>
  <c r="AG22" i="109"/>
  <c r="AH22" i="109" s="1"/>
  <c r="M26" i="104"/>
  <c r="M18" i="105"/>
  <c r="O18" i="105" s="1"/>
  <c r="P18" i="105" s="1"/>
  <c r="AH19" i="105"/>
  <c r="AG22" i="105"/>
  <c r="AG25" i="105"/>
  <c r="AH25" i="105" s="1"/>
  <c r="AG27" i="105"/>
  <c r="AH27" i="105" s="1"/>
  <c r="AG19" i="108"/>
  <c r="AH19" i="108" s="1"/>
  <c r="AG22" i="108"/>
  <c r="AH22" i="108" s="1"/>
  <c r="AH32" i="108"/>
  <c r="AG35" i="108"/>
  <c r="AH35" i="108" s="1"/>
  <c r="AG36" i="108"/>
  <c r="AH36" i="108" s="1"/>
  <c r="AG39" i="108"/>
  <c r="AH39" i="108" s="1"/>
  <c r="I67" i="108"/>
  <c r="AC25" i="109"/>
  <c r="AG15" i="109"/>
  <c r="AH15" i="109" s="1"/>
  <c r="M27" i="110"/>
  <c r="O27" i="110" s="1"/>
  <c r="AG27" i="110"/>
  <c r="AH27" i="110" s="1"/>
  <c r="K14" i="105"/>
  <c r="L14" i="105"/>
  <c r="M14" i="105" s="1"/>
  <c r="L10" i="105"/>
  <c r="M10" i="105" s="1"/>
  <c r="L20" i="105"/>
  <c r="M20" i="105" s="1"/>
  <c r="O27" i="105"/>
  <c r="P27" i="105" s="1"/>
  <c r="O21" i="105"/>
  <c r="P21" i="105" s="1"/>
  <c r="O20" i="106"/>
  <c r="P20" i="106" s="1"/>
  <c r="AH10" i="105"/>
  <c r="L11" i="105"/>
  <c r="M11" i="105" s="1"/>
  <c r="O23" i="105"/>
  <c r="P23" i="105" s="1"/>
  <c r="L17" i="106"/>
  <c r="M17" i="106"/>
  <c r="O17" i="108"/>
  <c r="P17" i="108" s="1"/>
  <c r="E28" i="105"/>
  <c r="AG9" i="105"/>
  <c r="AH9" i="105" s="1"/>
  <c r="AH14" i="105"/>
  <c r="M16" i="105"/>
  <c r="L16" i="105"/>
  <c r="E21" i="106"/>
  <c r="AH13" i="106"/>
  <c r="AH17" i="106"/>
  <c r="AH18" i="106"/>
  <c r="L21" i="107"/>
  <c r="M21" i="107" s="1"/>
  <c r="K25" i="108"/>
  <c r="J25" i="108"/>
  <c r="L25" i="108"/>
  <c r="F9" i="105"/>
  <c r="L13" i="105"/>
  <c r="K13" i="105"/>
  <c r="M24" i="105"/>
  <c r="L25" i="105"/>
  <c r="M25" i="105" s="1"/>
  <c r="F9" i="106"/>
  <c r="L12" i="106"/>
  <c r="M12" i="106" s="1"/>
  <c r="L14" i="106"/>
  <c r="M14" i="106"/>
  <c r="L15" i="106"/>
  <c r="M15" i="106" s="1"/>
  <c r="M18" i="106"/>
  <c r="L9" i="107"/>
  <c r="F23" i="107"/>
  <c r="K9" i="107"/>
  <c r="Z23" i="107"/>
  <c r="AH9" i="107"/>
  <c r="AH15" i="107"/>
  <c r="K18" i="107"/>
  <c r="L18" i="107"/>
  <c r="L20" i="107"/>
  <c r="M20" i="107" s="1"/>
  <c r="K10" i="108"/>
  <c r="K64" i="108" s="1"/>
  <c r="L10" i="108"/>
  <c r="AH14" i="108"/>
  <c r="L22" i="108"/>
  <c r="K22" i="108"/>
  <c r="M22" i="108" s="1"/>
  <c r="J24" i="108"/>
  <c r="L24" i="108"/>
  <c r="K24" i="108"/>
  <c r="L12" i="105"/>
  <c r="M12" i="105" s="1"/>
  <c r="AH17" i="105"/>
  <c r="L13" i="106"/>
  <c r="K13" i="106"/>
  <c r="L51" i="108"/>
  <c r="M51" i="108" s="1"/>
  <c r="M11" i="106"/>
  <c r="H21" i="106"/>
  <c r="AH22" i="107"/>
  <c r="AC28" i="105"/>
  <c r="H28" i="105"/>
  <c r="K15" i="105"/>
  <c r="M15" i="105" s="1"/>
  <c r="AH16" i="105"/>
  <c r="M17" i="105"/>
  <c r="AH20" i="105"/>
  <c r="AH21" i="105"/>
  <c r="M22" i="105"/>
  <c r="AH22" i="105"/>
  <c r="AG24" i="105"/>
  <c r="AH24" i="105" s="1"/>
  <c r="P26" i="105"/>
  <c r="K21" i="106"/>
  <c r="L19" i="106"/>
  <c r="M19" i="106" s="1"/>
  <c r="AH20" i="106"/>
  <c r="J23" i="107"/>
  <c r="AG21" i="107"/>
  <c r="AH21" i="107" s="1"/>
  <c r="O22" i="107"/>
  <c r="P22" i="107" s="1"/>
  <c r="L20" i="108"/>
  <c r="K20" i="108"/>
  <c r="Z21" i="106"/>
  <c r="AG12" i="106"/>
  <c r="AH12" i="106" s="1"/>
  <c r="AC23" i="107"/>
  <c r="K12" i="107"/>
  <c r="M12" i="107" s="1"/>
  <c r="L12" i="107"/>
  <c r="AH12" i="107"/>
  <c r="M15" i="107"/>
  <c r="L17" i="107"/>
  <c r="M17" i="107" s="1"/>
  <c r="L15" i="108"/>
  <c r="K15" i="108"/>
  <c r="M15" i="108" s="1"/>
  <c r="AH16" i="108"/>
  <c r="L18" i="108"/>
  <c r="M18" i="108" s="1"/>
  <c r="AH18" i="108"/>
  <c r="AG23" i="108"/>
  <c r="AH23" i="108" s="1"/>
  <c r="AG30" i="108"/>
  <c r="AH30" i="108" s="1"/>
  <c r="L36" i="108"/>
  <c r="M36" i="108" s="1"/>
  <c r="O39" i="108"/>
  <c r="P39" i="108" s="1"/>
  <c r="AG11" i="106"/>
  <c r="AF23" i="107"/>
  <c r="AG17" i="107"/>
  <c r="AH17" i="107" s="1"/>
  <c r="AG19" i="107"/>
  <c r="AG20" i="107"/>
  <c r="AH20" i="107" s="1"/>
  <c r="L12" i="108"/>
  <c r="M12" i="108" s="1"/>
  <c r="K14" i="108"/>
  <c r="L16" i="108"/>
  <c r="K16" i="108"/>
  <c r="L29" i="108"/>
  <c r="M29" i="108" s="1"/>
  <c r="L37" i="108"/>
  <c r="M37" i="108" s="1"/>
  <c r="O45" i="108"/>
  <c r="P45" i="108"/>
  <c r="AG16" i="109"/>
  <c r="AH16" i="109" s="1"/>
  <c r="AG18" i="109"/>
  <c r="AH18" i="109"/>
  <c r="AH11" i="107"/>
  <c r="AH13" i="107"/>
  <c r="M16" i="107"/>
  <c r="AH19" i="107"/>
  <c r="F64" i="108"/>
  <c r="Z52" i="108"/>
  <c r="F66" i="108"/>
  <c r="AH11" i="108"/>
  <c r="H65" i="108"/>
  <c r="H67" i="108" s="1"/>
  <c r="H52" i="108"/>
  <c r="AH13" i="108"/>
  <c r="AG21" i="108"/>
  <c r="AH21" i="108" s="1"/>
  <c r="L26" i="108"/>
  <c r="M26" i="108" s="1"/>
  <c r="L30" i="108"/>
  <c r="M30" i="108" s="1"/>
  <c r="J32" i="108"/>
  <c r="L35" i="108"/>
  <c r="M35" i="108" s="1"/>
  <c r="O38" i="108"/>
  <c r="P38" i="108" s="1"/>
  <c r="M44" i="108"/>
  <c r="L44" i="108"/>
  <c r="L49" i="108"/>
  <c r="M49" i="108" s="1"/>
  <c r="L50" i="108"/>
  <c r="M50" i="108" s="1"/>
  <c r="L11" i="109"/>
  <c r="K11" i="109"/>
  <c r="M11" i="109" s="1"/>
  <c r="L23" i="110"/>
  <c r="M23" i="110" s="1"/>
  <c r="L11" i="107"/>
  <c r="M11" i="107" s="1"/>
  <c r="L13" i="107"/>
  <c r="M13" i="107" s="1"/>
  <c r="L19" i="107"/>
  <c r="M19" i="107" s="1"/>
  <c r="L9" i="108"/>
  <c r="M9" i="108" s="1"/>
  <c r="AF52" i="108"/>
  <c r="L11" i="108"/>
  <c r="L66" i="108" s="1"/>
  <c r="M21" i="108"/>
  <c r="L28" i="108"/>
  <c r="K28" i="108"/>
  <c r="J28" i="108"/>
  <c r="AH28" i="108"/>
  <c r="L32" i="108"/>
  <c r="L48" i="108"/>
  <c r="M48" i="108" s="1"/>
  <c r="L21" i="109"/>
  <c r="K21" i="109"/>
  <c r="AG19" i="110"/>
  <c r="AH19" i="110" s="1"/>
  <c r="E64" i="108"/>
  <c r="AG9" i="108"/>
  <c r="E66" i="108"/>
  <c r="F13" i="108"/>
  <c r="AG15" i="108"/>
  <c r="AH15" i="108" s="1"/>
  <c r="M23" i="108"/>
  <c r="AG24" i="108"/>
  <c r="AH24" i="108" s="1"/>
  <c r="L31" i="108"/>
  <c r="M31" i="108" s="1"/>
  <c r="AH31" i="108"/>
  <c r="L33" i="108"/>
  <c r="M33" i="108" s="1"/>
  <c r="AH33" i="108"/>
  <c r="L34" i="108"/>
  <c r="M34" i="108" s="1"/>
  <c r="AH41" i="108"/>
  <c r="L46" i="108"/>
  <c r="M46" i="108" s="1"/>
  <c r="AH46" i="108"/>
  <c r="AH50" i="108"/>
  <c r="M47" i="108"/>
  <c r="F25" i="109"/>
  <c r="K9" i="109"/>
  <c r="Z25" i="109"/>
  <c r="M17" i="109"/>
  <c r="L18" i="110"/>
  <c r="M18" i="110" s="1"/>
  <c r="L21" i="110"/>
  <c r="M21" i="110" s="1"/>
  <c r="E27" i="108"/>
  <c r="F27" i="108" s="1"/>
  <c r="K43" i="108"/>
  <c r="M43" i="108" s="1"/>
  <c r="AH48" i="108"/>
  <c r="C52" i="108"/>
  <c r="L9" i="109"/>
  <c r="AH12" i="109"/>
  <c r="L16" i="110"/>
  <c r="K16" i="110"/>
  <c r="L19" i="110"/>
  <c r="K19" i="110"/>
  <c r="M19" i="110" s="1"/>
  <c r="AH43" i="108"/>
  <c r="AG47" i="108"/>
  <c r="AH47" i="108" s="1"/>
  <c r="D67" i="108"/>
  <c r="AF25" i="109"/>
  <c r="AG9" i="109"/>
  <c r="AH9" i="109" s="1"/>
  <c r="K10" i="109"/>
  <c r="L10" i="109"/>
  <c r="AH10" i="109"/>
  <c r="K13" i="109"/>
  <c r="L13" i="109"/>
  <c r="AG21" i="110"/>
  <c r="AH21" i="110" s="1"/>
  <c r="AH51" i="108"/>
  <c r="M12" i="109"/>
  <c r="K14" i="109"/>
  <c r="M20" i="109"/>
  <c r="H28" i="110"/>
  <c r="L14" i="110"/>
  <c r="K14" i="110"/>
  <c r="AH18" i="110"/>
  <c r="H25" i="109"/>
  <c r="L14" i="109"/>
  <c r="K16" i="109"/>
  <c r="M16" i="109" s="1"/>
  <c r="K22" i="109"/>
  <c r="M22" i="109" s="1"/>
  <c r="E25" i="109"/>
  <c r="L24" i="110"/>
  <c r="M24" i="110" s="1"/>
  <c r="L25" i="110"/>
  <c r="M25" i="110" s="1"/>
  <c r="P27" i="110"/>
  <c r="F28" i="110"/>
  <c r="AG13" i="109"/>
  <c r="AH13" i="109" s="1"/>
  <c r="AG14" i="109"/>
  <c r="AH14" i="109" s="1"/>
  <c r="K15" i="109"/>
  <c r="M15" i="109" s="1"/>
  <c r="K18" i="109"/>
  <c r="M18" i="109" s="1"/>
  <c r="L23" i="109"/>
  <c r="M23" i="109" s="1"/>
  <c r="O24" i="109"/>
  <c r="P24" i="109" s="1"/>
  <c r="M10" i="110"/>
  <c r="AH10" i="110"/>
  <c r="L12" i="110"/>
  <c r="K12" i="110"/>
  <c r="Z28" i="110"/>
  <c r="AG12" i="110"/>
  <c r="AH12" i="110" s="1"/>
  <c r="M26" i="110"/>
  <c r="AG23" i="109"/>
  <c r="AH23" i="109" s="1"/>
  <c r="AG24" i="109"/>
  <c r="AH24" i="109" s="1"/>
  <c r="AH9" i="110"/>
  <c r="AG13" i="110"/>
  <c r="M15" i="110"/>
  <c r="AG15" i="110"/>
  <c r="AH15" i="110" s="1"/>
  <c r="AG17" i="110"/>
  <c r="AH17" i="110" s="1"/>
  <c r="M20" i="110"/>
  <c r="AG20" i="110"/>
  <c r="AH20" i="110" s="1"/>
  <c r="AG22" i="110"/>
  <c r="AH22" i="110" s="1"/>
  <c r="AG23" i="110"/>
  <c r="AH23" i="110" s="1"/>
  <c r="AG26" i="110"/>
  <c r="AH26" i="110" s="1"/>
  <c r="L18" i="100"/>
  <c r="M18" i="100" s="1"/>
  <c r="H28" i="99"/>
  <c r="K13" i="99"/>
  <c r="L13" i="99"/>
  <c r="M13" i="99" s="1"/>
  <c r="AH14" i="99"/>
  <c r="M17" i="99"/>
  <c r="L24" i="99"/>
  <c r="M24" i="99" s="1"/>
  <c r="AG9" i="99"/>
  <c r="L21" i="99"/>
  <c r="M21" i="99" s="1"/>
  <c r="O27" i="99"/>
  <c r="P27" i="99"/>
  <c r="K10" i="100"/>
  <c r="M10" i="100" s="1"/>
  <c r="L10" i="100"/>
  <c r="O22" i="101"/>
  <c r="P22" i="101" s="1"/>
  <c r="L9" i="99"/>
  <c r="M9" i="99" s="1"/>
  <c r="K14" i="99"/>
  <c r="Z28" i="99"/>
  <c r="L13" i="100"/>
  <c r="K13" i="100"/>
  <c r="L14" i="100"/>
  <c r="M14" i="100" s="1"/>
  <c r="E28" i="99"/>
  <c r="AH13" i="99"/>
  <c r="L14" i="99"/>
  <c r="M14" i="99" s="1"/>
  <c r="P18" i="99"/>
  <c r="AC28" i="99"/>
  <c r="L12" i="99"/>
  <c r="M12" i="99" s="1"/>
  <c r="L15" i="99"/>
  <c r="M15" i="99" s="1"/>
  <c r="AH16" i="99"/>
  <c r="M19" i="99"/>
  <c r="L20" i="99"/>
  <c r="M20" i="99" s="1"/>
  <c r="AG20" i="99"/>
  <c r="AH20" i="99" s="1"/>
  <c r="L22" i="99"/>
  <c r="M22" i="99" s="1"/>
  <c r="M23" i="99"/>
  <c r="AG26" i="99"/>
  <c r="AH26" i="99" s="1"/>
  <c r="AG27" i="99"/>
  <c r="AH27" i="99" s="1"/>
  <c r="M12" i="100"/>
  <c r="AH10" i="99"/>
  <c r="M11" i="99"/>
  <c r="M16" i="99"/>
  <c r="AH22" i="99"/>
  <c r="F21" i="100"/>
  <c r="Z21" i="100"/>
  <c r="AH11" i="100"/>
  <c r="AH14" i="100"/>
  <c r="AG15" i="100"/>
  <c r="AH15" i="100" s="1"/>
  <c r="AG16" i="100"/>
  <c r="AH16" i="100" s="1"/>
  <c r="AH18" i="100"/>
  <c r="L20" i="100"/>
  <c r="M20" i="100" s="1"/>
  <c r="AH20" i="100"/>
  <c r="L12" i="101"/>
  <c r="K12" i="101"/>
  <c r="L18" i="101"/>
  <c r="K18" i="101"/>
  <c r="M18" i="101" s="1"/>
  <c r="E23" i="101"/>
  <c r="L10" i="102"/>
  <c r="K10" i="102"/>
  <c r="AH10" i="102"/>
  <c r="AH15" i="102"/>
  <c r="M17" i="102"/>
  <c r="M21" i="102"/>
  <c r="AG25" i="102"/>
  <c r="AH25" i="102" s="1"/>
  <c r="Q38" i="102"/>
  <c r="O41" i="102"/>
  <c r="P41" i="102" s="1"/>
  <c r="K25" i="99"/>
  <c r="M25" i="99" s="1"/>
  <c r="L9" i="100"/>
  <c r="AG13" i="100"/>
  <c r="AH13" i="100" s="1"/>
  <c r="M15" i="100"/>
  <c r="M19" i="100"/>
  <c r="L10" i="101"/>
  <c r="M10" i="101" s="1"/>
  <c r="AH10" i="101"/>
  <c r="L13" i="101"/>
  <c r="M13" i="101" s="1"/>
  <c r="AH13" i="101"/>
  <c r="M15" i="101"/>
  <c r="L19" i="101"/>
  <c r="M19" i="101" s="1"/>
  <c r="AH19" i="101"/>
  <c r="Z23" i="101"/>
  <c r="AG16" i="102"/>
  <c r="AH16" i="102" s="1"/>
  <c r="AH24" i="102"/>
  <c r="AG27" i="102"/>
  <c r="AH27" i="102" s="1"/>
  <c r="K43" i="102"/>
  <c r="L43" i="102"/>
  <c r="AG48" i="102"/>
  <c r="AH48" i="102" s="1"/>
  <c r="L16" i="100"/>
  <c r="M16" i="100" s="1"/>
  <c r="M12" i="102"/>
  <c r="L12" i="102"/>
  <c r="AG32" i="102"/>
  <c r="AH32" i="102"/>
  <c r="L46" i="102"/>
  <c r="M46" i="102" s="1"/>
  <c r="L10" i="99"/>
  <c r="M10" i="99" s="1"/>
  <c r="E21" i="100"/>
  <c r="AG9" i="100"/>
  <c r="M17" i="100"/>
  <c r="AG17" i="100"/>
  <c r="AH17" i="100" s="1"/>
  <c r="L9" i="101"/>
  <c r="F23" i="101"/>
  <c r="K9" i="101"/>
  <c r="AC23" i="101"/>
  <c r="L11" i="101"/>
  <c r="M11" i="101" s="1"/>
  <c r="L16" i="101"/>
  <c r="M16" i="101" s="1"/>
  <c r="AH17" i="101"/>
  <c r="M20" i="101"/>
  <c r="L21" i="101"/>
  <c r="M21" i="101" s="1"/>
  <c r="AC52" i="102"/>
  <c r="AG9" i="102"/>
  <c r="AH9" i="102" s="1"/>
  <c r="L14" i="102"/>
  <c r="M14" i="102" s="1"/>
  <c r="K14" i="102"/>
  <c r="L20" i="102"/>
  <c r="K20" i="102"/>
  <c r="AG46" i="102"/>
  <c r="AH46" i="102" s="1"/>
  <c r="Z25" i="103"/>
  <c r="AG9" i="103"/>
  <c r="AG19" i="100"/>
  <c r="AH19" i="100" s="1"/>
  <c r="L17" i="101"/>
  <c r="M17" i="101" s="1"/>
  <c r="AG20" i="101"/>
  <c r="AG23" i="101" s="1"/>
  <c r="AF52" i="102"/>
  <c r="E65" i="102"/>
  <c r="AG14" i="102"/>
  <c r="AH14" i="102" s="1"/>
  <c r="M15" i="102"/>
  <c r="M18" i="102"/>
  <c r="AG20" i="102"/>
  <c r="AH20" i="102" s="1"/>
  <c r="L27" i="102"/>
  <c r="M27" i="102" s="1"/>
  <c r="L28" i="102"/>
  <c r="J28" i="102"/>
  <c r="AG28" i="102"/>
  <c r="AH28" i="102" s="1"/>
  <c r="J30" i="102"/>
  <c r="M30" i="102" s="1"/>
  <c r="M31" i="102"/>
  <c r="L47" i="102"/>
  <c r="M47" i="102" s="1"/>
  <c r="C23" i="101"/>
  <c r="E64" i="102"/>
  <c r="F65" i="102"/>
  <c r="M13" i="102"/>
  <c r="AG18" i="102"/>
  <c r="AH18" i="102" s="1"/>
  <c r="AG19" i="102"/>
  <c r="AH19" i="102" s="1"/>
  <c r="AH23" i="102"/>
  <c r="K24" i="102"/>
  <c r="L24" i="102"/>
  <c r="M26" i="102"/>
  <c r="AH29" i="102"/>
  <c r="AH30" i="102"/>
  <c r="AH34" i="102"/>
  <c r="O36" i="102"/>
  <c r="P36" i="102" s="1"/>
  <c r="AG37" i="102"/>
  <c r="AH37" i="102" s="1"/>
  <c r="AG38" i="102"/>
  <c r="AH38" i="102" s="1"/>
  <c r="AH45" i="102"/>
  <c r="AG47" i="102"/>
  <c r="AH47" i="102" s="1"/>
  <c r="L49" i="102"/>
  <c r="M49" i="102" s="1"/>
  <c r="L10" i="103"/>
  <c r="K10" i="103"/>
  <c r="F9" i="102"/>
  <c r="Z52" i="102"/>
  <c r="F11" i="102"/>
  <c r="H52" i="102"/>
  <c r="H65" i="102"/>
  <c r="H67" i="102" s="1"/>
  <c r="L19" i="102"/>
  <c r="M19" i="102" s="1"/>
  <c r="AH21" i="102"/>
  <c r="J23" i="102"/>
  <c r="K23" i="102"/>
  <c r="L29" i="102"/>
  <c r="M29" i="102" s="1"/>
  <c r="L37" i="102"/>
  <c r="M37" i="102" s="1"/>
  <c r="P39" i="102"/>
  <c r="O45" i="102"/>
  <c r="P45" i="102" s="1"/>
  <c r="M48" i="102"/>
  <c r="E52" i="102"/>
  <c r="L13" i="103"/>
  <c r="M13" i="103" s="1"/>
  <c r="K13" i="103"/>
  <c r="AH22" i="102"/>
  <c r="C65" i="102"/>
  <c r="C67" i="102" s="1"/>
  <c r="C52" i="102"/>
  <c r="M34" i="102"/>
  <c r="P12" i="103"/>
  <c r="K18" i="103"/>
  <c r="M18" i="103" s="1"/>
  <c r="L18" i="103"/>
  <c r="L50" i="102"/>
  <c r="M50" i="102" s="1"/>
  <c r="AH51" i="102"/>
  <c r="L9" i="103"/>
  <c r="K9" i="103"/>
  <c r="K14" i="103"/>
  <c r="L14" i="103"/>
  <c r="AG15" i="103"/>
  <c r="AH15" i="103" s="1"/>
  <c r="K22" i="104"/>
  <c r="L22" i="104"/>
  <c r="G52" i="102"/>
  <c r="M51" i="102"/>
  <c r="K16" i="103"/>
  <c r="L16" i="103"/>
  <c r="L17" i="103"/>
  <c r="M17" i="103" s="1"/>
  <c r="AG49" i="102"/>
  <c r="AH49" i="102" s="1"/>
  <c r="AC25" i="103"/>
  <c r="L11" i="103"/>
  <c r="M11" i="103" s="1"/>
  <c r="AG11" i="103"/>
  <c r="AH11" i="103" s="1"/>
  <c r="AG12" i="103"/>
  <c r="AH12" i="103" s="1"/>
  <c r="AH14" i="103"/>
  <c r="L15" i="103"/>
  <c r="AH17" i="103"/>
  <c r="O24" i="103"/>
  <c r="P24" i="103" s="1"/>
  <c r="E28" i="104"/>
  <c r="F9" i="104"/>
  <c r="L14" i="104"/>
  <c r="K14" i="104"/>
  <c r="AG16" i="104"/>
  <c r="AH16" i="104" s="1"/>
  <c r="AF25" i="103"/>
  <c r="AG13" i="103"/>
  <c r="AH13" i="103" s="1"/>
  <c r="AH19" i="103"/>
  <c r="K21" i="103"/>
  <c r="M21" i="103" s="1"/>
  <c r="AH23" i="103"/>
  <c r="O15" i="104"/>
  <c r="P15" i="104" s="1"/>
  <c r="O18" i="104"/>
  <c r="P18" i="104" s="1"/>
  <c r="K20" i="104"/>
  <c r="M20" i="104" s="1"/>
  <c r="L20" i="104"/>
  <c r="E25" i="103"/>
  <c r="H25" i="103"/>
  <c r="K15" i="103"/>
  <c r="AG19" i="103"/>
  <c r="L20" i="103"/>
  <c r="M20" i="103" s="1"/>
  <c r="AH21" i="103"/>
  <c r="M23" i="103"/>
  <c r="L13" i="104"/>
  <c r="M13" i="104" s="1"/>
  <c r="AH20" i="103"/>
  <c r="L22" i="103"/>
  <c r="M22" i="103" s="1"/>
  <c r="AC28" i="104"/>
  <c r="L21" i="104"/>
  <c r="M21" i="104" s="1"/>
  <c r="L23" i="104"/>
  <c r="M23" i="104" s="1"/>
  <c r="AG9" i="104"/>
  <c r="AH9" i="104" s="1"/>
  <c r="M10" i="104"/>
  <c r="AG10" i="104"/>
  <c r="AH10" i="104" s="1"/>
  <c r="M11" i="104"/>
  <c r="AG11" i="104"/>
  <c r="AH11" i="104" s="1"/>
  <c r="L16" i="104"/>
  <c r="L24" i="104"/>
  <c r="M24" i="104" s="1"/>
  <c r="K16" i="104"/>
  <c r="M16" i="104" s="1"/>
  <c r="O26" i="104"/>
  <c r="P26" i="104" s="1"/>
  <c r="P27" i="104"/>
  <c r="L25" i="104"/>
  <c r="M25" i="104" s="1"/>
  <c r="M9" i="107" l="1"/>
  <c r="M16" i="106"/>
  <c r="M16" i="110"/>
  <c r="M16" i="108"/>
  <c r="E67" i="102"/>
  <c r="M24" i="102"/>
  <c r="O40" i="108"/>
  <c r="P40" i="108" s="1"/>
  <c r="M9" i="101"/>
  <c r="M15" i="103"/>
  <c r="M13" i="109"/>
  <c r="M22" i="110"/>
  <c r="S38" i="102"/>
  <c r="AG21" i="106"/>
  <c r="M16" i="103"/>
  <c r="O16" i="103" s="1"/>
  <c r="P16" i="103" s="1"/>
  <c r="M10" i="103"/>
  <c r="O40" i="102"/>
  <c r="P40" i="102" s="1"/>
  <c r="M14" i="109"/>
  <c r="O14" i="109" s="1"/>
  <c r="P14" i="109" s="1"/>
  <c r="M21" i="109"/>
  <c r="O21" i="109" s="1"/>
  <c r="P21" i="109" s="1"/>
  <c r="M13" i="106"/>
  <c r="M25" i="102"/>
  <c r="M22" i="102"/>
  <c r="O22" i="102" s="1"/>
  <c r="M32" i="102"/>
  <c r="O32" i="102" s="1"/>
  <c r="P32" i="102" s="1"/>
  <c r="K28" i="110"/>
  <c r="M20" i="108"/>
  <c r="M10" i="108"/>
  <c r="M32" i="108"/>
  <c r="AG23" i="107"/>
  <c r="M12" i="104"/>
  <c r="O19" i="109"/>
  <c r="P19" i="109" s="1"/>
  <c r="O10" i="107"/>
  <c r="P10" i="107" s="1"/>
  <c r="Q10" i="107" s="1"/>
  <c r="O44" i="102"/>
  <c r="P44" i="102" s="1"/>
  <c r="Q41" i="108"/>
  <c r="R41" i="108"/>
  <c r="O26" i="99"/>
  <c r="P26" i="99" s="1"/>
  <c r="M22" i="104"/>
  <c r="O22" i="104" s="1"/>
  <c r="P22" i="104" s="1"/>
  <c r="M14" i="103"/>
  <c r="K65" i="102"/>
  <c r="M20" i="102"/>
  <c r="L65" i="102"/>
  <c r="L28" i="110"/>
  <c r="M14" i="104"/>
  <c r="M9" i="103"/>
  <c r="M23" i="102"/>
  <c r="M28" i="102"/>
  <c r="M43" i="102"/>
  <c r="M13" i="100"/>
  <c r="K28" i="99"/>
  <c r="AG28" i="110"/>
  <c r="M14" i="110"/>
  <c r="F52" i="108"/>
  <c r="M18" i="107"/>
  <c r="O18" i="107" s="1"/>
  <c r="P18" i="107" s="1"/>
  <c r="M25" i="108"/>
  <c r="O25" i="108" s="1"/>
  <c r="P25" i="108" s="1"/>
  <c r="M10" i="106"/>
  <c r="O10" i="106" s="1"/>
  <c r="P10" i="106" s="1"/>
  <c r="Q10" i="106" s="1"/>
  <c r="K25" i="109"/>
  <c r="J52" i="108"/>
  <c r="M12" i="101"/>
  <c r="O12" i="101" s="1"/>
  <c r="P12" i="101" s="1"/>
  <c r="M28" i="108"/>
  <c r="K65" i="108"/>
  <c r="AH11" i="106"/>
  <c r="AH21" i="106" s="1"/>
  <c r="M24" i="108"/>
  <c r="O24" i="108" s="1"/>
  <c r="P24" i="108" s="1"/>
  <c r="M19" i="104"/>
  <c r="O19" i="104" s="1"/>
  <c r="P19" i="104" s="1"/>
  <c r="O25" i="110"/>
  <c r="P25" i="110" s="1"/>
  <c r="O23" i="110"/>
  <c r="P23" i="110" s="1"/>
  <c r="O12" i="107"/>
  <c r="P12" i="107" s="1"/>
  <c r="Q11" i="110"/>
  <c r="R11" i="110"/>
  <c r="O14" i="110"/>
  <c r="P14" i="110" s="1"/>
  <c r="O18" i="110"/>
  <c r="P18" i="110" s="1"/>
  <c r="O33" i="108"/>
  <c r="P33" i="108" s="1"/>
  <c r="O11" i="107"/>
  <c r="P11" i="107" s="1"/>
  <c r="O18" i="108"/>
  <c r="P18" i="108" s="1"/>
  <c r="O15" i="105"/>
  <c r="P15" i="105" s="1"/>
  <c r="O25" i="105"/>
  <c r="P25" i="105"/>
  <c r="Q19" i="105"/>
  <c r="R19" i="105"/>
  <c r="R23" i="105"/>
  <c r="Q23" i="105"/>
  <c r="Q20" i="106"/>
  <c r="R20" i="106"/>
  <c r="O10" i="105"/>
  <c r="P10" i="105" s="1"/>
  <c r="O28" i="108"/>
  <c r="P28" i="108" s="1"/>
  <c r="O35" i="108"/>
  <c r="P35" i="108" s="1"/>
  <c r="R39" i="108"/>
  <c r="Q39" i="108"/>
  <c r="O51" i="108"/>
  <c r="P51" i="108" s="1"/>
  <c r="Q21" i="105"/>
  <c r="S21" i="105" s="1"/>
  <c r="T21" i="105" s="1"/>
  <c r="V21" i="105" s="1"/>
  <c r="R21" i="105"/>
  <c r="O13" i="109"/>
  <c r="P13" i="109" s="1"/>
  <c r="P34" i="108"/>
  <c r="O34" i="108"/>
  <c r="O32" i="108"/>
  <c r="O29" i="108"/>
  <c r="P29" i="108" s="1"/>
  <c r="O36" i="108"/>
  <c r="P36" i="108" s="1"/>
  <c r="O15" i="108"/>
  <c r="P15" i="108" s="1"/>
  <c r="O19" i="106"/>
  <c r="P19" i="106" s="1"/>
  <c r="O12" i="105"/>
  <c r="P12" i="105" s="1"/>
  <c r="O22" i="108"/>
  <c r="P22" i="108" s="1"/>
  <c r="O15" i="106"/>
  <c r="P15" i="106" s="1"/>
  <c r="O11" i="105"/>
  <c r="P11" i="105" s="1"/>
  <c r="R27" i="105"/>
  <c r="Q27" i="105"/>
  <c r="O14" i="105"/>
  <c r="P14" i="105" s="1"/>
  <c r="Q19" i="108"/>
  <c r="R19" i="108"/>
  <c r="O12" i="106"/>
  <c r="P12" i="106" s="1"/>
  <c r="R18" i="105"/>
  <c r="Q18" i="105"/>
  <c r="O21" i="107"/>
  <c r="P21" i="107" s="1"/>
  <c r="R17" i="108"/>
  <c r="Q17" i="108"/>
  <c r="R10" i="106"/>
  <c r="R24" i="109"/>
  <c r="Q24" i="109"/>
  <c r="O24" i="110"/>
  <c r="P24" i="110" s="1"/>
  <c r="O23" i="109"/>
  <c r="P23" i="109" s="1"/>
  <c r="R17" i="110"/>
  <c r="Q17" i="110"/>
  <c r="R13" i="110"/>
  <c r="Q13" i="110"/>
  <c r="P16" i="110"/>
  <c r="O16" i="110"/>
  <c r="O13" i="107"/>
  <c r="P13" i="107" s="1"/>
  <c r="O49" i="108"/>
  <c r="P49" i="108" s="1"/>
  <c r="O16" i="108"/>
  <c r="P16" i="108" s="1"/>
  <c r="Q22" i="107"/>
  <c r="R22" i="107"/>
  <c r="O13" i="106"/>
  <c r="P13" i="106" s="1"/>
  <c r="O20" i="107"/>
  <c r="P20" i="107" s="1"/>
  <c r="O20" i="105"/>
  <c r="P20" i="105" s="1"/>
  <c r="O20" i="110"/>
  <c r="P20" i="110" s="1"/>
  <c r="O47" i="108"/>
  <c r="P47" i="108" s="1"/>
  <c r="O12" i="108"/>
  <c r="P12" i="108" s="1"/>
  <c r="O16" i="105"/>
  <c r="P16" i="105" s="1"/>
  <c r="K28" i="105"/>
  <c r="O18" i="109"/>
  <c r="P18" i="109" s="1"/>
  <c r="R27" i="110"/>
  <c r="Q27" i="110"/>
  <c r="O22" i="109"/>
  <c r="P22" i="109" s="1"/>
  <c r="P16" i="109"/>
  <c r="O16" i="109"/>
  <c r="P9" i="110"/>
  <c r="O17" i="109"/>
  <c r="P17" i="109" s="1"/>
  <c r="M9" i="109"/>
  <c r="AG52" i="108"/>
  <c r="O16" i="107"/>
  <c r="P16" i="107" s="1"/>
  <c r="O15" i="107"/>
  <c r="P15" i="107" s="1"/>
  <c r="AH23" i="107"/>
  <c r="L23" i="107"/>
  <c r="O24" i="105"/>
  <c r="P24" i="105" s="1"/>
  <c r="M13" i="105"/>
  <c r="O26" i="110"/>
  <c r="P26" i="110" s="1"/>
  <c r="O15" i="109"/>
  <c r="P15" i="109" s="1"/>
  <c r="AH13" i="110"/>
  <c r="AH28" i="110" s="1"/>
  <c r="O19" i="110"/>
  <c r="P19" i="110" s="1"/>
  <c r="E52" i="108"/>
  <c r="O44" i="108"/>
  <c r="P44" i="108" s="1"/>
  <c r="R45" i="108"/>
  <c r="Q45" i="108"/>
  <c r="O19" i="107"/>
  <c r="P19" i="107" s="1"/>
  <c r="R26" i="105"/>
  <c r="Q26" i="105"/>
  <c r="S26" i="105" s="1"/>
  <c r="O14" i="106"/>
  <c r="P14" i="106" s="1"/>
  <c r="Q14" i="107"/>
  <c r="R14" i="107"/>
  <c r="O21" i="110"/>
  <c r="P21" i="110" s="1"/>
  <c r="F65" i="108"/>
  <c r="F67" i="108" s="1"/>
  <c r="L13" i="108"/>
  <c r="M13" i="108" s="1"/>
  <c r="M64" i="108"/>
  <c r="O9" i="108"/>
  <c r="P9" i="108" s="1"/>
  <c r="O21" i="108"/>
  <c r="P21" i="108" s="1"/>
  <c r="L64" i="108"/>
  <c r="Q38" i="108"/>
  <c r="R38" i="108"/>
  <c r="O30" i="108"/>
  <c r="P30" i="108" s="1"/>
  <c r="J65" i="108"/>
  <c r="J67" i="108" s="1"/>
  <c r="O37" i="108"/>
  <c r="P37" i="108" s="1"/>
  <c r="M14" i="108"/>
  <c r="O9" i="107"/>
  <c r="P9" i="107" s="1"/>
  <c r="O17" i="105"/>
  <c r="P17" i="105" s="1"/>
  <c r="O18" i="106"/>
  <c r="P18" i="106" s="1"/>
  <c r="AG28" i="105"/>
  <c r="O17" i="106"/>
  <c r="P17" i="106" s="1"/>
  <c r="O10" i="110"/>
  <c r="P10" i="110" s="1"/>
  <c r="L27" i="108"/>
  <c r="M27" i="108" s="1"/>
  <c r="O46" i="108"/>
  <c r="P46" i="108" s="1"/>
  <c r="O31" i="108"/>
  <c r="P31" i="108" s="1"/>
  <c r="O48" i="108"/>
  <c r="P48" i="108" s="1"/>
  <c r="O11" i="109"/>
  <c r="P11" i="109" s="1"/>
  <c r="O50" i="108"/>
  <c r="P50" i="108" s="1"/>
  <c r="O26" i="108"/>
  <c r="P26" i="108" s="1"/>
  <c r="O16" i="106"/>
  <c r="P16" i="106" s="1"/>
  <c r="O17" i="107"/>
  <c r="P17" i="107" s="1"/>
  <c r="O20" i="108"/>
  <c r="P20" i="108" s="1"/>
  <c r="K67" i="108"/>
  <c r="L9" i="106"/>
  <c r="L21" i="106" s="1"/>
  <c r="F21" i="106"/>
  <c r="F28" i="105"/>
  <c r="L9" i="105"/>
  <c r="L28" i="105" s="1"/>
  <c r="O22" i="110"/>
  <c r="P22" i="110" s="1"/>
  <c r="M12" i="110"/>
  <c r="O12" i="109"/>
  <c r="P12" i="109" s="1"/>
  <c r="M10" i="109"/>
  <c r="O15" i="110"/>
  <c r="P15" i="110" s="1"/>
  <c r="AH25" i="109"/>
  <c r="O20" i="109"/>
  <c r="P20" i="109" s="1"/>
  <c r="AG25" i="109"/>
  <c r="L25" i="109"/>
  <c r="O43" i="108"/>
  <c r="P43" i="108" s="1"/>
  <c r="O23" i="108"/>
  <c r="P23" i="108" s="1"/>
  <c r="M11" i="108"/>
  <c r="E65" i="108"/>
  <c r="E67" i="108" s="1"/>
  <c r="AH9" i="108"/>
  <c r="AH52" i="108" s="1"/>
  <c r="O22" i="105"/>
  <c r="P22" i="105" s="1"/>
  <c r="O11" i="106"/>
  <c r="P11" i="106" s="1"/>
  <c r="K52" i="108"/>
  <c r="K23" i="107"/>
  <c r="AH28" i="105"/>
  <c r="O25" i="104"/>
  <c r="P25" i="104" s="1"/>
  <c r="O50" i="102"/>
  <c r="P50" i="102"/>
  <c r="O37" i="102"/>
  <c r="P37" i="102" s="1"/>
  <c r="O17" i="101"/>
  <c r="P17" i="101" s="1"/>
  <c r="O20" i="102"/>
  <c r="P20" i="102" s="1"/>
  <c r="O16" i="100"/>
  <c r="P16" i="100" s="1"/>
  <c r="O25" i="99"/>
  <c r="P25" i="99" s="1"/>
  <c r="O14" i="99"/>
  <c r="P14" i="99" s="1"/>
  <c r="O14" i="100"/>
  <c r="P14" i="100"/>
  <c r="O24" i="99"/>
  <c r="P24" i="99" s="1"/>
  <c r="Q18" i="104"/>
  <c r="R18" i="104"/>
  <c r="O14" i="104"/>
  <c r="P14" i="104" s="1"/>
  <c r="Q35" i="102"/>
  <c r="R35" i="102"/>
  <c r="O43" i="102"/>
  <c r="P43" i="102" s="1"/>
  <c r="O13" i="100"/>
  <c r="P13" i="100" s="1"/>
  <c r="Q11" i="100"/>
  <c r="R11" i="100"/>
  <c r="R26" i="104"/>
  <c r="Q26" i="104"/>
  <c r="O21" i="104"/>
  <c r="P21" i="104" s="1"/>
  <c r="O15" i="103"/>
  <c r="P15" i="103" s="1"/>
  <c r="O18" i="103"/>
  <c r="P18" i="103" s="1"/>
  <c r="R45" i="102"/>
  <c r="Q45" i="102"/>
  <c r="O11" i="101"/>
  <c r="P11" i="101" s="1"/>
  <c r="Q33" i="102"/>
  <c r="R33" i="102"/>
  <c r="O22" i="99"/>
  <c r="P22" i="99" s="1"/>
  <c r="O21" i="99"/>
  <c r="P21" i="99" s="1"/>
  <c r="O20" i="103"/>
  <c r="P20" i="103" s="1"/>
  <c r="R15" i="104"/>
  <c r="Q15" i="104"/>
  <c r="R19" i="103"/>
  <c r="Q19" i="103"/>
  <c r="O9" i="103"/>
  <c r="P9" i="103" s="1"/>
  <c r="O23" i="102"/>
  <c r="P23" i="102" s="1"/>
  <c r="R36" i="102"/>
  <c r="Q36" i="102"/>
  <c r="O19" i="101"/>
  <c r="P19" i="101" s="1"/>
  <c r="Q41" i="102"/>
  <c r="R41" i="102"/>
  <c r="O12" i="99"/>
  <c r="P12" i="99" s="1"/>
  <c r="O16" i="104"/>
  <c r="P16" i="104" s="1"/>
  <c r="R19" i="104"/>
  <c r="Q19" i="104"/>
  <c r="O21" i="103"/>
  <c r="P21" i="103" s="1"/>
  <c r="O13" i="103"/>
  <c r="P13" i="103" s="1"/>
  <c r="O47" i="102"/>
  <c r="P47" i="102" s="1"/>
  <c r="O30" i="102"/>
  <c r="P30" i="102" s="1"/>
  <c r="O27" i="102"/>
  <c r="P27" i="102" s="1"/>
  <c r="O21" i="101"/>
  <c r="P21" i="101" s="1"/>
  <c r="O10" i="101"/>
  <c r="P10" i="101" s="1"/>
  <c r="O15" i="99"/>
  <c r="P15" i="99" s="1"/>
  <c r="O10" i="100"/>
  <c r="P10" i="100" s="1"/>
  <c r="O20" i="104"/>
  <c r="P20" i="104" s="1"/>
  <c r="O10" i="103"/>
  <c r="P10" i="103" s="1"/>
  <c r="O31" i="102"/>
  <c r="P31" i="102" s="1"/>
  <c r="AG25" i="103"/>
  <c r="O12" i="102"/>
  <c r="P12" i="102" s="1"/>
  <c r="O15" i="100"/>
  <c r="P15" i="100" s="1"/>
  <c r="O13" i="99"/>
  <c r="P13" i="99" s="1"/>
  <c r="M28" i="99"/>
  <c r="O9" i="99"/>
  <c r="AG28" i="99"/>
  <c r="O22" i="103"/>
  <c r="P22" i="103" s="1"/>
  <c r="L9" i="104"/>
  <c r="L28" i="104" s="1"/>
  <c r="F28" i="104"/>
  <c r="K28" i="104"/>
  <c r="L25" i="103"/>
  <c r="O25" i="102"/>
  <c r="P25" i="102" s="1"/>
  <c r="O19" i="102"/>
  <c r="P19" i="102" s="1"/>
  <c r="F66" i="102"/>
  <c r="L11" i="102"/>
  <c r="L66" i="102" s="1"/>
  <c r="K11" i="102"/>
  <c r="K66" i="102" s="1"/>
  <c r="O11" i="103"/>
  <c r="P11" i="103" s="1"/>
  <c r="L23" i="101"/>
  <c r="AH20" i="101"/>
  <c r="AH23" i="101" s="1"/>
  <c r="O24" i="104"/>
  <c r="P24" i="104" s="1"/>
  <c r="Q24" i="103"/>
  <c r="S24" i="103" s="1"/>
  <c r="R24" i="103"/>
  <c r="O15" i="102"/>
  <c r="P15" i="102" s="1"/>
  <c r="O11" i="99"/>
  <c r="P11" i="99" s="1"/>
  <c r="Q18" i="99"/>
  <c r="R18" i="99"/>
  <c r="O20" i="99"/>
  <c r="P20" i="99" s="1"/>
  <c r="O12" i="104"/>
  <c r="P12" i="104" s="1"/>
  <c r="O16" i="102"/>
  <c r="P16" i="102" s="1"/>
  <c r="O49" i="102"/>
  <c r="P49" i="102" s="1"/>
  <c r="O24" i="102"/>
  <c r="P24" i="102" s="1"/>
  <c r="O13" i="102"/>
  <c r="P13" i="102" s="1"/>
  <c r="AG52" i="102"/>
  <c r="O20" i="101"/>
  <c r="P20" i="101" s="1"/>
  <c r="O16" i="101"/>
  <c r="P16" i="101" s="1"/>
  <c r="O9" i="101"/>
  <c r="AG21" i="100"/>
  <c r="O46" i="102"/>
  <c r="P46" i="102" s="1"/>
  <c r="O13" i="101"/>
  <c r="P13" i="101" s="1"/>
  <c r="L21" i="100"/>
  <c r="T38" i="102"/>
  <c r="V38" i="102" s="1"/>
  <c r="O21" i="102"/>
  <c r="P21" i="102" s="1"/>
  <c r="O18" i="101"/>
  <c r="P18" i="101" s="1"/>
  <c r="O16" i="99"/>
  <c r="P16" i="99" s="1"/>
  <c r="O12" i="100"/>
  <c r="P12" i="100" s="1"/>
  <c r="Q22" i="101"/>
  <c r="R22" i="101"/>
  <c r="R27" i="99"/>
  <c r="Q27" i="99"/>
  <c r="K21" i="100"/>
  <c r="O18" i="100"/>
  <c r="P18" i="100" s="1"/>
  <c r="O23" i="104"/>
  <c r="P23" i="104" s="1"/>
  <c r="R17" i="104"/>
  <c r="Q17" i="104"/>
  <c r="O51" i="102"/>
  <c r="P51" i="102" s="1"/>
  <c r="K25" i="103"/>
  <c r="O34" i="102"/>
  <c r="P34" i="102" s="1"/>
  <c r="O48" i="102"/>
  <c r="P48" i="102" s="1"/>
  <c r="O29" i="102"/>
  <c r="P29" i="102" s="1"/>
  <c r="F52" i="102"/>
  <c r="F64" i="102"/>
  <c r="L9" i="102"/>
  <c r="K9" i="102"/>
  <c r="O26" i="102"/>
  <c r="P26" i="102" s="1"/>
  <c r="O14" i="102"/>
  <c r="P14" i="102" s="1"/>
  <c r="O17" i="100"/>
  <c r="P17" i="100" s="1"/>
  <c r="Q14" i="101"/>
  <c r="R14" i="101"/>
  <c r="O20" i="100"/>
  <c r="P20" i="100" s="1"/>
  <c r="O19" i="99"/>
  <c r="P19" i="99" s="1"/>
  <c r="O10" i="99"/>
  <c r="P10" i="99" s="1"/>
  <c r="O17" i="99"/>
  <c r="P17" i="99" s="1"/>
  <c r="R27" i="104"/>
  <c r="Q27" i="104"/>
  <c r="S27" i="104" s="1"/>
  <c r="O10" i="104"/>
  <c r="P10" i="104" s="1"/>
  <c r="O13" i="104"/>
  <c r="P13" i="104" s="1"/>
  <c r="AH28" i="104"/>
  <c r="AG28" i="104"/>
  <c r="O17" i="103"/>
  <c r="P17" i="103" s="1"/>
  <c r="R12" i="103"/>
  <c r="Q12" i="103"/>
  <c r="AH52" i="102"/>
  <c r="O11" i="104"/>
  <c r="P11" i="104" s="1"/>
  <c r="O23" i="103"/>
  <c r="P23" i="103" s="1"/>
  <c r="Q39" i="102"/>
  <c r="R39" i="102"/>
  <c r="J65" i="102"/>
  <c r="J67" i="102" s="1"/>
  <c r="J52" i="102"/>
  <c r="O18" i="102"/>
  <c r="P18" i="102" s="1"/>
  <c r="AH9" i="103"/>
  <c r="AH25" i="103" s="1"/>
  <c r="K23" i="101"/>
  <c r="M9" i="100"/>
  <c r="O15" i="101"/>
  <c r="P15" i="101" s="1"/>
  <c r="O19" i="100"/>
  <c r="P19" i="100" s="1"/>
  <c r="O17" i="102"/>
  <c r="P17" i="102" s="1"/>
  <c r="M10" i="102"/>
  <c r="AH9" i="100"/>
  <c r="AH21" i="100" s="1"/>
  <c r="O23" i="99"/>
  <c r="P23" i="99" s="1"/>
  <c r="L28" i="99"/>
  <c r="AH9" i="99"/>
  <c r="AH28" i="99" s="1"/>
  <c r="AL13" i="80"/>
  <c r="AL15" i="80"/>
  <c r="AL11" i="80"/>
  <c r="AL10" i="80"/>
  <c r="AL9" i="80"/>
  <c r="K10" i="80"/>
  <c r="AO10" i="81"/>
  <c r="AO9" i="81"/>
  <c r="AO43" i="84"/>
  <c r="AO34" i="84"/>
  <c r="AO32" i="84"/>
  <c r="AO29" i="84"/>
  <c r="AO28" i="84"/>
  <c r="AO21" i="84"/>
  <c r="AO20" i="84"/>
  <c r="AO16" i="84"/>
  <c r="AO15" i="84"/>
  <c r="AO14" i="84"/>
  <c r="AO12" i="84"/>
  <c r="AO10" i="84"/>
  <c r="AO11" i="84"/>
  <c r="AO9" i="84"/>
  <c r="AO14" i="86"/>
  <c r="AO10" i="86"/>
  <c r="AO9" i="86"/>
  <c r="AO11" i="85"/>
  <c r="AO10" i="85"/>
  <c r="AO9" i="85"/>
  <c r="Q40" i="102" l="1"/>
  <c r="R40" i="102"/>
  <c r="R40" i="108"/>
  <c r="S40" i="108" s="1"/>
  <c r="T40" i="108" s="1"/>
  <c r="V40" i="108" s="1"/>
  <c r="Q40" i="108"/>
  <c r="S23" i="105"/>
  <c r="S27" i="99"/>
  <c r="T27" i="99" s="1"/>
  <c r="V27" i="99" s="1"/>
  <c r="S15" i="104"/>
  <c r="S11" i="100"/>
  <c r="T11" i="100" s="1"/>
  <c r="V11" i="100" s="1"/>
  <c r="M65" i="102"/>
  <c r="M25" i="103"/>
  <c r="S19" i="105"/>
  <c r="T19" i="105" s="1"/>
  <c r="V19" i="105" s="1"/>
  <c r="P32" i="108"/>
  <c r="S19" i="108"/>
  <c r="S41" i="108"/>
  <c r="T41" i="108" s="1"/>
  <c r="V41" i="108" s="1"/>
  <c r="S35" i="102"/>
  <c r="Q19" i="109"/>
  <c r="R19" i="109"/>
  <c r="P10" i="108"/>
  <c r="R10" i="108" s="1"/>
  <c r="S39" i="102"/>
  <c r="T39" i="102" s="1"/>
  <c r="V39" i="102" s="1"/>
  <c r="P22" i="102"/>
  <c r="S36" i="102"/>
  <c r="T36" i="102" s="1"/>
  <c r="V36" i="102" s="1"/>
  <c r="S18" i="104"/>
  <c r="T18" i="104" s="1"/>
  <c r="V18" i="104" s="1"/>
  <c r="S17" i="108"/>
  <c r="T17" i="108" s="1"/>
  <c r="V17" i="108" s="1"/>
  <c r="O10" i="108"/>
  <c r="M9" i="102"/>
  <c r="S19" i="104"/>
  <c r="T19" i="104" s="1"/>
  <c r="V19" i="104" s="1"/>
  <c r="AK19" i="104" s="1"/>
  <c r="AL19" i="104" s="1"/>
  <c r="M23" i="107"/>
  <c r="Q26" i="99"/>
  <c r="R26" i="99"/>
  <c r="S26" i="99"/>
  <c r="T26" i="99" s="1"/>
  <c r="V26" i="99" s="1"/>
  <c r="AJ26" i="99" s="1"/>
  <c r="R44" i="102"/>
  <c r="Q44" i="102"/>
  <c r="O23" i="101"/>
  <c r="T19" i="108"/>
  <c r="V19" i="108" s="1"/>
  <c r="AK19" i="108" s="1"/>
  <c r="AL19" i="108" s="1"/>
  <c r="M23" i="101"/>
  <c r="S18" i="99"/>
  <c r="T18" i="99" s="1"/>
  <c r="V18" i="99" s="1"/>
  <c r="O28" i="102"/>
  <c r="P28" i="102" s="1"/>
  <c r="S20" i="106"/>
  <c r="T20" i="106" s="1"/>
  <c r="V20" i="106" s="1"/>
  <c r="AK20" i="106" s="1"/>
  <c r="AL20" i="106" s="1"/>
  <c r="T27" i="104"/>
  <c r="V27" i="104" s="1"/>
  <c r="AK27" i="104" s="1"/>
  <c r="AL27" i="104" s="1"/>
  <c r="T24" i="103"/>
  <c r="V24" i="103" s="1"/>
  <c r="W24" i="103" s="1"/>
  <c r="T15" i="104"/>
  <c r="V15" i="104" s="1"/>
  <c r="T35" i="102"/>
  <c r="V35" i="102" s="1"/>
  <c r="AK35" i="102" s="1"/>
  <c r="AL35" i="102" s="1"/>
  <c r="O14" i="103"/>
  <c r="P14" i="103" s="1"/>
  <c r="R14" i="103" s="1"/>
  <c r="R10" i="107"/>
  <c r="S10" i="107" s="1"/>
  <c r="S10" i="106"/>
  <c r="T23" i="105"/>
  <c r="V23" i="105" s="1"/>
  <c r="AM23" i="105" s="1"/>
  <c r="S11" i="110"/>
  <c r="T11" i="110" s="1"/>
  <c r="V11" i="110" s="1"/>
  <c r="W11" i="110" s="1"/>
  <c r="T26" i="105"/>
  <c r="V26" i="105" s="1"/>
  <c r="F67" i="102"/>
  <c r="S40" i="102"/>
  <c r="T40" i="102" s="1"/>
  <c r="V40" i="102" s="1"/>
  <c r="M11" i="102"/>
  <c r="S33" i="102"/>
  <c r="T10" i="106"/>
  <c r="V10" i="106" s="1"/>
  <c r="AK10" i="106" s="1"/>
  <c r="P64" i="108"/>
  <c r="R9" i="108"/>
  <c r="Q9" i="108"/>
  <c r="R19" i="107"/>
  <c r="Q19" i="107"/>
  <c r="S19" i="107" s="1"/>
  <c r="R24" i="108"/>
  <c r="Q24" i="108"/>
  <c r="R10" i="105"/>
  <c r="Q10" i="105"/>
  <c r="R12" i="109"/>
  <c r="Q12" i="109"/>
  <c r="Q11" i="109"/>
  <c r="R11" i="109"/>
  <c r="R47" i="108"/>
  <c r="Q47" i="108"/>
  <c r="R13" i="107"/>
  <c r="Q13" i="107"/>
  <c r="R12" i="106"/>
  <c r="Q12" i="106"/>
  <c r="W23" i="105"/>
  <c r="AJ19" i="105"/>
  <c r="AM19" i="105"/>
  <c r="AI19" i="105"/>
  <c r="AK19" i="105"/>
  <c r="W19" i="105"/>
  <c r="Q18" i="108"/>
  <c r="R18" i="108"/>
  <c r="Q14" i="106"/>
  <c r="R14" i="106"/>
  <c r="R20" i="107"/>
  <c r="Q20" i="107"/>
  <c r="R24" i="110"/>
  <c r="Q24" i="110"/>
  <c r="R11" i="105"/>
  <c r="Q11" i="105"/>
  <c r="Q18" i="110"/>
  <c r="R18" i="110"/>
  <c r="R11" i="106"/>
  <c r="Q11" i="106"/>
  <c r="R26" i="108"/>
  <c r="Q26" i="108"/>
  <c r="R14" i="109"/>
  <c r="Q14" i="109"/>
  <c r="R21" i="110"/>
  <c r="Q21" i="110"/>
  <c r="AK26" i="105"/>
  <c r="W26" i="105"/>
  <c r="AJ26" i="105"/>
  <c r="AI26" i="105"/>
  <c r="AM26" i="105"/>
  <c r="Q16" i="107"/>
  <c r="R16" i="107"/>
  <c r="S16" i="107" s="1"/>
  <c r="Q13" i="106"/>
  <c r="R13" i="106"/>
  <c r="W19" i="108"/>
  <c r="R19" i="106"/>
  <c r="Q19" i="106"/>
  <c r="R35" i="108"/>
  <c r="Q35" i="108"/>
  <c r="R14" i="110"/>
  <c r="Q14" i="110"/>
  <c r="S14" i="110"/>
  <c r="T14" i="110" s="1"/>
  <c r="V14" i="110" s="1"/>
  <c r="R23" i="110"/>
  <c r="Q23" i="110"/>
  <c r="Q16" i="108"/>
  <c r="S16" i="108" s="1"/>
  <c r="R16" i="108"/>
  <c r="AM21" i="105"/>
  <c r="AI21" i="105"/>
  <c r="AJ21" i="105"/>
  <c r="AK21" i="105"/>
  <c r="W21" i="105"/>
  <c r="Q18" i="107"/>
  <c r="R18" i="107"/>
  <c r="Q12" i="107"/>
  <c r="R12" i="107"/>
  <c r="R20" i="109"/>
  <c r="Q20" i="109"/>
  <c r="R50" i="108"/>
  <c r="Q50" i="108"/>
  <c r="O27" i="108"/>
  <c r="P27" i="108" s="1"/>
  <c r="M52" i="108"/>
  <c r="Q10" i="110"/>
  <c r="R10" i="110"/>
  <c r="R18" i="106"/>
  <c r="Q18" i="106"/>
  <c r="R19" i="110"/>
  <c r="Q19" i="110"/>
  <c r="Q12" i="108"/>
  <c r="R12" i="108"/>
  <c r="Q21" i="109"/>
  <c r="R21" i="109"/>
  <c r="W20" i="106"/>
  <c r="Q25" i="108"/>
  <c r="R25" i="108"/>
  <c r="R15" i="105"/>
  <c r="Q15" i="105"/>
  <c r="R25" i="110"/>
  <c r="Q25" i="110"/>
  <c r="S25" i="110"/>
  <c r="T25" i="110" s="1"/>
  <c r="V25" i="110" s="1"/>
  <c r="W25" i="110" s="1"/>
  <c r="Q37" i="108"/>
  <c r="R37" i="108"/>
  <c r="Q15" i="107"/>
  <c r="R15" i="107"/>
  <c r="R22" i="109"/>
  <c r="Q22" i="109"/>
  <c r="R23" i="109"/>
  <c r="Q23" i="109"/>
  <c r="R12" i="105"/>
  <c r="Q12" i="105"/>
  <c r="S12" i="105"/>
  <c r="T12" i="105" s="1"/>
  <c r="V12" i="105" s="1"/>
  <c r="R13" i="109"/>
  <c r="Q13" i="109"/>
  <c r="M9" i="106"/>
  <c r="P23" i="107"/>
  <c r="Q9" i="107"/>
  <c r="R9" i="107"/>
  <c r="L65" i="108"/>
  <c r="L67" i="108" s="1"/>
  <c r="S14" i="107"/>
  <c r="T14" i="107" s="1"/>
  <c r="V14" i="107" s="1"/>
  <c r="O13" i="105"/>
  <c r="P13" i="105" s="1"/>
  <c r="O9" i="109"/>
  <c r="M25" i="109"/>
  <c r="S27" i="110"/>
  <c r="T27" i="110" s="1"/>
  <c r="V27" i="110" s="1"/>
  <c r="S22" i="107"/>
  <c r="T22" i="107" s="1"/>
  <c r="V22" i="107" s="1"/>
  <c r="S13" i="110"/>
  <c r="T13" i="110" s="1"/>
  <c r="V13" i="110" s="1"/>
  <c r="S17" i="110"/>
  <c r="T17" i="110" s="1"/>
  <c r="V17" i="110" s="1"/>
  <c r="S24" i="109"/>
  <c r="T24" i="109" s="1"/>
  <c r="V24" i="109" s="1"/>
  <c r="S18" i="105"/>
  <c r="T18" i="105" s="1"/>
  <c r="V18" i="105" s="1"/>
  <c r="S27" i="105"/>
  <c r="T27" i="105" s="1"/>
  <c r="V27" i="105" s="1"/>
  <c r="S39" i="108"/>
  <c r="T39" i="108" s="1"/>
  <c r="V39" i="108" s="1"/>
  <c r="R23" i="108"/>
  <c r="Q23" i="108"/>
  <c r="Q20" i="108"/>
  <c r="R20" i="108"/>
  <c r="R48" i="108"/>
  <c r="Q48" i="108"/>
  <c r="S48" i="108" s="1"/>
  <c r="R21" i="108"/>
  <c r="Q21" i="108"/>
  <c r="R44" i="108"/>
  <c r="Q44" i="108"/>
  <c r="S44" i="108" s="1"/>
  <c r="T44" i="108" s="1"/>
  <c r="V44" i="108" s="1"/>
  <c r="R29" i="108"/>
  <c r="Q29" i="108"/>
  <c r="S29" i="108" s="1"/>
  <c r="T29" i="108" s="1"/>
  <c r="V29" i="108" s="1"/>
  <c r="AI41" i="108"/>
  <c r="AK41" i="108"/>
  <c r="AL41" i="108" s="1"/>
  <c r="W41" i="108"/>
  <c r="R15" i="110"/>
  <c r="Q15" i="110"/>
  <c r="R17" i="107"/>
  <c r="Q17" i="107"/>
  <c r="R31" i="108"/>
  <c r="Q31" i="108"/>
  <c r="Q17" i="105"/>
  <c r="S17" i="105" s="1"/>
  <c r="T17" i="105" s="1"/>
  <c r="V17" i="105" s="1"/>
  <c r="R17" i="105"/>
  <c r="O14" i="108"/>
  <c r="P14" i="108" s="1"/>
  <c r="S38" i="108"/>
  <c r="T38" i="108" s="1"/>
  <c r="V38" i="108" s="1"/>
  <c r="L52" i="108"/>
  <c r="O64" i="108"/>
  <c r="M65" i="108"/>
  <c r="O13" i="108"/>
  <c r="P13" i="108" s="1"/>
  <c r="S45" i="108"/>
  <c r="T45" i="108" s="1"/>
  <c r="V45" i="108" s="1"/>
  <c r="R15" i="109"/>
  <c r="Q15" i="109"/>
  <c r="R24" i="105"/>
  <c r="Q24" i="105"/>
  <c r="Q17" i="109"/>
  <c r="R17" i="109"/>
  <c r="R16" i="109"/>
  <c r="Q16" i="109"/>
  <c r="R18" i="109"/>
  <c r="Q18" i="109"/>
  <c r="Q20" i="105"/>
  <c r="R20" i="105"/>
  <c r="Q49" i="108"/>
  <c r="R49" i="108"/>
  <c r="R16" i="110"/>
  <c r="Q16" i="110"/>
  <c r="R14" i="105"/>
  <c r="Q14" i="105"/>
  <c r="Q15" i="106"/>
  <c r="R15" i="106"/>
  <c r="Q22" i="108"/>
  <c r="R22" i="108"/>
  <c r="R36" i="108"/>
  <c r="Q36" i="108"/>
  <c r="S36" i="108" s="1"/>
  <c r="T36" i="108" s="1"/>
  <c r="V36" i="108" s="1"/>
  <c r="R32" i="108"/>
  <c r="Q32" i="108"/>
  <c r="R34" i="108"/>
  <c r="Q34" i="108"/>
  <c r="R51" i="108"/>
  <c r="Q51" i="108"/>
  <c r="Q28" i="108"/>
  <c r="R28" i="108"/>
  <c r="S28" i="108" s="1"/>
  <c r="T28" i="108" s="1"/>
  <c r="V28" i="108" s="1"/>
  <c r="R11" i="107"/>
  <c r="S11" i="107" s="1"/>
  <c r="Q11" i="107"/>
  <c r="R22" i="110"/>
  <c r="Q22" i="110"/>
  <c r="Q16" i="106"/>
  <c r="R16" i="106"/>
  <c r="Q46" i="108"/>
  <c r="S46" i="108" s="1"/>
  <c r="T46" i="108" s="1"/>
  <c r="V46" i="108" s="1"/>
  <c r="R46" i="108"/>
  <c r="Q17" i="106"/>
  <c r="R17" i="106"/>
  <c r="R30" i="108"/>
  <c r="Q30" i="108"/>
  <c r="R26" i="110"/>
  <c r="Q26" i="110"/>
  <c r="Q9" i="110"/>
  <c r="R9" i="110"/>
  <c r="R16" i="105"/>
  <c r="Q16" i="105"/>
  <c r="R20" i="110"/>
  <c r="Q20" i="110"/>
  <c r="Q21" i="107"/>
  <c r="R21" i="107"/>
  <c r="Q10" i="108"/>
  <c r="R15" i="108"/>
  <c r="Q15" i="108"/>
  <c r="R25" i="105"/>
  <c r="Q25" i="105"/>
  <c r="R33" i="108"/>
  <c r="Q33" i="108"/>
  <c r="R22" i="105"/>
  <c r="Q22" i="105"/>
  <c r="R43" i="108"/>
  <c r="Q43" i="108"/>
  <c r="O12" i="110"/>
  <c r="P12" i="110" s="1"/>
  <c r="M66" i="108"/>
  <c r="M67" i="108" s="1"/>
  <c r="O11" i="108"/>
  <c r="O66" i="108" s="1"/>
  <c r="P11" i="108"/>
  <c r="O10" i="109"/>
  <c r="P10" i="109" s="1"/>
  <c r="M9" i="105"/>
  <c r="O23" i="107"/>
  <c r="M28" i="110"/>
  <c r="Q17" i="102"/>
  <c r="R17" i="102"/>
  <c r="S17" i="102" s="1"/>
  <c r="T17" i="102" s="1"/>
  <c r="V17" i="102" s="1"/>
  <c r="R19" i="102"/>
  <c r="Q19" i="102"/>
  <c r="R16" i="100"/>
  <c r="Q16" i="100"/>
  <c r="AK26" i="99"/>
  <c r="R19" i="100"/>
  <c r="S19" i="100" s="1"/>
  <c r="Q19" i="100"/>
  <c r="R23" i="104"/>
  <c r="Q23" i="104"/>
  <c r="Q12" i="100"/>
  <c r="S12" i="100" s="1"/>
  <c r="R12" i="100"/>
  <c r="R13" i="101"/>
  <c r="Q13" i="101"/>
  <c r="S13" i="101" s="1"/>
  <c r="T13" i="101" s="1"/>
  <c r="V13" i="101" s="1"/>
  <c r="R12" i="104"/>
  <c r="Q12" i="104"/>
  <c r="Q12" i="101"/>
  <c r="R12" i="101"/>
  <c r="AI24" i="103"/>
  <c r="Q25" i="102"/>
  <c r="R25" i="102"/>
  <c r="R20" i="104"/>
  <c r="Q20" i="104"/>
  <c r="R10" i="101"/>
  <c r="Q10" i="101"/>
  <c r="AI15" i="104"/>
  <c r="AK15" i="104"/>
  <c r="AL15" i="104" s="1"/>
  <c r="W15" i="104"/>
  <c r="R15" i="103"/>
  <c r="Q15" i="103"/>
  <c r="AI35" i="102"/>
  <c r="W19" i="104"/>
  <c r="R13" i="104"/>
  <c r="Q13" i="104"/>
  <c r="S13" i="104" s="1"/>
  <c r="R48" i="102"/>
  <c r="Q48" i="102"/>
  <c r="AK27" i="99"/>
  <c r="W27" i="99"/>
  <c r="AM27" i="99"/>
  <c r="AI27" i="99"/>
  <c r="AJ27" i="99"/>
  <c r="R21" i="102"/>
  <c r="Q21" i="102"/>
  <c r="Q32" i="102"/>
  <c r="R32" i="102"/>
  <c r="Q15" i="100"/>
  <c r="R15" i="100"/>
  <c r="Q31" i="102"/>
  <c r="R31" i="102"/>
  <c r="Q10" i="100"/>
  <c r="R10" i="100"/>
  <c r="R16" i="104"/>
  <c r="Q16" i="104"/>
  <c r="S16" i="104" s="1"/>
  <c r="T16" i="104" s="1"/>
  <c r="V16" i="104" s="1"/>
  <c r="W36" i="102"/>
  <c r="AI36" i="102"/>
  <c r="AK36" i="102"/>
  <c r="AL36" i="102" s="1"/>
  <c r="R21" i="104"/>
  <c r="Q21" i="104"/>
  <c r="S21" i="104" s="1"/>
  <c r="W11" i="100"/>
  <c r="AI11" i="100"/>
  <c r="AK11" i="100"/>
  <c r="AL11" i="100" s="1"/>
  <c r="R22" i="104"/>
  <c r="S22" i="104" s="1"/>
  <c r="Q22" i="104"/>
  <c r="Q14" i="102"/>
  <c r="R14" i="102"/>
  <c r="Q11" i="99"/>
  <c r="R11" i="99"/>
  <c r="Q16" i="103"/>
  <c r="R16" i="103"/>
  <c r="R47" i="102"/>
  <c r="Q47" i="102"/>
  <c r="Q18" i="103"/>
  <c r="R18" i="103"/>
  <c r="Q15" i="101"/>
  <c r="S15" i="101" s="1"/>
  <c r="T15" i="101" s="1"/>
  <c r="V15" i="101" s="1"/>
  <c r="R15" i="101"/>
  <c r="Q19" i="99"/>
  <c r="R19" i="99"/>
  <c r="Q51" i="102"/>
  <c r="R51" i="102"/>
  <c r="R18" i="100"/>
  <c r="Q18" i="100"/>
  <c r="Q17" i="103"/>
  <c r="R17" i="103"/>
  <c r="Q10" i="104"/>
  <c r="R10" i="104"/>
  <c r="Q17" i="99"/>
  <c r="R17" i="99"/>
  <c r="R20" i="100"/>
  <c r="Q20" i="100"/>
  <c r="R30" i="102"/>
  <c r="Q30" i="102"/>
  <c r="R21" i="103"/>
  <c r="Q21" i="103"/>
  <c r="R19" i="101"/>
  <c r="Q19" i="101"/>
  <c r="R23" i="102"/>
  <c r="Q23" i="102"/>
  <c r="T33" i="102"/>
  <c r="V33" i="102" s="1"/>
  <c r="Q25" i="99"/>
  <c r="S25" i="99" s="1"/>
  <c r="R25" i="99"/>
  <c r="R25" i="104"/>
  <c r="Q25" i="104"/>
  <c r="S25" i="104" s="1"/>
  <c r="T25" i="104" s="1"/>
  <c r="V25" i="104" s="1"/>
  <c r="W25" i="104" s="1"/>
  <c r="M21" i="100"/>
  <c r="O9" i="100"/>
  <c r="O21" i="100" s="1"/>
  <c r="Q23" i="103"/>
  <c r="R23" i="103"/>
  <c r="S23" i="103" s="1"/>
  <c r="T23" i="103" s="1"/>
  <c r="V23" i="103" s="1"/>
  <c r="S26" i="102"/>
  <c r="R26" i="102"/>
  <c r="Q26" i="102"/>
  <c r="Q29" i="102"/>
  <c r="R29" i="102"/>
  <c r="P65" i="102"/>
  <c r="R13" i="102"/>
  <c r="Q13" i="102"/>
  <c r="S13" i="102" s="1"/>
  <c r="R16" i="102"/>
  <c r="Q16" i="102"/>
  <c r="R20" i="99"/>
  <c r="Q20" i="99"/>
  <c r="R11" i="103"/>
  <c r="Q11" i="103"/>
  <c r="M66" i="102"/>
  <c r="O11" i="102"/>
  <c r="O66" i="102" s="1"/>
  <c r="O28" i="99"/>
  <c r="Q13" i="99"/>
  <c r="R13" i="99"/>
  <c r="R12" i="102"/>
  <c r="Q12" i="102"/>
  <c r="R10" i="103"/>
  <c r="Q10" i="103"/>
  <c r="S10" i="103" s="1"/>
  <c r="T10" i="103" s="1"/>
  <c r="V10" i="103" s="1"/>
  <c r="R21" i="101"/>
  <c r="Q21" i="101"/>
  <c r="R13" i="103"/>
  <c r="Q13" i="103"/>
  <c r="R9" i="103"/>
  <c r="Q9" i="103"/>
  <c r="R21" i="99"/>
  <c r="Q21" i="99"/>
  <c r="R11" i="101"/>
  <c r="Q11" i="101"/>
  <c r="R13" i="100"/>
  <c r="Q13" i="100"/>
  <c r="R28" i="102"/>
  <c r="Q28" i="102"/>
  <c r="R24" i="99"/>
  <c r="Q24" i="99"/>
  <c r="S24" i="99" s="1"/>
  <c r="R14" i="99"/>
  <c r="Q14" i="99"/>
  <c r="R17" i="101"/>
  <c r="Q17" i="101"/>
  <c r="R50" i="102"/>
  <c r="Q50" i="102"/>
  <c r="O10" i="102"/>
  <c r="P10" i="102" s="1"/>
  <c r="S14" i="101"/>
  <c r="T14" i="101" s="1"/>
  <c r="V14" i="101" s="1"/>
  <c r="W38" i="102"/>
  <c r="AK38" i="102"/>
  <c r="AL38" i="102" s="1"/>
  <c r="AI38" i="102"/>
  <c r="O65" i="102"/>
  <c r="P9" i="99"/>
  <c r="S41" i="102"/>
  <c r="T41" i="102" s="1"/>
  <c r="V41" i="102" s="1"/>
  <c r="S19" i="103"/>
  <c r="T19" i="103" s="1"/>
  <c r="V19" i="103" s="1"/>
  <c r="S45" i="102"/>
  <c r="T45" i="102" s="1"/>
  <c r="V45" i="102" s="1"/>
  <c r="Q27" i="102"/>
  <c r="R27" i="102"/>
  <c r="Q12" i="99"/>
  <c r="R12" i="99"/>
  <c r="R20" i="103"/>
  <c r="Q20" i="103"/>
  <c r="S20" i="103" s="1"/>
  <c r="T20" i="103" s="1"/>
  <c r="V20" i="103" s="1"/>
  <c r="R22" i="99"/>
  <c r="Q22" i="99"/>
  <c r="S22" i="99" s="1"/>
  <c r="T22" i="99" s="1"/>
  <c r="V22" i="99" s="1"/>
  <c r="S26" i="104"/>
  <c r="T26" i="104" s="1"/>
  <c r="V26" i="104" s="1"/>
  <c r="R43" i="102"/>
  <c r="Q43" i="102"/>
  <c r="R14" i="104"/>
  <c r="Q14" i="104"/>
  <c r="R14" i="100"/>
  <c r="Q14" i="100"/>
  <c r="R20" i="102"/>
  <c r="Q20" i="102"/>
  <c r="R37" i="102"/>
  <c r="Q37" i="102"/>
  <c r="R18" i="102"/>
  <c r="Q18" i="102"/>
  <c r="R17" i="100"/>
  <c r="Q17" i="100"/>
  <c r="S17" i="100" s="1"/>
  <c r="M64" i="102"/>
  <c r="M67" i="102" s="1"/>
  <c r="M52" i="102"/>
  <c r="O9" i="102"/>
  <c r="Q34" i="102"/>
  <c r="R34" i="102"/>
  <c r="Q16" i="99"/>
  <c r="R16" i="99"/>
  <c r="R16" i="101"/>
  <c r="Q16" i="101"/>
  <c r="Q24" i="102"/>
  <c r="R24" i="102"/>
  <c r="S23" i="99"/>
  <c r="R23" i="99"/>
  <c r="Q23" i="99"/>
  <c r="Q11" i="104"/>
  <c r="R11" i="104"/>
  <c r="S12" i="103"/>
  <c r="T12" i="103" s="1"/>
  <c r="V12" i="103" s="1"/>
  <c r="R10" i="99"/>
  <c r="Q10" i="99"/>
  <c r="K52" i="102"/>
  <c r="K64" i="102"/>
  <c r="K67" i="102" s="1"/>
  <c r="S17" i="104"/>
  <c r="T17" i="104" s="1"/>
  <c r="V17" i="104" s="1"/>
  <c r="S22" i="101"/>
  <c r="T22" i="101" s="1"/>
  <c r="V22" i="101" s="1"/>
  <c r="Q18" i="101"/>
  <c r="R18" i="101"/>
  <c r="Q46" i="102"/>
  <c r="R46" i="102"/>
  <c r="S46" i="102"/>
  <c r="P9" i="101"/>
  <c r="R20" i="101"/>
  <c r="Q20" i="101"/>
  <c r="R49" i="102"/>
  <c r="S49" i="102" s="1"/>
  <c r="Q49" i="102"/>
  <c r="Q15" i="102"/>
  <c r="R15" i="102"/>
  <c r="R24" i="104"/>
  <c r="Q24" i="104"/>
  <c r="R22" i="102"/>
  <c r="Q22" i="102"/>
  <c r="M9" i="104"/>
  <c r="Q22" i="103"/>
  <c r="R22" i="103"/>
  <c r="R15" i="99"/>
  <c r="Q15" i="99"/>
  <c r="L52" i="102"/>
  <c r="L64" i="102"/>
  <c r="L67" i="102" s="1"/>
  <c r="W40" i="108" l="1"/>
  <c r="AK40" i="108"/>
  <c r="AL40" i="108" s="1"/>
  <c r="AI40" i="108"/>
  <c r="P11" i="102"/>
  <c r="O25" i="109"/>
  <c r="S13" i="109"/>
  <c r="AI19" i="108"/>
  <c r="S24" i="110"/>
  <c r="T24" i="110" s="1"/>
  <c r="V24" i="110" s="1"/>
  <c r="W24" i="110" s="1"/>
  <c r="S22" i="102"/>
  <c r="T22" i="102" s="1"/>
  <c r="V22" i="102" s="1"/>
  <c r="S14" i="102"/>
  <c r="S16" i="106"/>
  <c r="S11" i="106"/>
  <c r="S18" i="102"/>
  <c r="S20" i="104"/>
  <c r="T20" i="104" s="1"/>
  <c r="V20" i="104" s="1"/>
  <c r="S12" i="104"/>
  <c r="AI20" i="106"/>
  <c r="S24" i="105"/>
  <c r="T24" i="105" s="1"/>
  <c r="V24" i="105" s="1"/>
  <c r="AK23" i="105"/>
  <c r="S11" i="109"/>
  <c r="S21" i="101"/>
  <c r="T21" i="101" s="1"/>
  <c r="V21" i="101" s="1"/>
  <c r="S15" i="108"/>
  <c r="S18" i="109"/>
  <c r="T18" i="109" s="1"/>
  <c r="V18" i="109" s="1"/>
  <c r="S22" i="109"/>
  <c r="S21" i="109"/>
  <c r="T21" i="109" s="1"/>
  <c r="V21" i="109" s="1"/>
  <c r="S11" i="105"/>
  <c r="S12" i="106"/>
  <c r="T12" i="106" s="1"/>
  <c r="V12" i="106" s="1"/>
  <c r="S19" i="109"/>
  <c r="T19" i="109" s="1"/>
  <c r="V19" i="109" s="1"/>
  <c r="T13" i="109"/>
  <c r="V13" i="109" s="1"/>
  <c r="AK18" i="104"/>
  <c r="AL18" i="104" s="1"/>
  <c r="W18" i="104"/>
  <c r="S10" i="108"/>
  <c r="T10" i="108" s="1"/>
  <c r="V10" i="108" s="1"/>
  <c r="AK10" i="108" s="1"/>
  <c r="AL10" i="108" s="1"/>
  <c r="AM10" i="108" s="1"/>
  <c r="Q14" i="103"/>
  <c r="T19" i="100"/>
  <c r="V19" i="100" s="1"/>
  <c r="S15" i="109"/>
  <c r="T15" i="109" s="1"/>
  <c r="V15" i="109" s="1"/>
  <c r="S16" i="99"/>
  <c r="T16" i="99" s="1"/>
  <c r="V16" i="99" s="1"/>
  <c r="AM16" i="99" s="1"/>
  <c r="S43" i="102"/>
  <c r="S11" i="101"/>
  <c r="S9" i="103"/>
  <c r="T9" i="103" s="1"/>
  <c r="S18" i="100"/>
  <c r="T18" i="100" s="1"/>
  <c r="V18" i="100" s="1"/>
  <c r="AI19" i="104"/>
  <c r="W35" i="102"/>
  <c r="S21" i="107"/>
  <c r="T21" i="107" s="1"/>
  <c r="V21" i="107" s="1"/>
  <c r="AK21" i="107" s="1"/>
  <c r="AL21" i="107" s="1"/>
  <c r="S16" i="110"/>
  <c r="T16" i="110" s="1"/>
  <c r="V16" i="110" s="1"/>
  <c r="W16" i="110" s="1"/>
  <c r="T48" i="108"/>
  <c r="V48" i="108" s="1"/>
  <c r="S23" i="108"/>
  <c r="T23" i="108" s="1"/>
  <c r="V23" i="108" s="1"/>
  <c r="AI23" i="105"/>
  <c r="O25" i="103"/>
  <c r="S21" i="103"/>
  <c r="S20" i="108"/>
  <c r="S16" i="101"/>
  <c r="T16" i="101" s="1"/>
  <c r="V16" i="101" s="1"/>
  <c r="S14" i="104"/>
  <c r="T14" i="104" s="1"/>
  <c r="V14" i="104" s="1"/>
  <c r="S17" i="101"/>
  <c r="S12" i="102"/>
  <c r="T12" i="102" s="1"/>
  <c r="V12" i="102" s="1"/>
  <c r="S51" i="102"/>
  <c r="T51" i="102" s="1"/>
  <c r="V51" i="102" s="1"/>
  <c r="AK51" i="102" s="1"/>
  <c r="AL51" i="102" s="1"/>
  <c r="AI27" i="104"/>
  <c r="AI26" i="99"/>
  <c r="S20" i="110"/>
  <c r="T20" i="110" s="1"/>
  <c r="V20" i="110" s="1"/>
  <c r="S30" i="108"/>
  <c r="T30" i="108" s="1"/>
  <c r="V30" i="108" s="1"/>
  <c r="AI30" i="108" s="1"/>
  <c r="S35" i="108"/>
  <c r="T35" i="108" s="1"/>
  <c r="V35" i="108" s="1"/>
  <c r="AK35" i="108" s="1"/>
  <c r="AL35" i="108" s="1"/>
  <c r="S20" i="107"/>
  <c r="AK11" i="110"/>
  <c r="AL11" i="110" s="1"/>
  <c r="AJ23" i="105"/>
  <c r="S10" i="105"/>
  <c r="T10" i="105" s="1"/>
  <c r="V10" i="105" s="1"/>
  <c r="AI10" i="106"/>
  <c r="S44" i="102"/>
  <c r="T44" i="102" s="1"/>
  <c r="V44" i="102" s="1"/>
  <c r="AK18" i="99"/>
  <c r="W18" i="99"/>
  <c r="AM18" i="99"/>
  <c r="AI18" i="99"/>
  <c r="AJ18" i="99"/>
  <c r="S11" i="104"/>
  <c r="T24" i="99"/>
  <c r="V24" i="99" s="1"/>
  <c r="AM24" i="99" s="1"/>
  <c r="S30" i="102"/>
  <c r="T30" i="102" s="1"/>
  <c r="V30" i="102" s="1"/>
  <c r="S14" i="103"/>
  <c r="T14" i="103" s="1"/>
  <c r="V14" i="103" s="1"/>
  <c r="AM26" i="99"/>
  <c r="AN26" i="99" s="1"/>
  <c r="T11" i="107"/>
  <c r="V11" i="107" s="1"/>
  <c r="W11" i="107" s="1"/>
  <c r="T18" i="102"/>
  <c r="V18" i="102" s="1"/>
  <c r="W18" i="102" s="1"/>
  <c r="S28" i="102"/>
  <c r="T28" i="102" s="1"/>
  <c r="V28" i="102" s="1"/>
  <c r="S13" i="103"/>
  <c r="T13" i="103" s="1"/>
  <c r="V13" i="103" s="1"/>
  <c r="AI13" i="103" s="1"/>
  <c r="S11" i="103"/>
  <c r="T11" i="103" s="1"/>
  <c r="V11" i="103" s="1"/>
  <c r="P9" i="100"/>
  <c r="Q9" i="100" s="1"/>
  <c r="Q21" i="100" s="1"/>
  <c r="T25" i="99"/>
  <c r="V25" i="99" s="1"/>
  <c r="AK25" i="99" s="1"/>
  <c r="S23" i="102"/>
  <c r="T23" i="102" s="1"/>
  <c r="V23" i="102" s="1"/>
  <c r="W44" i="102"/>
  <c r="T22" i="104"/>
  <c r="V22" i="104" s="1"/>
  <c r="AK22" i="104" s="1"/>
  <c r="AL22" i="104" s="1"/>
  <c r="S21" i="102"/>
  <c r="T21" i="102" s="1"/>
  <c r="V21" i="102" s="1"/>
  <c r="S10" i="101"/>
  <c r="AK24" i="103"/>
  <c r="T12" i="104"/>
  <c r="V12" i="104" s="1"/>
  <c r="AI12" i="104" s="1"/>
  <c r="S23" i="104"/>
  <c r="T23" i="104" s="1"/>
  <c r="V23" i="104" s="1"/>
  <c r="W23" i="104" s="1"/>
  <c r="W27" i="104"/>
  <c r="W26" i="99"/>
  <c r="S19" i="102"/>
  <c r="T19" i="102" s="1"/>
  <c r="V19" i="102" s="1"/>
  <c r="S25" i="105"/>
  <c r="S17" i="106"/>
  <c r="S16" i="109"/>
  <c r="T16" i="109" s="1"/>
  <c r="V16" i="109" s="1"/>
  <c r="S15" i="105"/>
  <c r="T15" i="105" s="1"/>
  <c r="V15" i="105" s="1"/>
  <c r="S18" i="106"/>
  <c r="T18" i="106" s="1"/>
  <c r="V18" i="106" s="1"/>
  <c r="S13" i="106"/>
  <c r="T13" i="106" s="1"/>
  <c r="V13" i="106" s="1"/>
  <c r="AK13" i="106" s="1"/>
  <c r="AL13" i="106" s="1"/>
  <c r="T11" i="105"/>
  <c r="V11" i="105" s="1"/>
  <c r="AJ11" i="105" s="1"/>
  <c r="AI11" i="110"/>
  <c r="S12" i="109"/>
  <c r="T12" i="109" s="1"/>
  <c r="V12" i="109" s="1"/>
  <c r="AN10" i="106"/>
  <c r="T10" i="107"/>
  <c r="V10" i="107" s="1"/>
  <c r="T12" i="100"/>
  <c r="V12" i="100" s="1"/>
  <c r="AK12" i="100" s="1"/>
  <c r="AL12" i="100" s="1"/>
  <c r="T20" i="108"/>
  <c r="V20" i="108" s="1"/>
  <c r="AK20" i="108" s="1"/>
  <c r="S15" i="102"/>
  <c r="T15" i="102" s="1"/>
  <c r="V15" i="102" s="1"/>
  <c r="S34" i="102"/>
  <c r="T34" i="102" s="1"/>
  <c r="V34" i="102" s="1"/>
  <c r="S20" i="102"/>
  <c r="T20" i="102" s="1"/>
  <c r="V20" i="102" s="1"/>
  <c r="S14" i="100"/>
  <c r="T14" i="100" s="1"/>
  <c r="V14" i="100" s="1"/>
  <c r="AK14" i="100" s="1"/>
  <c r="AL14" i="100" s="1"/>
  <c r="S29" i="102"/>
  <c r="AI18" i="104"/>
  <c r="S19" i="101"/>
  <c r="S25" i="102"/>
  <c r="T25" i="102" s="1"/>
  <c r="V25" i="102" s="1"/>
  <c r="T16" i="106"/>
  <c r="V16" i="106" s="1"/>
  <c r="W16" i="106" s="1"/>
  <c r="S21" i="108"/>
  <c r="T21" i="108" s="1"/>
  <c r="V21" i="108" s="1"/>
  <c r="AK21" i="108" s="1"/>
  <c r="T16" i="108"/>
  <c r="V16" i="108" s="1"/>
  <c r="AK16" i="108" s="1"/>
  <c r="S14" i="109"/>
  <c r="T14" i="109" s="1"/>
  <c r="V14" i="109" s="1"/>
  <c r="T20" i="107"/>
  <c r="V20" i="107" s="1"/>
  <c r="S14" i="106"/>
  <c r="T14" i="106" s="1"/>
  <c r="V14" i="106" s="1"/>
  <c r="S13" i="107"/>
  <c r="T13" i="107" s="1"/>
  <c r="V13" i="107" s="1"/>
  <c r="S22" i="103"/>
  <c r="T22" i="103" s="1"/>
  <c r="V22" i="103" s="1"/>
  <c r="S24" i="104"/>
  <c r="T49" i="102"/>
  <c r="V49" i="102" s="1"/>
  <c r="AK49" i="102" s="1"/>
  <c r="AL49" i="102" s="1"/>
  <c r="T46" i="102"/>
  <c r="V46" i="102" s="1"/>
  <c r="W46" i="102" s="1"/>
  <c r="S10" i="99"/>
  <c r="T10" i="99" s="1"/>
  <c r="V10" i="99" s="1"/>
  <c r="AM10" i="99" s="1"/>
  <c r="T23" i="99"/>
  <c r="V23" i="99" s="1"/>
  <c r="S50" i="102"/>
  <c r="S14" i="99"/>
  <c r="T14" i="99" s="1"/>
  <c r="V14" i="99" s="1"/>
  <c r="AI14" i="99" s="1"/>
  <c r="S13" i="100"/>
  <c r="S21" i="99"/>
  <c r="T21" i="99" s="1"/>
  <c r="V21" i="99" s="1"/>
  <c r="P25" i="103"/>
  <c r="S13" i="99"/>
  <c r="T13" i="99" s="1"/>
  <c r="V13" i="99" s="1"/>
  <c r="T26" i="102"/>
  <c r="V26" i="102" s="1"/>
  <c r="W26" i="102" s="1"/>
  <c r="S20" i="100"/>
  <c r="T20" i="100" s="1"/>
  <c r="V20" i="100" s="1"/>
  <c r="S47" i="102"/>
  <c r="T47" i="102" s="1"/>
  <c r="V47" i="102" s="1"/>
  <c r="S15" i="103"/>
  <c r="T15" i="103" s="1"/>
  <c r="V15" i="103" s="1"/>
  <c r="AI15" i="103" s="1"/>
  <c r="S12" i="101"/>
  <c r="T12" i="101" s="1"/>
  <c r="V12" i="101" s="1"/>
  <c r="S16" i="100"/>
  <c r="T16" i="100" s="1"/>
  <c r="V16" i="100" s="1"/>
  <c r="S22" i="108"/>
  <c r="T22" i="108" s="1"/>
  <c r="V22" i="108" s="1"/>
  <c r="S15" i="106"/>
  <c r="T15" i="106" s="1"/>
  <c r="V15" i="106" s="1"/>
  <c r="S17" i="109"/>
  <c r="S17" i="107"/>
  <c r="T17" i="107" s="1"/>
  <c r="V17" i="107" s="1"/>
  <c r="T22" i="109"/>
  <c r="V22" i="109" s="1"/>
  <c r="AI22" i="109" s="1"/>
  <c r="S20" i="109"/>
  <c r="T20" i="109" s="1"/>
  <c r="V20" i="109" s="1"/>
  <c r="S19" i="106"/>
  <c r="T16" i="107"/>
  <c r="V16" i="107" s="1"/>
  <c r="AK16" i="107" s="1"/>
  <c r="AL16" i="107" s="1"/>
  <c r="S26" i="108"/>
  <c r="T26" i="108" s="1"/>
  <c r="V26" i="108" s="1"/>
  <c r="S18" i="108"/>
  <c r="AN23" i="105"/>
  <c r="T11" i="109"/>
  <c r="V11" i="109" s="1"/>
  <c r="AI11" i="109" s="1"/>
  <c r="AI10" i="108"/>
  <c r="W30" i="108"/>
  <c r="AK30" i="108"/>
  <c r="AL30" i="108" s="1"/>
  <c r="AM30" i="108" s="1"/>
  <c r="AK16" i="106"/>
  <c r="AL16" i="106" s="1"/>
  <c r="AI16" i="106"/>
  <c r="AI11" i="107"/>
  <c r="AK18" i="109"/>
  <c r="W18" i="109"/>
  <c r="AK24" i="105"/>
  <c r="W24" i="105"/>
  <c r="AI24" i="105"/>
  <c r="AM24" i="105"/>
  <c r="AJ24" i="105"/>
  <c r="W23" i="108"/>
  <c r="AK23" i="108"/>
  <c r="AL23" i="108" s="1"/>
  <c r="AI23" i="108"/>
  <c r="AK18" i="105"/>
  <c r="W18" i="105"/>
  <c r="AJ18" i="105"/>
  <c r="AM18" i="105"/>
  <c r="AI18" i="105"/>
  <c r="AI22" i="107"/>
  <c r="AK22" i="107"/>
  <c r="AL22" i="107" s="1"/>
  <c r="W22" i="107"/>
  <c r="Q13" i="105"/>
  <c r="R13" i="105"/>
  <c r="AK14" i="110"/>
  <c r="AI14" i="110"/>
  <c r="W20" i="107"/>
  <c r="AI20" i="107"/>
  <c r="AK20" i="107"/>
  <c r="AL20" i="107" s="1"/>
  <c r="W12" i="106"/>
  <c r="AK12" i="106"/>
  <c r="AL12" i="106" s="1"/>
  <c r="AI12" i="106"/>
  <c r="AI20" i="110"/>
  <c r="W20" i="110"/>
  <c r="AK20" i="110"/>
  <c r="AL20" i="110" s="1"/>
  <c r="AI16" i="110"/>
  <c r="AJ17" i="105"/>
  <c r="AM17" i="105"/>
  <c r="AI17" i="105"/>
  <c r="W17" i="105"/>
  <c r="AK17" i="105"/>
  <c r="AI14" i="107"/>
  <c r="AK14" i="107"/>
  <c r="AL14" i="107" s="1"/>
  <c r="W14" i="107"/>
  <c r="W21" i="107"/>
  <c r="AI16" i="109"/>
  <c r="W16" i="109"/>
  <c r="AK16" i="109"/>
  <c r="AI44" i="108"/>
  <c r="AK44" i="108"/>
  <c r="AL44" i="108" s="1"/>
  <c r="W44" i="108"/>
  <c r="AI17" i="110"/>
  <c r="W17" i="110"/>
  <c r="AK17" i="110"/>
  <c r="AL17" i="110" s="1"/>
  <c r="AK21" i="109"/>
  <c r="W21" i="109"/>
  <c r="AI21" i="109"/>
  <c r="R27" i="108"/>
  <c r="Q27" i="108"/>
  <c r="AI13" i="106"/>
  <c r="W13" i="106"/>
  <c r="AM11" i="105"/>
  <c r="AK46" i="108"/>
  <c r="AL46" i="108" s="1"/>
  <c r="AI46" i="108"/>
  <c r="W46" i="108"/>
  <c r="AK38" i="108"/>
  <c r="AL38" i="108" s="1"/>
  <c r="AI38" i="108"/>
  <c r="W38" i="108"/>
  <c r="W27" i="110"/>
  <c r="AK27" i="110"/>
  <c r="AL27" i="110" s="1"/>
  <c r="AI27" i="110"/>
  <c r="AI16" i="107"/>
  <c r="W16" i="107"/>
  <c r="R12" i="110"/>
  <c r="R28" i="110" s="1"/>
  <c r="Q12" i="110"/>
  <c r="P28" i="110"/>
  <c r="T17" i="106"/>
  <c r="V17" i="106" s="1"/>
  <c r="AK28" i="108"/>
  <c r="AI28" i="108"/>
  <c r="W36" i="108"/>
  <c r="AK36" i="108"/>
  <c r="AL36" i="108" s="1"/>
  <c r="AI36" i="108"/>
  <c r="AI29" i="108"/>
  <c r="AK29" i="108"/>
  <c r="AM27" i="105"/>
  <c r="AI27" i="105"/>
  <c r="AK27" i="105"/>
  <c r="W27" i="105"/>
  <c r="AJ27" i="105"/>
  <c r="AK12" i="105"/>
  <c r="W12" i="105"/>
  <c r="AJ12" i="105"/>
  <c r="AM12" i="105"/>
  <c r="AI12" i="105"/>
  <c r="W35" i="108"/>
  <c r="AI39" i="108"/>
  <c r="W39" i="108"/>
  <c r="AK39" i="108"/>
  <c r="AL39" i="108" s="1"/>
  <c r="AI13" i="110"/>
  <c r="W13" i="110"/>
  <c r="AK13" i="110"/>
  <c r="AL13" i="110" s="1"/>
  <c r="AL10" i="106"/>
  <c r="AM10" i="106" s="1"/>
  <c r="AP10" i="106"/>
  <c r="P66" i="108"/>
  <c r="R11" i="108"/>
  <c r="R66" i="108" s="1"/>
  <c r="Q11" i="108"/>
  <c r="Q66" i="108" s="1"/>
  <c r="S43" i="108"/>
  <c r="T43" i="108" s="1"/>
  <c r="V43" i="108" s="1"/>
  <c r="S22" i="105"/>
  <c r="T22" i="105" s="1"/>
  <c r="V22" i="105" s="1"/>
  <c r="S33" i="108"/>
  <c r="T33" i="108" s="1"/>
  <c r="V33" i="108" s="1"/>
  <c r="S26" i="110"/>
  <c r="T26" i="110" s="1"/>
  <c r="V26" i="110" s="1"/>
  <c r="S22" i="110"/>
  <c r="T22" i="110" s="1"/>
  <c r="V22" i="110" s="1"/>
  <c r="S51" i="108"/>
  <c r="T51" i="108" s="1"/>
  <c r="V51" i="108" s="1"/>
  <c r="S34" i="108"/>
  <c r="T34" i="108" s="1"/>
  <c r="V34" i="108" s="1"/>
  <c r="S32" i="108"/>
  <c r="T32" i="108" s="1"/>
  <c r="V32" i="108" s="1"/>
  <c r="S14" i="105"/>
  <c r="T14" i="105" s="1"/>
  <c r="V14" i="105" s="1"/>
  <c r="S49" i="108"/>
  <c r="T49" i="108" s="1"/>
  <c r="V49" i="108" s="1"/>
  <c r="T17" i="109"/>
  <c r="V17" i="109" s="1"/>
  <c r="O52" i="108"/>
  <c r="R14" i="108"/>
  <c r="Q14" i="108"/>
  <c r="S14" i="108" s="1"/>
  <c r="S15" i="110"/>
  <c r="T15" i="110" s="1"/>
  <c r="V15" i="110" s="1"/>
  <c r="Q23" i="107"/>
  <c r="S37" i="108"/>
  <c r="T37" i="108" s="1"/>
  <c r="V37" i="108" s="1"/>
  <c r="S12" i="108"/>
  <c r="T12" i="108" s="1"/>
  <c r="V12" i="108" s="1"/>
  <c r="S19" i="110"/>
  <c r="T19" i="110" s="1"/>
  <c r="V19" i="110" s="1"/>
  <c r="AN26" i="105"/>
  <c r="T11" i="106"/>
  <c r="V11" i="106" s="1"/>
  <c r="T18" i="108"/>
  <c r="V18" i="108" s="1"/>
  <c r="AQ10" i="106"/>
  <c r="W10" i="106" s="1"/>
  <c r="R64" i="108"/>
  <c r="Q10" i="109"/>
  <c r="R10" i="109"/>
  <c r="AI45" i="108"/>
  <c r="W45" i="108"/>
  <c r="AK45" i="108"/>
  <c r="AL45" i="108" s="1"/>
  <c r="Q64" i="108"/>
  <c r="M28" i="105"/>
  <c r="O9" i="105"/>
  <c r="O28" i="105" s="1"/>
  <c r="T25" i="105"/>
  <c r="V25" i="105" s="1"/>
  <c r="S20" i="105"/>
  <c r="T20" i="105" s="1"/>
  <c r="V20" i="105" s="1"/>
  <c r="P65" i="108"/>
  <c r="R13" i="108"/>
  <c r="Q13" i="108"/>
  <c r="Q52" i="108" s="1"/>
  <c r="S31" i="108"/>
  <c r="T31" i="108" s="1"/>
  <c r="V31" i="108" s="1"/>
  <c r="R23" i="107"/>
  <c r="S23" i="109"/>
  <c r="T23" i="109" s="1"/>
  <c r="V23" i="109" s="1"/>
  <c r="S15" i="107"/>
  <c r="T15" i="107" s="1"/>
  <c r="V15" i="107" s="1"/>
  <c r="S25" i="108"/>
  <c r="T25" i="108" s="1"/>
  <c r="V25" i="108" s="1"/>
  <c r="S10" i="110"/>
  <c r="T10" i="110" s="1"/>
  <c r="V10" i="110" s="1"/>
  <c r="S50" i="108"/>
  <c r="T50" i="108" s="1"/>
  <c r="V50" i="108" s="1"/>
  <c r="S12" i="107"/>
  <c r="T12" i="107" s="1"/>
  <c r="V12" i="107" s="1"/>
  <c r="S18" i="107"/>
  <c r="T18" i="107" s="1"/>
  <c r="V18" i="107" s="1"/>
  <c r="AN21" i="105"/>
  <c r="S23" i="110"/>
  <c r="T23" i="110" s="1"/>
  <c r="V23" i="110" s="1"/>
  <c r="T19" i="106"/>
  <c r="V19" i="106" s="1"/>
  <c r="S21" i="110"/>
  <c r="T21" i="110" s="1"/>
  <c r="V21" i="110" s="1"/>
  <c r="S18" i="110"/>
  <c r="T18" i="110" s="1"/>
  <c r="V18" i="110" s="1"/>
  <c r="AN19" i="105"/>
  <c r="S47" i="108"/>
  <c r="T47" i="108" s="1"/>
  <c r="V47" i="108" s="1"/>
  <c r="S24" i="108"/>
  <c r="T24" i="108" s="1"/>
  <c r="V24" i="108" s="1"/>
  <c r="T19" i="107"/>
  <c r="V19" i="107" s="1"/>
  <c r="O28" i="110"/>
  <c r="AK48" i="108"/>
  <c r="AL48" i="108" s="1"/>
  <c r="AI48" i="108"/>
  <c r="W48" i="108"/>
  <c r="W13" i="109"/>
  <c r="AI13" i="109"/>
  <c r="AK13" i="109"/>
  <c r="AI24" i="109"/>
  <c r="W24" i="109"/>
  <c r="AK24" i="109"/>
  <c r="T15" i="108"/>
  <c r="V15" i="108" s="1"/>
  <c r="S16" i="105"/>
  <c r="T16" i="105" s="1"/>
  <c r="V16" i="105" s="1"/>
  <c r="S9" i="110"/>
  <c r="AI17" i="108"/>
  <c r="W17" i="108"/>
  <c r="AK17" i="108"/>
  <c r="AL17" i="108" s="1"/>
  <c r="AM17" i="108" s="1"/>
  <c r="O65" i="108"/>
  <c r="O67" i="108" s="1"/>
  <c r="P9" i="109"/>
  <c r="S9" i="107"/>
  <c r="M21" i="106"/>
  <c r="O9" i="106"/>
  <c r="O21" i="106" s="1"/>
  <c r="S9" i="108"/>
  <c r="T9" i="108" s="1"/>
  <c r="P52" i="108"/>
  <c r="AK11" i="103"/>
  <c r="AI11" i="103"/>
  <c r="AI20" i="104"/>
  <c r="W20" i="104"/>
  <c r="AK20" i="104"/>
  <c r="AL20" i="104" s="1"/>
  <c r="W13" i="101"/>
  <c r="AK13" i="101"/>
  <c r="AL13" i="101" s="1"/>
  <c r="AI13" i="101"/>
  <c r="W22" i="102"/>
  <c r="AI22" i="102"/>
  <c r="AK22" i="102"/>
  <c r="AL22" i="102" s="1"/>
  <c r="AI26" i="104"/>
  <c r="W26" i="104"/>
  <c r="AK26" i="104"/>
  <c r="AL26" i="104" s="1"/>
  <c r="W20" i="103"/>
  <c r="AK20" i="103"/>
  <c r="W19" i="103"/>
  <c r="AK19" i="103"/>
  <c r="AK10" i="103"/>
  <c r="AI10" i="103"/>
  <c r="T19" i="101"/>
  <c r="V19" i="101" s="1"/>
  <c r="AI12" i="100"/>
  <c r="AJ16" i="99"/>
  <c r="W16" i="99"/>
  <c r="AK14" i="101"/>
  <c r="AL14" i="101" s="1"/>
  <c r="AI14" i="101"/>
  <c r="W14" i="101"/>
  <c r="AK15" i="102"/>
  <c r="AI15" i="102"/>
  <c r="AK34" i="102"/>
  <c r="AI34" i="102"/>
  <c r="AK22" i="99"/>
  <c r="W22" i="99"/>
  <c r="AJ22" i="99"/>
  <c r="AI22" i="99"/>
  <c r="AM22" i="99"/>
  <c r="AI41" i="102"/>
  <c r="AK41" i="102"/>
  <c r="AL41" i="102" s="1"/>
  <c r="W41" i="102"/>
  <c r="Q10" i="102"/>
  <c r="R10" i="102"/>
  <c r="W24" i="99"/>
  <c r="W21" i="101"/>
  <c r="AK21" i="101"/>
  <c r="AL21" i="101" s="1"/>
  <c r="AI21" i="101"/>
  <c r="T13" i="102"/>
  <c r="AK23" i="103"/>
  <c r="W23" i="103"/>
  <c r="W51" i="102"/>
  <c r="W16" i="104"/>
  <c r="AK16" i="104"/>
  <c r="AL16" i="104" s="1"/>
  <c r="AI16" i="104"/>
  <c r="AK17" i="102"/>
  <c r="AL17" i="102" s="1"/>
  <c r="AM17" i="102" s="1"/>
  <c r="W17" i="102"/>
  <c r="AI17" i="102"/>
  <c r="AI12" i="103"/>
  <c r="AK12" i="103"/>
  <c r="W12" i="103"/>
  <c r="AI18" i="102"/>
  <c r="W45" i="102"/>
  <c r="AI45" i="102"/>
  <c r="AK45" i="102"/>
  <c r="AL45" i="102" s="1"/>
  <c r="W13" i="103"/>
  <c r="AJ25" i="99"/>
  <c r="AI22" i="104"/>
  <c r="W12" i="104"/>
  <c r="AK22" i="101"/>
  <c r="AL22" i="101" s="1"/>
  <c r="AI22" i="101"/>
  <c r="W22" i="101"/>
  <c r="AI49" i="102"/>
  <c r="W49" i="102"/>
  <c r="AI46" i="102"/>
  <c r="AI17" i="104"/>
  <c r="AK17" i="104"/>
  <c r="AL17" i="104" s="1"/>
  <c r="W17" i="104"/>
  <c r="AJ10" i="99"/>
  <c r="AK23" i="99"/>
  <c r="W23" i="99"/>
  <c r="AM23" i="99"/>
  <c r="AI23" i="99"/>
  <c r="AJ23" i="99"/>
  <c r="AK14" i="99"/>
  <c r="AK21" i="99"/>
  <c r="W21" i="99"/>
  <c r="AM21" i="99"/>
  <c r="AI21" i="99"/>
  <c r="AJ21" i="99"/>
  <c r="AK12" i="102"/>
  <c r="AN12" i="102"/>
  <c r="AI12" i="102"/>
  <c r="W20" i="100"/>
  <c r="AK20" i="100"/>
  <c r="AL20" i="100" s="1"/>
  <c r="AI20" i="100"/>
  <c r="AK15" i="101"/>
  <c r="AL15" i="101" s="1"/>
  <c r="AI15" i="101"/>
  <c r="W15" i="101"/>
  <c r="AK15" i="103"/>
  <c r="W16" i="100"/>
  <c r="AK16" i="100"/>
  <c r="AL16" i="100" s="1"/>
  <c r="AI16" i="100"/>
  <c r="AI33" i="102"/>
  <c r="AK33" i="102"/>
  <c r="AL33" i="102" s="1"/>
  <c r="W33" i="102"/>
  <c r="S15" i="99"/>
  <c r="T15" i="99" s="1"/>
  <c r="V15" i="99" s="1"/>
  <c r="T24" i="104"/>
  <c r="V24" i="104" s="1"/>
  <c r="W24" i="104" s="1"/>
  <c r="R9" i="101"/>
  <c r="R23" i="101" s="1"/>
  <c r="P23" i="101"/>
  <c r="Q9" i="101"/>
  <c r="Q23" i="101" s="1"/>
  <c r="T11" i="104"/>
  <c r="V11" i="104" s="1"/>
  <c r="S24" i="102"/>
  <c r="T24" i="102" s="1"/>
  <c r="V24" i="102" s="1"/>
  <c r="O52" i="102"/>
  <c r="O64" i="102"/>
  <c r="O67" i="102" s="1"/>
  <c r="T17" i="100"/>
  <c r="V17" i="100" s="1"/>
  <c r="S37" i="102"/>
  <c r="T37" i="102" s="1"/>
  <c r="V37" i="102" s="1"/>
  <c r="T43" i="102"/>
  <c r="V43" i="102" s="1"/>
  <c r="S12" i="99"/>
  <c r="T12" i="99" s="1"/>
  <c r="V12" i="99" s="1"/>
  <c r="S27" i="102"/>
  <c r="T27" i="102" s="1"/>
  <c r="V27" i="102" s="1"/>
  <c r="T50" i="102"/>
  <c r="V50" i="102" s="1"/>
  <c r="T17" i="101"/>
  <c r="V17" i="101" s="1"/>
  <c r="T13" i="100"/>
  <c r="V13" i="100" s="1"/>
  <c r="T11" i="101"/>
  <c r="V11" i="101" s="1"/>
  <c r="S20" i="99"/>
  <c r="T20" i="99" s="1"/>
  <c r="V20" i="99" s="1"/>
  <c r="T29" i="102"/>
  <c r="V29" i="102" s="1"/>
  <c r="T21" i="103"/>
  <c r="V21" i="103" s="1"/>
  <c r="S10" i="104"/>
  <c r="T10" i="104" s="1"/>
  <c r="V10" i="104" s="1"/>
  <c r="S17" i="103"/>
  <c r="T17" i="103" s="1"/>
  <c r="V17" i="103" s="1"/>
  <c r="S11" i="99"/>
  <c r="T11" i="99" s="1"/>
  <c r="V11" i="99" s="1"/>
  <c r="T14" i="102"/>
  <c r="V14" i="102" s="1"/>
  <c r="T21" i="104"/>
  <c r="V21" i="104" s="1"/>
  <c r="S15" i="100"/>
  <c r="T15" i="100" s="1"/>
  <c r="V15" i="100" s="1"/>
  <c r="S32" i="102"/>
  <c r="T32" i="102" s="1"/>
  <c r="V32" i="102" s="1"/>
  <c r="AN27" i="99"/>
  <c r="T13" i="104"/>
  <c r="V13" i="104" s="1"/>
  <c r="T10" i="101"/>
  <c r="V10" i="101" s="1"/>
  <c r="AP24" i="103"/>
  <c r="AN24" i="103"/>
  <c r="AL24" i="103"/>
  <c r="AK39" i="102"/>
  <c r="AL39" i="102" s="1"/>
  <c r="AI39" i="102"/>
  <c r="W39" i="102"/>
  <c r="AI19" i="100"/>
  <c r="W19" i="100"/>
  <c r="AK19" i="100"/>
  <c r="AL19" i="100" s="1"/>
  <c r="S18" i="101"/>
  <c r="T18" i="101" s="1"/>
  <c r="V18" i="101" s="1"/>
  <c r="Q25" i="103"/>
  <c r="P66" i="102"/>
  <c r="R11" i="102"/>
  <c r="R66" i="102" s="1"/>
  <c r="Q11" i="102"/>
  <c r="Q66" i="102" s="1"/>
  <c r="S16" i="102"/>
  <c r="T16" i="102" s="1"/>
  <c r="V16" i="102" s="1"/>
  <c r="Q65" i="102"/>
  <c r="P21" i="100"/>
  <c r="R9" i="100"/>
  <c r="R21" i="100" s="1"/>
  <c r="S17" i="99"/>
  <c r="T17" i="99" s="1"/>
  <c r="V17" i="99" s="1"/>
  <c r="S19" i="99"/>
  <c r="T19" i="99" s="1"/>
  <c r="V19" i="99" s="1"/>
  <c r="S18" i="103"/>
  <c r="T18" i="103" s="1"/>
  <c r="V18" i="103" s="1"/>
  <c r="S16" i="103"/>
  <c r="S10" i="100"/>
  <c r="T10" i="100" s="1"/>
  <c r="V10" i="100" s="1"/>
  <c r="S31" i="102"/>
  <c r="T31" i="102" s="1"/>
  <c r="V31" i="102" s="1"/>
  <c r="S48" i="102"/>
  <c r="T48" i="102" s="1"/>
  <c r="V48" i="102" s="1"/>
  <c r="S20" i="101"/>
  <c r="T20" i="101" s="1"/>
  <c r="V20" i="101" s="1"/>
  <c r="M28" i="104"/>
  <c r="O9" i="104"/>
  <c r="O28" i="104" s="1"/>
  <c r="AN18" i="99"/>
  <c r="P9" i="102"/>
  <c r="P28" i="99"/>
  <c r="R9" i="99"/>
  <c r="R28" i="99" s="1"/>
  <c r="Q9" i="99"/>
  <c r="Q28" i="99" s="1"/>
  <c r="R25" i="103"/>
  <c r="R65" i="102"/>
  <c r="AI40" i="102"/>
  <c r="AK40" i="102"/>
  <c r="AL40" i="102" s="1"/>
  <c r="W40" i="102"/>
  <c r="AK19" i="109" l="1"/>
  <c r="W19" i="109"/>
  <c r="AI15" i="109"/>
  <c r="W15" i="109"/>
  <c r="AK15" i="109"/>
  <c r="AL15" i="109" s="1"/>
  <c r="AK26" i="102"/>
  <c r="AL26" i="102" s="1"/>
  <c r="AK10" i="99"/>
  <c r="S10" i="109"/>
  <c r="T10" i="109" s="1"/>
  <c r="V10" i="109" s="1"/>
  <c r="AK16" i="110"/>
  <c r="AL16" i="110" s="1"/>
  <c r="AI26" i="102"/>
  <c r="AI10" i="99"/>
  <c r="W25" i="99"/>
  <c r="AK18" i="102"/>
  <c r="AL18" i="102" s="1"/>
  <c r="AI51" i="102"/>
  <c r="AI16" i="99"/>
  <c r="W12" i="100"/>
  <c r="P9" i="106"/>
  <c r="P21" i="106" s="1"/>
  <c r="P67" i="108"/>
  <c r="AI35" i="108"/>
  <c r="AN27" i="105"/>
  <c r="AI21" i="107"/>
  <c r="AI16" i="108"/>
  <c r="AP10" i="108"/>
  <c r="AI44" i="102"/>
  <c r="AK44" i="102"/>
  <c r="AL44" i="102" s="1"/>
  <c r="AK16" i="99"/>
  <c r="AN16" i="99" s="1"/>
  <c r="R65" i="108"/>
  <c r="AI20" i="108"/>
  <c r="AN10" i="108"/>
  <c r="AQ10" i="108" s="1"/>
  <c r="W10" i="108" s="1"/>
  <c r="AK12" i="104"/>
  <c r="AL12" i="104" s="1"/>
  <c r="AM25" i="99"/>
  <c r="S12" i="110"/>
  <c r="T12" i="110" s="1"/>
  <c r="V12" i="110" s="1"/>
  <c r="AK22" i="109"/>
  <c r="AP22" i="109" s="1"/>
  <c r="W20" i="109"/>
  <c r="AK20" i="109"/>
  <c r="W18" i="106"/>
  <c r="AK18" i="106"/>
  <c r="AL18" i="106" s="1"/>
  <c r="AI18" i="106"/>
  <c r="AK28" i="102"/>
  <c r="AI28" i="102"/>
  <c r="AK17" i="107"/>
  <c r="AL17" i="107" s="1"/>
  <c r="AI17" i="107"/>
  <c r="W17" i="107"/>
  <c r="W22" i="108"/>
  <c r="AI22" i="108"/>
  <c r="AK22" i="108"/>
  <c r="AL22" i="108" s="1"/>
  <c r="AI47" i="102"/>
  <c r="AK47" i="102"/>
  <c r="AL47" i="102" s="1"/>
  <c r="W47" i="102"/>
  <c r="AK23" i="102"/>
  <c r="AL23" i="102" s="1"/>
  <c r="AI23" i="102"/>
  <c r="W23" i="102"/>
  <c r="AI22" i="103"/>
  <c r="AK22" i="103"/>
  <c r="AN22" i="103" s="1"/>
  <c r="W22" i="103"/>
  <c r="AK20" i="102"/>
  <c r="AL20" i="102" s="1"/>
  <c r="AM20" i="102" s="1"/>
  <c r="AI20" i="102"/>
  <c r="AK10" i="107"/>
  <c r="AN10" i="107"/>
  <c r="AI10" i="107"/>
  <c r="W15" i="103"/>
  <c r="AJ14" i="99"/>
  <c r="W14" i="99"/>
  <c r="AK46" i="102"/>
  <c r="AL46" i="102" s="1"/>
  <c r="W14" i="100"/>
  <c r="AM14" i="99"/>
  <c r="AN23" i="99"/>
  <c r="AN10" i="99"/>
  <c r="W10" i="99" s="1"/>
  <c r="W22" i="104"/>
  <c r="AI25" i="99"/>
  <c r="AK13" i="103"/>
  <c r="AN13" i="103" s="1"/>
  <c r="AJ24" i="99"/>
  <c r="AN22" i="99"/>
  <c r="AI23" i="104"/>
  <c r="Q28" i="110"/>
  <c r="AK11" i="109"/>
  <c r="AN11" i="109" s="1"/>
  <c r="W11" i="105"/>
  <c r="AK11" i="105"/>
  <c r="AN11" i="105" s="1"/>
  <c r="AI21" i="108"/>
  <c r="AI14" i="100"/>
  <c r="AI24" i="99"/>
  <c r="AK24" i="99"/>
  <c r="AN24" i="99" s="1"/>
  <c r="AK23" i="104"/>
  <c r="AL23" i="104" s="1"/>
  <c r="T14" i="108"/>
  <c r="V14" i="108" s="1"/>
  <c r="AI14" i="108" s="1"/>
  <c r="W22" i="109"/>
  <c r="AI11" i="105"/>
  <c r="AN17" i="105"/>
  <c r="AK11" i="107"/>
  <c r="AL11" i="107" s="1"/>
  <c r="S25" i="103"/>
  <c r="S11" i="102"/>
  <c r="S66" i="102" s="1"/>
  <c r="S10" i="102"/>
  <c r="T10" i="102" s="1"/>
  <c r="V10" i="102" s="1"/>
  <c r="AN12" i="105"/>
  <c r="W51" i="108"/>
  <c r="AK51" i="108"/>
  <c r="AL51" i="108" s="1"/>
  <c r="AI51" i="108"/>
  <c r="W24" i="108"/>
  <c r="AK24" i="108"/>
  <c r="AL24" i="108" s="1"/>
  <c r="AI24" i="108"/>
  <c r="AI12" i="107"/>
  <c r="AK12" i="107"/>
  <c r="AL12" i="107" s="1"/>
  <c r="W12" i="107"/>
  <c r="AI15" i="107"/>
  <c r="AK15" i="107"/>
  <c r="AL15" i="107" s="1"/>
  <c r="W15" i="107"/>
  <c r="AM20" i="105"/>
  <c r="AI20" i="105"/>
  <c r="AJ20" i="105"/>
  <c r="AK20" i="105"/>
  <c r="W20" i="105"/>
  <c r="AI34" i="108"/>
  <c r="AK34" i="108"/>
  <c r="W33" i="108"/>
  <c r="AK33" i="108"/>
  <c r="AL33" i="108" s="1"/>
  <c r="AI33" i="108"/>
  <c r="AK18" i="110"/>
  <c r="AL18" i="110" s="1"/>
  <c r="AI18" i="110"/>
  <c r="W18" i="110"/>
  <c r="AI10" i="109"/>
  <c r="AK10" i="109"/>
  <c r="AK16" i="105"/>
  <c r="W16" i="105"/>
  <c r="AJ16" i="105"/>
  <c r="AI16" i="105"/>
  <c r="AM16" i="105"/>
  <c r="AK10" i="110"/>
  <c r="AI10" i="110"/>
  <c r="AM14" i="105"/>
  <c r="AI14" i="105"/>
  <c r="W14" i="105"/>
  <c r="AK14" i="105"/>
  <c r="AJ14" i="105"/>
  <c r="AI22" i="110"/>
  <c r="W22" i="110"/>
  <c r="AK22" i="110"/>
  <c r="AL22" i="110" s="1"/>
  <c r="AI43" i="108"/>
  <c r="AK43" i="108"/>
  <c r="AK23" i="109"/>
  <c r="W23" i="109"/>
  <c r="AK22" i="105"/>
  <c r="W22" i="105"/>
  <c r="AJ22" i="105"/>
  <c r="AM22" i="105"/>
  <c r="AI22" i="105"/>
  <c r="T64" i="108"/>
  <c r="V9" i="108"/>
  <c r="W47" i="108"/>
  <c r="AI47" i="108"/>
  <c r="AK47" i="108"/>
  <c r="AL47" i="108" s="1"/>
  <c r="W21" i="110"/>
  <c r="AK21" i="110"/>
  <c r="AL21" i="110" s="1"/>
  <c r="AI21" i="110"/>
  <c r="AI18" i="107"/>
  <c r="AK18" i="107"/>
  <c r="AL18" i="107" s="1"/>
  <c r="W18" i="107"/>
  <c r="AI25" i="108"/>
  <c r="W25" i="108"/>
  <c r="AK25" i="108"/>
  <c r="AL25" i="108" s="1"/>
  <c r="AK12" i="108"/>
  <c r="AN12" i="108"/>
  <c r="AI12" i="108"/>
  <c r="AI15" i="110"/>
  <c r="W15" i="110"/>
  <c r="AK15" i="110"/>
  <c r="AL15" i="110" s="1"/>
  <c r="AI32" i="108"/>
  <c r="AK32" i="108"/>
  <c r="W12" i="110"/>
  <c r="AK12" i="110"/>
  <c r="AL12" i="110" s="1"/>
  <c r="AI12" i="110"/>
  <c r="AI50" i="108"/>
  <c r="AK50" i="108"/>
  <c r="AL50" i="108" s="1"/>
  <c r="W50" i="108"/>
  <c r="AK37" i="108"/>
  <c r="AL37" i="108" s="1"/>
  <c r="AI37" i="108"/>
  <c r="W37" i="108"/>
  <c r="AK49" i="108"/>
  <c r="AL49" i="108" s="1"/>
  <c r="W49" i="108"/>
  <c r="AI49" i="108"/>
  <c r="AM10" i="105"/>
  <c r="AI10" i="105"/>
  <c r="AK10" i="105"/>
  <c r="AJ10" i="105"/>
  <c r="AK25" i="105"/>
  <c r="W25" i="105"/>
  <c r="AJ25" i="105"/>
  <c r="AM25" i="105"/>
  <c r="AI25" i="105"/>
  <c r="W13" i="107"/>
  <c r="AK13" i="107"/>
  <c r="AL13" i="107" s="1"/>
  <c r="AI13" i="107"/>
  <c r="AI14" i="109"/>
  <c r="W14" i="109"/>
  <c r="AK14" i="109"/>
  <c r="AK15" i="105"/>
  <c r="AM15" i="105"/>
  <c r="AJ15" i="105"/>
  <c r="AI15" i="105"/>
  <c r="W19" i="110"/>
  <c r="AK19" i="110"/>
  <c r="AL19" i="110" s="1"/>
  <c r="AI19" i="110"/>
  <c r="AN20" i="108"/>
  <c r="AP20" i="108"/>
  <c r="AL20" i="108"/>
  <c r="AM20" i="108" s="1"/>
  <c r="AL22" i="109"/>
  <c r="AN22" i="109"/>
  <c r="AP20" i="109"/>
  <c r="AN20" i="109"/>
  <c r="S27" i="108"/>
  <c r="T27" i="108" s="1"/>
  <c r="V27" i="108" s="1"/>
  <c r="AN21" i="109"/>
  <c r="AP21" i="109"/>
  <c r="AL21" i="109"/>
  <c r="S13" i="105"/>
  <c r="T13" i="105" s="1"/>
  <c r="V13" i="105" s="1"/>
  <c r="AN24" i="105"/>
  <c r="W31" i="108"/>
  <c r="AK31" i="108"/>
  <c r="AL31" i="108" s="1"/>
  <c r="AI31" i="108"/>
  <c r="AI23" i="110"/>
  <c r="W23" i="110"/>
  <c r="AK23" i="110"/>
  <c r="AL23" i="110" s="1"/>
  <c r="AL14" i="110"/>
  <c r="AP14" i="110"/>
  <c r="AN14" i="110"/>
  <c r="P25" i="109"/>
  <c r="R9" i="109"/>
  <c r="R25" i="109" s="1"/>
  <c r="Q9" i="109"/>
  <c r="Q25" i="109" s="1"/>
  <c r="W26" i="108"/>
  <c r="AK26" i="108"/>
  <c r="AL26" i="108" s="1"/>
  <c r="AI26" i="108"/>
  <c r="S13" i="108"/>
  <c r="R52" i="108"/>
  <c r="AK18" i="108"/>
  <c r="AL18" i="108" s="1"/>
  <c r="AI18" i="108"/>
  <c r="W18" i="108"/>
  <c r="AK17" i="109"/>
  <c r="AI17" i="109"/>
  <c r="W17" i="109"/>
  <c r="S11" i="108"/>
  <c r="S66" i="108" s="1"/>
  <c r="AN29" i="108"/>
  <c r="AL29" i="108"/>
  <c r="AP29" i="108"/>
  <c r="AP28" i="108"/>
  <c r="AN28" i="108"/>
  <c r="AL28" i="108"/>
  <c r="AN16" i="108"/>
  <c r="AP16" i="108"/>
  <c r="AL16" i="108"/>
  <c r="AM16" i="108" s="1"/>
  <c r="AK19" i="106"/>
  <c r="AL19" i="106" s="1"/>
  <c r="AI19" i="106"/>
  <c r="W19" i="106"/>
  <c r="W11" i="106"/>
  <c r="AI11" i="106"/>
  <c r="AK11" i="106"/>
  <c r="AL11" i="106" s="1"/>
  <c r="AI26" i="110"/>
  <c r="W26" i="110"/>
  <c r="AK26" i="110"/>
  <c r="AL26" i="110" s="1"/>
  <c r="AP11" i="109"/>
  <c r="AL11" i="109"/>
  <c r="AP16" i="109"/>
  <c r="AL16" i="109"/>
  <c r="AN16" i="109"/>
  <c r="S23" i="107"/>
  <c r="T9" i="107"/>
  <c r="S64" i="108"/>
  <c r="Q9" i="106"/>
  <c r="Q21" i="106" s="1"/>
  <c r="R9" i="106"/>
  <c r="R21" i="106" s="1"/>
  <c r="AI15" i="108"/>
  <c r="AK15" i="108"/>
  <c r="AL13" i="109"/>
  <c r="AP13" i="109"/>
  <c r="AN13" i="109"/>
  <c r="AI12" i="109"/>
  <c r="W12" i="109"/>
  <c r="AK12" i="109"/>
  <c r="S28" i="110"/>
  <c r="T9" i="110"/>
  <c r="AP24" i="109"/>
  <c r="AN24" i="109"/>
  <c r="AL24" i="109"/>
  <c r="W19" i="107"/>
  <c r="AK19" i="107"/>
  <c r="AL19" i="107" s="1"/>
  <c r="AI19" i="107"/>
  <c r="Q65" i="108"/>
  <c r="Q67" i="108" s="1"/>
  <c r="AI15" i="106"/>
  <c r="W15" i="106"/>
  <c r="AK15" i="106"/>
  <c r="AL15" i="106" s="1"/>
  <c r="P9" i="105"/>
  <c r="R67" i="108"/>
  <c r="AK14" i="106"/>
  <c r="AL14" i="106" s="1"/>
  <c r="AI14" i="106"/>
  <c r="W14" i="106"/>
  <c r="AK17" i="106"/>
  <c r="AL17" i="106" s="1"/>
  <c r="AI17" i="106"/>
  <c r="W17" i="106"/>
  <c r="AP15" i="109"/>
  <c r="AN15" i="109"/>
  <c r="AQ15" i="109" s="1"/>
  <c r="AN18" i="105"/>
  <c r="AL21" i="108"/>
  <c r="AN21" i="108"/>
  <c r="AP21" i="108"/>
  <c r="AP18" i="109"/>
  <c r="AN18" i="109"/>
  <c r="AK17" i="103"/>
  <c r="AI17" i="103"/>
  <c r="W17" i="103"/>
  <c r="AI20" i="101"/>
  <c r="W20" i="101"/>
  <c r="AK20" i="101"/>
  <c r="AL20" i="101" s="1"/>
  <c r="AI31" i="102"/>
  <c r="AK31" i="102"/>
  <c r="AL31" i="102" s="1"/>
  <c r="W31" i="102"/>
  <c r="AK20" i="99"/>
  <c r="W20" i="99"/>
  <c r="AM20" i="99"/>
  <c r="AI20" i="99"/>
  <c r="AJ20" i="99"/>
  <c r="AK18" i="103"/>
  <c r="W18" i="103"/>
  <c r="AI24" i="102"/>
  <c r="AK24" i="102"/>
  <c r="AL24" i="102" s="1"/>
  <c r="W24" i="102"/>
  <c r="AN10" i="100"/>
  <c r="AI10" i="100"/>
  <c r="AK10" i="100"/>
  <c r="AM17" i="99"/>
  <c r="AI17" i="99"/>
  <c r="AJ17" i="99"/>
  <c r="W17" i="99"/>
  <c r="AK17" i="99"/>
  <c r="AK15" i="99"/>
  <c r="AJ15" i="99"/>
  <c r="AI15" i="99"/>
  <c r="AM15" i="99"/>
  <c r="W48" i="102"/>
  <c r="AK48" i="102"/>
  <c r="AL48" i="102" s="1"/>
  <c r="AI48" i="102"/>
  <c r="AK15" i="100"/>
  <c r="AL15" i="100" s="1"/>
  <c r="AI15" i="100"/>
  <c r="W15" i="100"/>
  <c r="AJ12" i="99"/>
  <c r="AI12" i="99"/>
  <c r="AM12" i="99"/>
  <c r="AK12" i="99"/>
  <c r="W12" i="99"/>
  <c r="AK16" i="102"/>
  <c r="AI16" i="102"/>
  <c r="AK32" i="102"/>
  <c r="AI32" i="102"/>
  <c r="AJ11" i="99"/>
  <c r="AM11" i="99"/>
  <c r="AI11" i="99"/>
  <c r="AK11" i="99"/>
  <c r="W11" i="99"/>
  <c r="AK27" i="102"/>
  <c r="AL27" i="102" s="1"/>
  <c r="AI27" i="102"/>
  <c r="W27" i="102"/>
  <c r="W13" i="100"/>
  <c r="AK13" i="100"/>
  <c r="AL13" i="100" s="1"/>
  <c r="AI13" i="100"/>
  <c r="AK10" i="104"/>
  <c r="AI10" i="104"/>
  <c r="W37" i="102"/>
  <c r="AK37" i="102"/>
  <c r="AL37" i="102" s="1"/>
  <c r="AI37" i="102"/>
  <c r="AQ24" i="103"/>
  <c r="AI14" i="103"/>
  <c r="AK14" i="103"/>
  <c r="W14" i="103"/>
  <c r="W21" i="103"/>
  <c r="AI21" i="103"/>
  <c r="AK21" i="103"/>
  <c r="W11" i="101"/>
  <c r="AK11" i="101"/>
  <c r="AL11" i="101" s="1"/>
  <c r="AI11" i="101"/>
  <c r="W16" i="101"/>
  <c r="AK16" i="101"/>
  <c r="AL16" i="101" s="1"/>
  <c r="AI16" i="101"/>
  <c r="AL15" i="103"/>
  <c r="AP15" i="103"/>
  <c r="AN15" i="103"/>
  <c r="T16" i="103"/>
  <c r="V16" i="103" s="1"/>
  <c r="AI18" i="100"/>
  <c r="AK18" i="100"/>
  <c r="AL18" i="100" s="1"/>
  <c r="W18" i="100"/>
  <c r="AN25" i="99"/>
  <c r="AP20" i="103"/>
  <c r="AN20" i="103"/>
  <c r="AQ20" i="103" s="1"/>
  <c r="AP20" i="102"/>
  <c r="AN20" i="102"/>
  <c r="AI13" i="104"/>
  <c r="W13" i="104"/>
  <c r="AK13" i="104"/>
  <c r="AL13" i="104" s="1"/>
  <c r="AP10" i="103"/>
  <c r="AL10" i="103"/>
  <c r="AM10" i="103" s="1"/>
  <c r="AN10" i="103"/>
  <c r="AQ10" i="103" s="1"/>
  <c r="W10" i="103" s="1"/>
  <c r="S9" i="99"/>
  <c r="S28" i="99" s="1"/>
  <c r="AI19" i="102"/>
  <c r="W19" i="102"/>
  <c r="AK19" i="102"/>
  <c r="AL19" i="102" s="1"/>
  <c r="AK12" i="101"/>
  <c r="AL12" i="101" s="1"/>
  <c r="AI12" i="101"/>
  <c r="W12" i="101"/>
  <c r="W21" i="104"/>
  <c r="AK21" i="104"/>
  <c r="AL21" i="104" s="1"/>
  <c r="AI21" i="104"/>
  <c r="AK11" i="104"/>
  <c r="AL11" i="104" s="1"/>
  <c r="AI11" i="104"/>
  <c r="W11" i="104"/>
  <c r="AP12" i="102"/>
  <c r="AL12" i="102"/>
  <c r="AM12" i="102" s="1"/>
  <c r="AP22" i="103"/>
  <c r="AP12" i="103"/>
  <c r="AN12" i="103"/>
  <c r="AQ12" i="103" s="1"/>
  <c r="AL12" i="103"/>
  <c r="T65" i="102"/>
  <c r="V13" i="102"/>
  <c r="T25" i="103"/>
  <c r="V9" i="103"/>
  <c r="AP19" i="103"/>
  <c r="AN19" i="103"/>
  <c r="AP11" i="103"/>
  <c r="AN11" i="103"/>
  <c r="AL11" i="103"/>
  <c r="AK29" i="102"/>
  <c r="AI29" i="102"/>
  <c r="W17" i="100"/>
  <c r="AI17" i="100"/>
  <c r="AK17" i="100"/>
  <c r="AL17" i="100" s="1"/>
  <c r="AQ12" i="102"/>
  <c r="W12" i="102" s="1"/>
  <c r="AL13" i="103"/>
  <c r="AP13" i="103"/>
  <c r="AN23" i="103"/>
  <c r="AP23" i="103"/>
  <c r="AN15" i="102"/>
  <c r="AL15" i="102"/>
  <c r="AP15" i="102"/>
  <c r="AM19" i="99"/>
  <c r="AI19" i="99"/>
  <c r="AJ19" i="99"/>
  <c r="AK19" i="99"/>
  <c r="W19" i="99"/>
  <c r="AL28" i="102"/>
  <c r="AP28" i="102"/>
  <c r="AN28" i="102"/>
  <c r="AK18" i="101"/>
  <c r="AL18" i="101" s="1"/>
  <c r="AI18" i="101"/>
  <c r="W18" i="101"/>
  <c r="P9" i="104"/>
  <c r="AK25" i="102"/>
  <c r="AL25" i="102" s="1"/>
  <c r="W25" i="102"/>
  <c r="AI25" i="102"/>
  <c r="W17" i="101"/>
  <c r="AK17" i="101"/>
  <c r="AL17" i="101" s="1"/>
  <c r="AI17" i="101"/>
  <c r="AI43" i="102"/>
  <c r="AK43" i="102"/>
  <c r="P52" i="102"/>
  <c r="P64" i="102"/>
  <c r="P67" i="102" s="1"/>
  <c r="R9" i="102"/>
  <c r="Q9" i="102"/>
  <c r="S9" i="100"/>
  <c r="S21" i="100" s="1"/>
  <c r="AK10" i="101"/>
  <c r="AN10" i="101"/>
  <c r="AI10" i="101"/>
  <c r="AI21" i="102"/>
  <c r="AK21" i="102"/>
  <c r="AK14" i="102"/>
  <c r="AI14" i="102"/>
  <c r="W30" i="102"/>
  <c r="AI30" i="102"/>
  <c r="AK30" i="102"/>
  <c r="AL30" i="102" s="1"/>
  <c r="AM30" i="102" s="1"/>
  <c r="AM13" i="99"/>
  <c r="AI13" i="99"/>
  <c r="AJ13" i="99"/>
  <c r="AK13" i="99"/>
  <c r="W50" i="102"/>
  <c r="AK50" i="102"/>
  <c r="AL50" i="102" s="1"/>
  <c r="AI50" i="102"/>
  <c r="AK14" i="104"/>
  <c r="AI14" i="104"/>
  <c r="S9" i="101"/>
  <c r="S23" i="101" s="1"/>
  <c r="AN21" i="99"/>
  <c r="AN14" i="99"/>
  <c r="S65" i="102"/>
  <c r="AP34" i="102"/>
  <c r="AL34" i="102"/>
  <c r="AN34" i="102"/>
  <c r="W19" i="101"/>
  <c r="AK19" i="101"/>
  <c r="AL19" i="101" s="1"/>
  <c r="AI19" i="101"/>
  <c r="AG42" i="84"/>
  <c r="K34" i="84"/>
  <c r="K31" i="84"/>
  <c r="K21" i="84"/>
  <c r="K18" i="84"/>
  <c r="AQ22" i="103" l="1"/>
  <c r="S9" i="102"/>
  <c r="AQ28" i="102"/>
  <c r="W28" i="102" s="1"/>
  <c r="AQ15" i="103"/>
  <c r="AN17" i="99"/>
  <c r="T11" i="102"/>
  <c r="V11" i="102" s="1"/>
  <c r="AN19" i="109"/>
  <c r="AQ19" i="109" s="1"/>
  <c r="AP19" i="109"/>
  <c r="AN20" i="105"/>
  <c r="AL22" i="103"/>
  <c r="AQ20" i="109"/>
  <c r="AK14" i="108"/>
  <c r="S52" i="108"/>
  <c r="AQ11" i="109"/>
  <c r="W11" i="109" s="1"/>
  <c r="AQ11" i="103"/>
  <c r="W11" i="103" s="1"/>
  <c r="AQ20" i="102"/>
  <c r="W20" i="102" s="1"/>
  <c r="AQ14" i="110"/>
  <c r="W14" i="110" s="1"/>
  <c r="AP10" i="102"/>
  <c r="AK10" i="102"/>
  <c r="AL10" i="102" s="1"/>
  <c r="AM10" i="102" s="1"/>
  <c r="AN10" i="102"/>
  <c r="AI10" i="102"/>
  <c r="AQ18" i="109"/>
  <c r="AQ13" i="109"/>
  <c r="AQ16" i="109"/>
  <c r="S65" i="108"/>
  <c r="S67" i="108" s="1"/>
  <c r="AQ15" i="102"/>
  <c r="W15" i="102" s="1"/>
  <c r="AL10" i="107"/>
  <c r="AM10" i="107" s="1"/>
  <c r="AP10" i="107"/>
  <c r="AQ10" i="107" s="1"/>
  <c r="W10" i="107" s="1"/>
  <c r="AJ13" i="105"/>
  <c r="AM13" i="105"/>
  <c r="AI13" i="105"/>
  <c r="AK13" i="105"/>
  <c r="AN10" i="110"/>
  <c r="AL10" i="110"/>
  <c r="AM10" i="110" s="1"/>
  <c r="AP10" i="110"/>
  <c r="AQ21" i="108"/>
  <c r="W21" i="108" s="1"/>
  <c r="V9" i="110"/>
  <c r="T28" i="110"/>
  <c r="AL15" i="108"/>
  <c r="AP15" i="108"/>
  <c r="AN15" i="108"/>
  <c r="AQ16" i="108"/>
  <c r="W16" i="108" s="1"/>
  <c r="AP12" i="108"/>
  <c r="AQ12" i="108" s="1"/>
  <c r="W12" i="108" s="1"/>
  <c r="AL12" i="108"/>
  <c r="AM12" i="108" s="1"/>
  <c r="AN22" i="105"/>
  <c r="AN43" i="108"/>
  <c r="AL43" i="108"/>
  <c r="AM43" i="108" s="1"/>
  <c r="AP43" i="108"/>
  <c r="AN16" i="105"/>
  <c r="AP14" i="108"/>
  <c r="AL14" i="108"/>
  <c r="AM14" i="108" s="1"/>
  <c r="AN14" i="108"/>
  <c r="P28" i="105"/>
  <c r="Q9" i="105"/>
  <c r="Q28" i="105" s="1"/>
  <c r="R9" i="105"/>
  <c r="R28" i="105" s="1"/>
  <c r="T23" i="107"/>
  <c r="V9" i="107"/>
  <c r="AQ21" i="109"/>
  <c r="AQ22" i="109"/>
  <c r="AN10" i="105"/>
  <c r="W10" i="105" s="1"/>
  <c r="AN32" i="108"/>
  <c r="AL32" i="108"/>
  <c r="AP32" i="108"/>
  <c r="V64" i="108"/>
  <c r="AP9" i="108"/>
  <c r="AK9" i="108"/>
  <c r="AL9" i="108" s="1"/>
  <c r="AM9" i="108" s="1"/>
  <c r="AN9" i="108"/>
  <c r="AI9" i="108"/>
  <c r="AN10" i="109"/>
  <c r="AL10" i="109"/>
  <c r="AM10" i="109" s="1"/>
  <c r="AP10" i="109"/>
  <c r="AP14" i="109"/>
  <c r="AL14" i="109"/>
  <c r="AN14" i="109"/>
  <c r="T13" i="108"/>
  <c r="AI27" i="108"/>
  <c r="W27" i="108"/>
  <c r="AK27" i="108"/>
  <c r="AL27" i="108" s="1"/>
  <c r="S9" i="106"/>
  <c r="S21" i="106" s="1"/>
  <c r="AQ24" i="109"/>
  <c r="AP12" i="109"/>
  <c r="AN12" i="109"/>
  <c r="AQ12" i="109" s="1"/>
  <c r="AL12" i="109"/>
  <c r="AQ28" i="108"/>
  <c r="W28" i="108" s="1"/>
  <c r="AQ29" i="108"/>
  <c r="W29" i="108" s="1"/>
  <c r="AN17" i="109"/>
  <c r="AL17" i="109"/>
  <c r="AP17" i="109"/>
  <c r="S9" i="109"/>
  <c r="S25" i="109" s="1"/>
  <c r="AQ20" i="108"/>
  <c r="W20" i="108" s="1"/>
  <c r="T11" i="108"/>
  <c r="AN15" i="105"/>
  <c r="W15" i="105" s="1"/>
  <c r="AN25" i="105"/>
  <c r="AP23" i="109"/>
  <c r="AN23" i="109"/>
  <c r="AN14" i="105"/>
  <c r="AN34" i="108"/>
  <c r="AL34" i="108"/>
  <c r="AP34" i="108"/>
  <c r="S52" i="102"/>
  <c r="S64" i="102"/>
  <c r="S67" i="102" s="1"/>
  <c r="T9" i="100"/>
  <c r="V25" i="103"/>
  <c r="I31" i="103" s="1"/>
  <c r="K31" i="103" s="1"/>
  <c r="AK9" i="103"/>
  <c r="AI9" i="103"/>
  <c r="AN21" i="102"/>
  <c r="AP21" i="102"/>
  <c r="AL21" i="102"/>
  <c r="AP10" i="101"/>
  <c r="AL10" i="101"/>
  <c r="AM10" i="101" s="1"/>
  <c r="R52" i="102"/>
  <c r="R64" i="102"/>
  <c r="R67" i="102" s="1"/>
  <c r="T9" i="99"/>
  <c r="V66" i="102"/>
  <c r="AP11" i="102"/>
  <c r="AK11" i="102"/>
  <c r="AL11" i="102" s="1"/>
  <c r="AM11" i="102" s="1"/>
  <c r="AN11" i="102"/>
  <c r="AI11" i="102"/>
  <c r="AI16" i="103"/>
  <c r="AK16" i="103"/>
  <c r="W16" i="103"/>
  <c r="T9" i="101"/>
  <c r="AN15" i="99"/>
  <c r="W15" i="99" s="1"/>
  <c r="AN18" i="103"/>
  <c r="AP18" i="103"/>
  <c r="Q9" i="104"/>
  <c r="Q28" i="104" s="1"/>
  <c r="P28" i="104"/>
  <c r="R9" i="104"/>
  <c r="R28" i="104" s="1"/>
  <c r="AN19" i="99"/>
  <c r="AQ23" i="103"/>
  <c r="AN10" i="104"/>
  <c r="AP10" i="104"/>
  <c r="AL10" i="104"/>
  <c r="AM10" i="104" s="1"/>
  <c r="AN11" i="99"/>
  <c r="AP10" i="100"/>
  <c r="AQ10" i="100" s="1"/>
  <c r="W10" i="100" s="1"/>
  <c r="AL10" i="100"/>
  <c r="AM10" i="100" s="1"/>
  <c r="AN20" i="99"/>
  <c r="AP43" i="102"/>
  <c r="AL43" i="102"/>
  <c r="AM43" i="102" s="1"/>
  <c r="AN43" i="102"/>
  <c r="AP16" i="102"/>
  <c r="AL16" i="102"/>
  <c r="AM16" i="102" s="1"/>
  <c r="AN16" i="102"/>
  <c r="T9" i="102"/>
  <c r="AQ34" i="102"/>
  <c r="W34" i="102" s="1"/>
  <c r="AL14" i="104"/>
  <c r="AP14" i="104"/>
  <c r="AN14" i="104"/>
  <c r="AN13" i="99"/>
  <c r="W13" i="99" s="1"/>
  <c r="AN14" i="102"/>
  <c r="AL14" i="102"/>
  <c r="AM14" i="102" s="1"/>
  <c r="AP14" i="102"/>
  <c r="AQ10" i="101"/>
  <c r="W10" i="101" s="1"/>
  <c r="Q64" i="102"/>
  <c r="Q67" i="102" s="1"/>
  <c r="Q52" i="102"/>
  <c r="AQ13" i="103"/>
  <c r="AP29" i="102"/>
  <c r="AL29" i="102"/>
  <c r="AN29" i="102"/>
  <c r="AQ19" i="103"/>
  <c r="V65" i="102"/>
  <c r="AI13" i="102"/>
  <c r="W13" i="102"/>
  <c r="AK13" i="102"/>
  <c r="AL13" i="102" s="1"/>
  <c r="AN21" i="103"/>
  <c r="AL21" i="103"/>
  <c r="AP21" i="103"/>
  <c r="AP14" i="103"/>
  <c r="AN14" i="103"/>
  <c r="AL14" i="103"/>
  <c r="AP32" i="102"/>
  <c r="AL32" i="102"/>
  <c r="AN32" i="102"/>
  <c r="AN12" i="99"/>
  <c r="AP17" i="103"/>
  <c r="AL17" i="103"/>
  <c r="AN17" i="103"/>
  <c r="H16" i="42"/>
  <c r="E16" i="42"/>
  <c r="D15" i="42"/>
  <c r="C15" i="42"/>
  <c r="D14" i="42"/>
  <c r="C14" i="42"/>
  <c r="D13" i="42"/>
  <c r="C13" i="42"/>
  <c r="G12" i="42"/>
  <c r="F12" i="42"/>
  <c r="D12" i="42"/>
  <c r="D11" i="42"/>
  <c r="C11" i="42"/>
  <c r="D10" i="42"/>
  <c r="C10" i="42"/>
  <c r="H17" i="80"/>
  <c r="H16" i="80"/>
  <c r="T66" i="102" l="1"/>
  <c r="AQ14" i="104"/>
  <c r="W14" i="104" s="1"/>
  <c r="AQ15" i="108"/>
  <c r="W15" i="108" s="1"/>
  <c r="AQ23" i="109"/>
  <c r="T9" i="106"/>
  <c r="T21" i="106" s="1"/>
  <c r="AQ14" i="108"/>
  <c r="W14" i="108" s="1"/>
  <c r="AN13" i="105"/>
  <c r="W13" i="105" s="1"/>
  <c r="AQ10" i="102"/>
  <c r="W10" i="102" s="1"/>
  <c r="AQ43" i="102"/>
  <c r="W43" i="102" s="1"/>
  <c r="S9" i="104"/>
  <c r="S28" i="104" s="1"/>
  <c r="AQ14" i="109"/>
  <c r="AQ29" i="102"/>
  <c r="W29" i="102" s="1"/>
  <c r="AQ16" i="102"/>
  <c r="W16" i="102" s="1"/>
  <c r="AQ18" i="103"/>
  <c r="AQ10" i="109"/>
  <c r="W10" i="109" s="1"/>
  <c r="S9" i="105"/>
  <c r="S28" i="105" s="1"/>
  <c r="AQ32" i="108"/>
  <c r="W32" i="108" s="1"/>
  <c r="AK9" i="107"/>
  <c r="AN9" i="107"/>
  <c r="AI9" i="107"/>
  <c r="V23" i="107"/>
  <c r="K28" i="107" s="1"/>
  <c r="M28" i="107" s="1"/>
  <c r="V28" i="110"/>
  <c r="I33" i="110" s="1"/>
  <c r="K33" i="110" s="1"/>
  <c r="AK9" i="110"/>
  <c r="AI9" i="110"/>
  <c r="AQ10" i="110"/>
  <c r="W10" i="110" s="1"/>
  <c r="T66" i="108"/>
  <c r="V11" i="108"/>
  <c r="T52" i="108"/>
  <c r="V9" i="106"/>
  <c r="AQ34" i="108"/>
  <c r="W34" i="108" s="1"/>
  <c r="AQ17" i="109"/>
  <c r="T65" i="108"/>
  <c r="V13" i="108"/>
  <c r="AQ9" i="108"/>
  <c r="W9" i="108" s="1"/>
  <c r="AQ43" i="108"/>
  <c r="W43" i="108" s="1"/>
  <c r="T9" i="109"/>
  <c r="AQ10" i="104"/>
  <c r="W10" i="104" s="1"/>
  <c r="T23" i="101"/>
  <c r="V9" i="101"/>
  <c r="AQ21" i="102"/>
  <c r="W21" i="102" s="1"/>
  <c r="V9" i="100"/>
  <c r="T21" i="100"/>
  <c r="AQ14" i="102"/>
  <c r="W14" i="102" s="1"/>
  <c r="T9" i="104"/>
  <c r="AQ11" i="102"/>
  <c r="W11" i="102" s="1"/>
  <c r="W66" i="102" s="1"/>
  <c r="X66" i="102" s="1"/>
  <c r="T28" i="99"/>
  <c r="V9" i="99"/>
  <c r="T52" i="102"/>
  <c r="T64" i="102"/>
  <c r="T67" i="102" s="1"/>
  <c r="V9" i="102"/>
  <c r="AQ17" i="103"/>
  <c r="AQ32" i="102"/>
  <c r="W32" i="102" s="1"/>
  <c r="AQ14" i="103"/>
  <c r="AQ21" i="103"/>
  <c r="AP16" i="103"/>
  <c r="AN16" i="103"/>
  <c r="AL16" i="103"/>
  <c r="AP9" i="103"/>
  <c r="AL9" i="103"/>
  <c r="AM9" i="103" s="1"/>
  <c r="AN9" i="103"/>
  <c r="D16" i="42"/>
  <c r="H27" i="86"/>
  <c r="H10" i="86"/>
  <c r="H11" i="86"/>
  <c r="T9" i="105" l="1"/>
  <c r="AQ9" i="103"/>
  <c r="W9" i="103" s="1"/>
  <c r="W25" i="103" s="1"/>
  <c r="J31" i="103" s="1"/>
  <c r="L31" i="103" s="1"/>
  <c r="AQ16" i="103"/>
  <c r="W65" i="102"/>
  <c r="X65" i="102" s="1"/>
  <c r="T67" i="108"/>
  <c r="W64" i="108"/>
  <c r="V66" i="108"/>
  <c r="AP11" i="108"/>
  <c r="AK11" i="108"/>
  <c r="AL11" i="108" s="1"/>
  <c r="AM11" i="108" s="1"/>
  <c r="AN11" i="108"/>
  <c r="AI11" i="108"/>
  <c r="V52" i="108"/>
  <c r="K57" i="108" s="1"/>
  <c r="M57" i="108" s="1"/>
  <c r="AN9" i="110"/>
  <c r="AL9" i="110"/>
  <c r="AM9" i="110" s="1"/>
  <c r="AP9" i="110"/>
  <c r="T28" i="105"/>
  <c r="V9" i="105"/>
  <c r="V65" i="108"/>
  <c r="W13" i="108"/>
  <c r="W65" i="108" s="1"/>
  <c r="AK13" i="108"/>
  <c r="AL13" i="108" s="1"/>
  <c r="AI13" i="108"/>
  <c r="AL9" i="107"/>
  <c r="AM9" i="107" s="1"/>
  <c r="AP9" i="107"/>
  <c r="AQ9" i="107" s="1"/>
  <c r="W9" i="107" s="1"/>
  <c r="W23" i="107" s="1"/>
  <c r="L28" i="107" s="1"/>
  <c r="N28" i="107" s="1"/>
  <c r="V21" i="106"/>
  <c r="I28" i="106" s="1"/>
  <c r="K28" i="106" s="1"/>
  <c r="AK9" i="106"/>
  <c r="AI9" i="106"/>
  <c r="AN9" i="106"/>
  <c r="T25" i="109"/>
  <c r="V9" i="109"/>
  <c r="AK9" i="99"/>
  <c r="AJ9" i="99"/>
  <c r="AM9" i="99"/>
  <c r="AI9" i="99"/>
  <c r="V28" i="99"/>
  <c r="I34" i="99" s="1"/>
  <c r="K34" i="99" s="1"/>
  <c r="V52" i="102"/>
  <c r="K57" i="102" s="1"/>
  <c r="M57" i="102" s="1"/>
  <c r="V64" i="102"/>
  <c r="AP9" i="102"/>
  <c r="AK9" i="102"/>
  <c r="AL9" i="102" s="1"/>
  <c r="AM9" i="102" s="1"/>
  <c r="AN9" i="102"/>
  <c r="AI9" i="102"/>
  <c r="AK9" i="101"/>
  <c r="AN9" i="101"/>
  <c r="AI9" i="101"/>
  <c r="V23" i="101"/>
  <c r="K28" i="101" s="1"/>
  <c r="M28" i="101" s="1"/>
  <c r="V21" i="100"/>
  <c r="I28" i="100" s="1"/>
  <c r="K28" i="100" s="1"/>
  <c r="AK9" i="100"/>
  <c r="AI9" i="100"/>
  <c r="AN9" i="100"/>
  <c r="V9" i="104"/>
  <c r="T28" i="104"/>
  <c r="X25" i="85"/>
  <c r="AF23" i="85"/>
  <c r="AC23" i="85"/>
  <c r="Z23" i="85"/>
  <c r="AF20" i="85"/>
  <c r="AC20" i="85"/>
  <c r="Z20" i="85"/>
  <c r="AF19" i="85"/>
  <c r="AC19" i="85"/>
  <c r="Z19" i="85"/>
  <c r="AF18" i="85"/>
  <c r="AC18" i="85"/>
  <c r="Z18" i="85"/>
  <c r="AS9" i="85"/>
  <c r="AP9" i="106" l="1"/>
  <c r="AQ9" i="106" s="1"/>
  <c r="W9" i="106" s="1"/>
  <c r="W21" i="106" s="1"/>
  <c r="J28" i="106" s="1"/>
  <c r="L28" i="106" s="1"/>
  <c r="AL9" i="106"/>
  <c r="AM9" i="106" s="1"/>
  <c r="X65" i="108"/>
  <c r="V67" i="108"/>
  <c r="AQ11" i="108"/>
  <c r="W11" i="108" s="1"/>
  <c r="V25" i="109"/>
  <c r="I31" i="109" s="1"/>
  <c r="K31" i="109" s="1"/>
  <c r="AI9" i="109"/>
  <c r="AK9" i="109"/>
  <c r="AM9" i="105"/>
  <c r="AI9" i="105"/>
  <c r="AJ9" i="105"/>
  <c r="V28" i="105"/>
  <c r="I34" i="105" s="1"/>
  <c r="K34" i="105" s="1"/>
  <c r="AK9" i="105"/>
  <c r="AN9" i="105" s="1"/>
  <c r="AQ9" i="110"/>
  <c r="W9" i="110" s="1"/>
  <c r="W28" i="110" s="1"/>
  <c r="J33" i="110" s="1"/>
  <c r="L33" i="110" s="1"/>
  <c r="X64" i="108"/>
  <c r="V67" i="102"/>
  <c r="V28" i="104"/>
  <c r="I33" i="104" s="1"/>
  <c r="K33" i="104" s="1"/>
  <c r="AK9" i="104"/>
  <c r="AI9" i="104"/>
  <c r="AQ9" i="102"/>
  <c r="W9" i="102" s="1"/>
  <c r="AP9" i="101"/>
  <c r="AL9" i="101"/>
  <c r="AM9" i="101" s="1"/>
  <c r="AP9" i="100"/>
  <c r="AQ9" i="100" s="1"/>
  <c r="W9" i="100" s="1"/>
  <c r="W21" i="100" s="1"/>
  <c r="J28" i="100" s="1"/>
  <c r="L28" i="100" s="1"/>
  <c r="AL9" i="100"/>
  <c r="AM9" i="100" s="1"/>
  <c r="AQ9" i="101"/>
  <c r="W9" i="101" s="1"/>
  <c r="W23" i="101" s="1"/>
  <c r="L28" i="101" s="1"/>
  <c r="N28" i="101" s="1"/>
  <c r="AN9" i="99"/>
  <c r="AG19" i="85"/>
  <c r="AH19" i="85" s="1"/>
  <c r="AG23" i="85"/>
  <c r="AH23" i="85" s="1"/>
  <c r="AG18" i="85"/>
  <c r="AH18" i="85" s="1"/>
  <c r="AG20" i="85"/>
  <c r="AH20" i="85" s="1"/>
  <c r="J17" i="85"/>
  <c r="W66" i="108" l="1"/>
  <c r="W52" i="108"/>
  <c r="L57" i="108" s="1"/>
  <c r="N57" i="108" s="1"/>
  <c r="AN28" i="105"/>
  <c r="W9" i="105"/>
  <c r="W28" i="105" s="1"/>
  <c r="J34" i="105" s="1"/>
  <c r="L34" i="105" s="1"/>
  <c r="AP9" i="109"/>
  <c r="AL9" i="109"/>
  <c r="AM9" i="109" s="1"/>
  <c r="AN9" i="109"/>
  <c r="AQ9" i="109" s="1"/>
  <c r="W9" i="109" s="1"/>
  <c r="W25" i="109" s="1"/>
  <c r="J31" i="109" s="1"/>
  <c r="L31" i="109" s="1"/>
  <c r="Y67" i="108"/>
  <c r="Y67" i="102"/>
  <c r="W52" i="102"/>
  <c r="L57" i="102" s="1"/>
  <c r="N57" i="102" s="1"/>
  <c r="W64" i="102"/>
  <c r="W9" i="99"/>
  <c r="W28" i="99" s="1"/>
  <c r="J34" i="99" s="1"/>
  <c r="L34" i="99" s="1"/>
  <c r="AN28" i="99"/>
  <c r="AN9" i="104"/>
  <c r="AP9" i="104"/>
  <c r="AL9" i="104"/>
  <c r="AM9" i="104" s="1"/>
  <c r="H11" i="85"/>
  <c r="E18" i="85"/>
  <c r="F18" i="85" s="1"/>
  <c r="E19" i="85"/>
  <c r="F19" i="85" s="1"/>
  <c r="L19" i="85" s="1"/>
  <c r="M19" i="85" s="1"/>
  <c r="O19" i="85" s="1"/>
  <c r="P19" i="85" s="1"/>
  <c r="E20" i="85"/>
  <c r="F20" i="85" s="1"/>
  <c r="L20" i="85" s="1"/>
  <c r="M20" i="85" s="1"/>
  <c r="E21" i="85"/>
  <c r="F21" i="85" s="1"/>
  <c r="K21" i="85" s="1"/>
  <c r="E22" i="85"/>
  <c r="F22" i="85" s="1"/>
  <c r="E23" i="85"/>
  <c r="F23" i="85" s="1"/>
  <c r="L23" i="85" s="1"/>
  <c r="M23" i="85" s="1"/>
  <c r="X66" i="108" l="1"/>
  <c r="W67" i="108"/>
  <c r="AQ9" i="104"/>
  <c r="W9" i="104" s="1"/>
  <c r="W28" i="104" s="1"/>
  <c r="J33" i="104" s="1"/>
  <c r="L33" i="104" s="1"/>
  <c r="W67" i="102"/>
  <c r="X64" i="102"/>
  <c r="O20" i="85"/>
  <c r="P20" i="85" s="1"/>
  <c r="O23" i="85"/>
  <c r="P23" i="85" s="1"/>
  <c r="R19" i="85"/>
  <c r="Q19" i="85"/>
  <c r="K18" i="85"/>
  <c r="L18" i="85"/>
  <c r="Z67" i="108" l="1"/>
  <c r="X67" i="108"/>
  <c r="Z67" i="102"/>
  <c r="X67" i="102"/>
  <c r="S19" i="85"/>
  <c r="T19" i="85" s="1"/>
  <c r="V19" i="85" s="1"/>
  <c r="W19" i="85" s="1"/>
  <c r="Q23" i="85"/>
  <c r="R23" i="85"/>
  <c r="Q20" i="85"/>
  <c r="R20" i="85"/>
  <c r="M18" i="85"/>
  <c r="AL12" i="80"/>
  <c r="AL14" i="80"/>
  <c r="AL16" i="80"/>
  <c r="AL17" i="80"/>
  <c r="AL18" i="80"/>
  <c r="AL19" i="80"/>
  <c r="AL20" i="80"/>
  <c r="AL21" i="80"/>
  <c r="AL22" i="80"/>
  <c r="AL23" i="80"/>
  <c r="AL24" i="80"/>
  <c r="AL25" i="80"/>
  <c r="AL26" i="80"/>
  <c r="AK19" i="85" l="1"/>
  <c r="AN19" i="85" s="1"/>
  <c r="S20" i="85"/>
  <c r="T20" i="85" s="1"/>
  <c r="V20" i="85" s="1"/>
  <c r="W20" i="85" s="1"/>
  <c r="S23" i="85"/>
  <c r="T23" i="85" s="1"/>
  <c r="V23" i="85" s="1"/>
  <c r="W23" i="85" s="1"/>
  <c r="O18" i="85"/>
  <c r="P18" i="85" s="1"/>
  <c r="W42" i="84"/>
  <c r="K30" i="84"/>
  <c r="K35" i="84"/>
  <c r="K48" i="84"/>
  <c r="K33" i="84"/>
  <c r="K32" i="84"/>
  <c r="K13" i="84"/>
  <c r="K47" i="84"/>
  <c r="K29" i="84"/>
  <c r="H21" i="84"/>
  <c r="H14" i="84"/>
  <c r="H13" i="84"/>
  <c r="G49" i="84"/>
  <c r="G48" i="84"/>
  <c r="G47" i="84"/>
  <c r="G44" i="84"/>
  <c r="AP19" i="85" l="1"/>
  <c r="AQ19" i="85" s="1"/>
  <c r="AK20" i="85"/>
  <c r="AP20" i="85" s="1"/>
  <c r="AK23" i="85"/>
  <c r="AN23" i="85" s="1"/>
  <c r="Q18" i="85"/>
  <c r="R18" i="85"/>
  <c r="C51" i="84"/>
  <c r="C44" i="84"/>
  <c r="C39" i="84"/>
  <c r="C27" i="84"/>
  <c r="J57" i="84"/>
  <c r="I57" i="84"/>
  <c r="F13" i="42" l="1"/>
  <c r="F16" i="42" s="1"/>
  <c r="F13" i="111"/>
  <c r="G13" i="42"/>
  <c r="G16" i="42" s="1"/>
  <c r="D22" i="42" s="1"/>
  <c r="G13" i="111"/>
  <c r="AN20" i="85"/>
  <c r="AQ20" i="85" s="1"/>
  <c r="AP23" i="85"/>
  <c r="AQ23" i="85" s="1"/>
  <c r="S18" i="85"/>
  <c r="T18" i="85" s="1"/>
  <c r="V18" i="85" s="1"/>
  <c r="W18" i="85" s="1"/>
  <c r="K19" i="80"/>
  <c r="K24" i="80"/>
  <c r="K16" i="80"/>
  <c r="K17" i="80"/>
  <c r="AK18" i="85" l="1"/>
  <c r="AN18" i="85" s="1"/>
  <c r="K22" i="80"/>
  <c r="K11" i="80"/>
  <c r="K9" i="80"/>
  <c r="K20" i="80"/>
  <c r="AP18" i="85" l="1"/>
  <c r="AQ18" i="85" s="1"/>
  <c r="K9" i="81"/>
  <c r="K15" i="81" l="1"/>
  <c r="AL27" i="80" l="1"/>
  <c r="H19" i="80" l="1"/>
  <c r="H24" i="80"/>
  <c r="H27" i="80"/>
  <c r="H14" i="80"/>
  <c r="H21" i="80"/>
  <c r="H18" i="80"/>
  <c r="H22" i="80"/>
  <c r="H26" i="80"/>
  <c r="H11" i="80"/>
  <c r="H12" i="80"/>
  <c r="H13" i="80"/>
  <c r="H15" i="80"/>
  <c r="H20" i="80"/>
  <c r="H25" i="80"/>
  <c r="H28" i="80" l="1"/>
  <c r="AQ13" i="84" l="1"/>
  <c r="AQ17" i="84"/>
  <c r="AQ18" i="84"/>
  <c r="AQ19" i="84"/>
  <c r="AQ22" i="84"/>
  <c r="AQ23" i="84"/>
  <c r="AQ24" i="84"/>
  <c r="AQ25" i="84"/>
  <c r="AQ26" i="84"/>
  <c r="AQ27" i="84"/>
  <c r="AQ30" i="84"/>
  <c r="AQ31" i="84"/>
  <c r="AQ33" i="84"/>
  <c r="AQ35" i="84"/>
  <c r="AQ36" i="84"/>
  <c r="AQ37" i="84"/>
  <c r="AQ38" i="84"/>
  <c r="AQ39" i="84"/>
  <c r="AQ40" i="84"/>
  <c r="AQ41" i="84"/>
  <c r="AQ42" i="84"/>
  <c r="AQ44" i="84"/>
  <c r="AQ45" i="84"/>
  <c r="AQ46" i="84"/>
  <c r="AQ47" i="84"/>
  <c r="AQ48" i="84"/>
  <c r="AQ49" i="84"/>
  <c r="AQ50" i="84"/>
  <c r="AQ51" i="84"/>
  <c r="AQ52" i="84"/>
  <c r="E25" i="86"/>
  <c r="F25" i="86" s="1"/>
  <c r="L25" i="86" s="1"/>
  <c r="M25" i="86" s="1"/>
  <c r="AS25" i="86"/>
  <c r="E24" i="86"/>
  <c r="F24" i="86" s="1"/>
  <c r="L24" i="86" s="1"/>
  <c r="M24" i="86" s="1"/>
  <c r="AS24" i="86"/>
  <c r="C28" i="86"/>
  <c r="B15" i="111" s="1"/>
  <c r="O24" i="86" l="1"/>
  <c r="P24" i="86" s="1"/>
  <c r="O25" i="86"/>
  <c r="P25" i="86" s="1"/>
  <c r="R24" i="86" l="1"/>
  <c r="Q24" i="86"/>
  <c r="Q25" i="86"/>
  <c r="R25" i="86"/>
  <c r="J34" i="84"/>
  <c r="H46" i="84"/>
  <c r="H40" i="84"/>
  <c r="K26" i="84"/>
  <c r="G22" i="85"/>
  <c r="G25" i="85" s="1"/>
  <c r="H21" i="85"/>
  <c r="H15" i="85"/>
  <c r="H17" i="85"/>
  <c r="H14" i="85"/>
  <c r="H16" i="85"/>
  <c r="H13" i="85"/>
  <c r="H22" i="85"/>
  <c r="K17" i="85"/>
  <c r="G18" i="81"/>
  <c r="G20" i="81"/>
  <c r="G16" i="81"/>
  <c r="H18" i="81"/>
  <c r="H20" i="81"/>
  <c r="H16" i="81"/>
  <c r="G26" i="86"/>
  <c r="G27" i="86"/>
  <c r="G23" i="86"/>
  <c r="H26" i="86"/>
  <c r="H23" i="86"/>
  <c r="H17" i="86"/>
  <c r="H19" i="86"/>
  <c r="H21" i="86"/>
  <c r="H18" i="86"/>
  <c r="H12" i="86"/>
  <c r="K10" i="86"/>
  <c r="K13" i="86"/>
  <c r="K11" i="86"/>
  <c r="K18" i="86"/>
  <c r="K23" i="86"/>
  <c r="E13" i="84"/>
  <c r="F13" i="84" s="1"/>
  <c r="E12" i="84"/>
  <c r="F12" i="84" s="1"/>
  <c r="L12" i="84" s="1"/>
  <c r="E10" i="84"/>
  <c r="F10" i="84" s="1"/>
  <c r="E11" i="84"/>
  <c r="E9" i="84"/>
  <c r="F9" i="84" s="1"/>
  <c r="AC22" i="86"/>
  <c r="AF19" i="86"/>
  <c r="AC11" i="86"/>
  <c r="AF10" i="86"/>
  <c r="AC22" i="85"/>
  <c r="AF22" i="85"/>
  <c r="AC11" i="85"/>
  <c r="E14" i="84"/>
  <c r="F14" i="84" s="1"/>
  <c r="E15" i="84"/>
  <c r="F15" i="84" s="1"/>
  <c r="E16" i="84"/>
  <c r="F16" i="84" s="1"/>
  <c r="K16" i="84" s="1"/>
  <c r="E17" i="84"/>
  <c r="E18" i="84"/>
  <c r="F18" i="84" s="1"/>
  <c r="E19" i="84"/>
  <c r="F19" i="84" s="1"/>
  <c r="K19" i="84" s="1"/>
  <c r="E20" i="84"/>
  <c r="F20" i="84" s="1"/>
  <c r="K20" i="84" s="1"/>
  <c r="E21" i="84"/>
  <c r="F21" i="84" s="1"/>
  <c r="E22" i="84"/>
  <c r="F22" i="84" s="1"/>
  <c r="K22" i="84" s="1"/>
  <c r="E23" i="84"/>
  <c r="F23" i="84" s="1"/>
  <c r="E24" i="84"/>
  <c r="F24" i="84" s="1"/>
  <c r="E25" i="84"/>
  <c r="F25" i="84" s="1"/>
  <c r="E26" i="84"/>
  <c r="F26" i="84" s="1"/>
  <c r="L26" i="84" s="1"/>
  <c r="E27" i="84"/>
  <c r="F27" i="84" s="1"/>
  <c r="E28" i="84"/>
  <c r="F28" i="84" s="1"/>
  <c r="E29" i="84"/>
  <c r="F29" i="84" s="1"/>
  <c r="L29" i="84" s="1"/>
  <c r="E30" i="84"/>
  <c r="F30" i="84" s="1"/>
  <c r="E31" i="84"/>
  <c r="F31" i="84" s="1"/>
  <c r="L31" i="84" s="1"/>
  <c r="E32" i="84"/>
  <c r="F32" i="84" s="1"/>
  <c r="L32" i="84" s="1"/>
  <c r="E33" i="84"/>
  <c r="F33" i="84" s="1"/>
  <c r="L33" i="84" s="1"/>
  <c r="E34" i="84"/>
  <c r="F34" i="84" s="1"/>
  <c r="E35" i="84"/>
  <c r="F35" i="84" s="1"/>
  <c r="L35" i="84" s="1"/>
  <c r="M35" i="84" s="1"/>
  <c r="O35" i="84" s="1"/>
  <c r="E36" i="84"/>
  <c r="F36" i="84" s="1"/>
  <c r="E37" i="84"/>
  <c r="E38" i="84"/>
  <c r="F38" i="84" s="1"/>
  <c r="M38" i="84" s="1"/>
  <c r="O38" i="84" s="1"/>
  <c r="E39" i="84"/>
  <c r="F39" i="84" s="1"/>
  <c r="M39" i="84" s="1"/>
  <c r="E40" i="84"/>
  <c r="F40" i="84" s="1"/>
  <c r="E41" i="84"/>
  <c r="F41" i="84" s="1"/>
  <c r="M41" i="84" s="1"/>
  <c r="E43" i="84"/>
  <c r="F43" i="84" s="1"/>
  <c r="E44" i="84"/>
  <c r="F44" i="84" s="1"/>
  <c r="E45" i="84"/>
  <c r="F45" i="84" s="1"/>
  <c r="E46" i="84"/>
  <c r="F46" i="84" s="1"/>
  <c r="E47" i="84"/>
  <c r="F47" i="84" s="1"/>
  <c r="E48" i="84"/>
  <c r="F48" i="84" s="1"/>
  <c r="E49" i="84"/>
  <c r="F49" i="84" s="1"/>
  <c r="L49" i="84" s="1"/>
  <c r="E50" i="84"/>
  <c r="F50" i="84" s="1"/>
  <c r="E51" i="84"/>
  <c r="F51" i="84" s="1"/>
  <c r="L51" i="84" s="1"/>
  <c r="AC9" i="84"/>
  <c r="AF9" i="84"/>
  <c r="AC10" i="84"/>
  <c r="AF10" i="84"/>
  <c r="AC11" i="84"/>
  <c r="AF11" i="84"/>
  <c r="AC12" i="84"/>
  <c r="AF12" i="84"/>
  <c r="AC13" i="84"/>
  <c r="AF13" i="84"/>
  <c r="AC14" i="84"/>
  <c r="AF14" i="84"/>
  <c r="AC15" i="84"/>
  <c r="AF15" i="84"/>
  <c r="AC16" i="84"/>
  <c r="AF16" i="84"/>
  <c r="AC17" i="84"/>
  <c r="AF17" i="84"/>
  <c r="AC18" i="84"/>
  <c r="AF18" i="84"/>
  <c r="AC19" i="84"/>
  <c r="AF19" i="84"/>
  <c r="AC20" i="84"/>
  <c r="AF20" i="84"/>
  <c r="AC21" i="84"/>
  <c r="AF21" i="84"/>
  <c r="AC22" i="84"/>
  <c r="AF22" i="84"/>
  <c r="AC23" i="84"/>
  <c r="AF23" i="84"/>
  <c r="AC24" i="84"/>
  <c r="AF24" i="84"/>
  <c r="AC25" i="84"/>
  <c r="AF25" i="84"/>
  <c r="AC26" i="84"/>
  <c r="AF26" i="84"/>
  <c r="AC27" i="84"/>
  <c r="AF27" i="84"/>
  <c r="AC28" i="84"/>
  <c r="AF28" i="84"/>
  <c r="AC29" i="84"/>
  <c r="AF29" i="84"/>
  <c r="AC30" i="84"/>
  <c r="AF30" i="84"/>
  <c r="AC31" i="84"/>
  <c r="AF31" i="84"/>
  <c r="AC32" i="84"/>
  <c r="AF32" i="84"/>
  <c r="AC33" i="84"/>
  <c r="AF33" i="84"/>
  <c r="AC34" i="84"/>
  <c r="AF34" i="84"/>
  <c r="AC35" i="84"/>
  <c r="AF35" i="84"/>
  <c r="AC36" i="84"/>
  <c r="AF36" i="84"/>
  <c r="AC37" i="84"/>
  <c r="AF37" i="84"/>
  <c r="AC38" i="84"/>
  <c r="AF38" i="84"/>
  <c r="AC39" i="84"/>
  <c r="AF39" i="84"/>
  <c r="AC40" i="84"/>
  <c r="AF40" i="84"/>
  <c r="AC41" i="84"/>
  <c r="AF41" i="84"/>
  <c r="AC43" i="84"/>
  <c r="AF43" i="84"/>
  <c r="AC44" i="84"/>
  <c r="AF44" i="84"/>
  <c r="AC45" i="84"/>
  <c r="AF45" i="84"/>
  <c r="AC46" i="84"/>
  <c r="AF46" i="84"/>
  <c r="AC47" i="84"/>
  <c r="AF47" i="84"/>
  <c r="AC48" i="84"/>
  <c r="AF48" i="84"/>
  <c r="AC49" i="84"/>
  <c r="AF49" i="84"/>
  <c r="AC50" i="84"/>
  <c r="AF50" i="84"/>
  <c r="AC51" i="84"/>
  <c r="AF51" i="84"/>
  <c r="Z21" i="80"/>
  <c r="AC21" i="80"/>
  <c r="AF21" i="80"/>
  <c r="E21" i="80"/>
  <c r="F21" i="80" s="1"/>
  <c r="L21" i="80" s="1"/>
  <c r="E23" i="80"/>
  <c r="F23" i="80" s="1"/>
  <c r="L23" i="80" s="1"/>
  <c r="Z23" i="80"/>
  <c r="AC23" i="80"/>
  <c r="AF23" i="80"/>
  <c r="E12" i="80"/>
  <c r="F12" i="80" s="1"/>
  <c r="Z12" i="80"/>
  <c r="AC12" i="80"/>
  <c r="AF12" i="80"/>
  <c r="C28" i="80"/>
  <c r="AC9" i="86"/>
  <c r="AF9" i="86"/>
  <c r="AC10" i="86"/>
  <c r="AF11" i="86"/>
  <c r="AC12" i="86"/>
  <c r="AF12" i="86"/>
  <c r="AC13" i="86"/>
  <c r="AF13" i="86"/>
  <c r="AC14" i="86"/>
  <c r="AF14" i="86"/>
  <c r="AC15" i="86"/>
  <c r="AF15" i="86"/>
  <c r="AC16" i="86"/>
  <c r="AF16" i="86"/>
  <c r="AC17" i="86"/>
  <c r="AF17" i="86"/>
  <c r="AC18" i="86"/>
  <c r="AF18" i="86"/>
  <c r="AC19" i="86"/>
  <c r="AC20" i="86"/>
  <c r="AF20" i="86"/>
  <c r="AC21" i="86"/>
  <c r="AF21" i="86"/>
  <c r="AF22" i="86"/>
  <c r="AC23" i="86"/>
  <c r="AF23" i="86"/>
  <c r="AC26" i="86"/>
  <c r="AF26" i="86"/>
  <c r="AC27" i="86"/>
  <c r="AF27" i="86"/>
  <c r="AC13" i="81"/>
  <c r="AF10" i="81"/>
  <c r="AC11" i="81"/>
  <c r="AC9" i="80"/>
  <c r="AF9" i="80"/>
  <c r="AC10" i="80"/>
  <c r="AF10" i="80"/>
  <c r="AC11" i="80"/>
  <c r="AF11" i="80"/>
  <c r="AC13" i="80"/>
  <c r="AF13" i="80"/>
  <c r="AC14" i="80"/>
  <c r="AF14" i="80"/>
  <c r="AC15" i="80"/>
  <c r="AF15" i="80"/>
  <c r="AC16" i="80"/>
  <c r="AF16" i="80"/>
  <c r="AC17" i="80"/>
  <c r="AF17" i="80"/>
  <c r="AC18" i="80"/>
  <c r="AF18" i="80"/>
  <c r="AC19" i="80"/>
  <c r="AF19" i="80"/>
  <c r="AC20" i="80"/>
  <c r="AF20" i="80"/>
  <c r="AC22" i="80"/>
  <c r="AF22" i="80"/>
  <c r="AC24" i="80"/>
  <c r="AF24" i="80"/>
  <c r="AC25" i="80"/>
  <c r="AF25" i="80"/>
  <c r="AC26" i="80"/>
  <c r="AF26" i="80"/>
  <c r="AC27" i="80"/>
  <c r="AF27" i="80"/>
  <c r="Z18" i="86"/>
  <c r="Z17" i="86"/>
  <c r="Z21" i="86"/>
  <c r="Z11" i="86"/>
  <c r="Z14" i="86"/>
  <c r="Z26" i="86"/>
  <c r="Z15" i="86"/>
  <c r="Z9" i="86"/>
  <c r="Z10" i="86"/>
  <c r="Z12" i="86"/>
  <c r="Z13" i="86"/>
  <c r="Z16" i="86"/>
  <c r="Z19" i="86"/>
  <c r="Z20" i="86"/>
  <c r="Z22" i="86"/>
  <c r="Z23" i="86"/>
  <c r="Z27" i="86"/>
  <c r="E18" i="86"/>
  <c r="F18" i="86" s="1"/>
  <c r="L18" i="86" s="1"/>
  <c r="E9" i="86"/>
  <c r="E10" i="86"/>
  <c r="F10" i="86" s="1"/>
  <c r="L10" i="86" s="1"/>
  <c r="E11" i="86"/>
  <c r="F11" i="86" s="1"/>
  <c r="E12" i="86"/>
  <c r="F12" i="86" s="1"/>
  <c r="E13" i="86"/>
  <c r="F13" i="86" s="1"/>
  <c r="E14" i="86"/>
  <c r="F14" i="86" s="1"/>
  <c r="E15" i="86"/>
  <c r="F15" i="86" s="1"/>
  <c r="L15" i="86" s="1"/>
  <c r="E16" i="86"/>
  <c r="F16" i="86" s="1"/>
  <c r="K16" i="86" s="1"/>
  <c r="E17" i="86"/>
  <c r="F17" i="86" s="1"/>
  <c r="L17" i="86" s="1"/>
  <c r="E19" i="86"/>
  <c r="F19" i="86" s="1"/>
  <c r="L19" i="86" s="1"/>
  <c r="E20" i="86"/>
  <c r="F20" i="86" s="1"/>
  <c r="L20" i="86" s="1"/>
  <c r="E21" i="86"/>
  <c r="F21" i="86" s="1"/>
  <c r="E22" i="86"/>
  <c r="F22" i="86" s="1"/>
  <c r="L22" i="86" s="1"/>
  <c r="E23" i="86"/>
  <c r="F23" i="86" s="1"/>
  <c r="L23" i="86" s="1"/>
  <c r="E26" i="86"/>
  <c r="F26" i="86" s="1"/>
  <c r="E27" i="86"/>
  <c r="F27" i="86" s="1"/>
  <c r="B15" i="42"/>
  <c r="Z15" i="85"/>
  <c r="Z22" i="85"/>
  <c r="Z11" i="85"/>
  <c r="Z21" i="85"/>
  <c r="Z16" i="85"/>
  <c r="Z28" i="84"/>
  <c r="Z29" i="84"/>
  <c r="Z30" i="84"/>
  <c r="Z31" i="84"/>
  <c r="Z32" i="84"/>
  <c r="Z33" i="84"/>
  <c r="Z34" i="84"/>
  <c r="Z35" i="84"/>
  <c r="Z36" i="84"/>
  <c r="Z37" i="84"/>
  <c r="Z38" i="84"/>
  <c r="Z39" i="84"/>
  <c r="Z40" i="84"/>
  <c r="Z41" i="84"/>
  <c r="Z43" i="84"/>
  <c r="Z44" i="84"/>
  <c r="Z45" i="84"/>
  <c r="Z46" i="84"/>
  <c r="Z47" i="84"/>
  <c r="Z48" i="84"/>
  <c r="Z49" i="84"/>
  <c r="Z50" i="84"/>
  <c r="Z51" i="84"/>
  <c r="C52" i="84"/>
  <c r="Z9" i="81"/>
  <c r="Z13" i="81"/>
  <c r="Z10" i="81"/>
  <c r="Z16" i="81"/>
  <c r="Z18" i="81"/>
  <c r="Z17" i="81"/>
  <c r="Z11" i="81"/>
  <c r="Z19" i="81"/>
  <c r="Z12" i="81"/>
  <c r="E10" i="80"/>
  <c r="F10" i="80" s="1"/>
  <c r="E20" i="80"/>
  <c r="F20" i="80" s="1"/>
  <c r="E15" i="80"/>
  <c r="F15" i="80" s="1"/>
  <c r="K15" i="80" s="1"/>
  <c r="E9" i="80"/>
  <c r="F9" i="80" s="1"/>
  <c r="E11" i="80"/>
  <c r="F11" i="80" s="1"/>
  <c r="E13" i="80"/>
  <c r="F13" i="80" s="1"/>
  <c r="K13" i="80" s="1"/>
  <c r="E16" i="80"/>
  <c r="F16" i="80" s="1"/>
  <c r="E17" i="80"/>
  <c r="F17" i="80" s="1"/>
  <c r="E18" i="80"/>
  <c r="F18" i="80" s="1"/>
  <c r="M18" i="80" s="1"/>
  <c r="O18" i="80" s="1"/>
  <c r="E19" i="80"/>
  <c r="F19" i="80" s="1"/>
  <c r="E22" i="80"/>
  <c r="F22" i="80" s="1"/>
  <c r="E24" i="80"/>
  <c r="F24" i="80" s="1"/>
  <c r="E25" i="80"/>
  <c r="F25" i="80" s="1"/>
  <c r="K25" i="80" s="1"/>
  <c r="E26" i="80"/>
  <c r="F26" i="80" s="1"/>
  <c r="M26" i="80" s="1"/>
  <c r="E27" i="80"/>
  <c r="F27" i="80" s="1"/>
  <c r="M27" i="80" s="1"/>
  <c r="O27" i="80" s="1"/>
  <c r="P27" i="80" s="1"/>
  <c r="E14" i="80"/>
  <c r="F14" i="80" s="1"/>
  <c r="K14" i="80" s="1"/>
  <c r="Z9" i="80"/>
  <c r="Z11" i="80"/>
  <c r="Z13" i="80"/>
  <c r="Z16" i="80"/>
  <c r="Z17" i="80"/>
  <c r="Z19" i="80"/>
  <c r="Z20" i="80"/>
  <c r="Z22" i="80"/>
  <c r="Z24" i="80"/>
  <c r="Z25" i="80"/>
  <c r="Z10" i="80"/>
  <c r="Z14" i="80"/>
  <c r="Z15" i="80"/>
  <c r="Z18" i="80"/>
  <c r="Z26" i="80"/>
  <c r="Z27" i="80"/>
  <c r="E9" i="85"/>
  <c r="F9" i="85" s="1"/>
  <c r="K9" i="85" s="1"/>
  <c r="E10" i="85"/>
  <c r="F10" i="85" s="1"/>
  <c r="K10" i="85" s="1"/>
  <c r="E11" i="85"/>
  <c r="F11" i="85" s="1"/>
  <c r="K11" i="85" s="1"/>
  <c r="E12" i="85"/>
  <c r="F12" i="85" s="1"/>
  <c r="E13" i="85"/>
  <c r="F13" i="85" s="1"/>
  <c r="E14" i="85"/>
  <c r="F14" i="85" s="1"/>
  <c r="K14" i="85" s="1"/>
  <c r="E15" i="85"/>
  <c r="F15" i="85" s="1"/>
  <c r="K15" i="85" s="1"/>
  <c r="E16" i="85"/>
  <c r="F16" i="85" s="1"/>
  <c r="E17" i="85"/>
  <c r="F17" i="85" s="1"/>
  <c r="E24" i="85"/>
  <c r="F24" i="85" s="1"/>
  <c r="M24" i="85" s="1"/>
  <c r="O24" i="85" s="1"/>
  <c r="Z11" i="84"/>
  <c r="Z12" i="84"/>
  <c r="Z9" i="84"/>
  <c r="Z10" i="84"/>
  <c r="Z13" i="84"/>
  <c r="Z14" i="84"/>
  <c r="Z15" i="84"/>
  <c r="Z16" i="84"/>
  <c r="Z17" i="84"/>
  <c r="Z18" i="84"/>
  <c r="Z19" i="84"/>
  <c r="Z20" i="84"/>
  <c r="Z21" i="84"/>
  <c r="Z22" i="84"/>
  <c r="Z23" i="84"/>
  <c r="Z24" i="84"/>
  <c r="Z25" i="84"/>
  <c r="Z26" i="84"/>
  <c r="Z27" i="84"/>
  <c r="AE52" i="84"/>
  <c r="AD52" i="84"/>
  <c r="AB52" i="84"/>
  <c r="AA52" i="84"/>
  <c r="Y52" i="84"/>
  <c r="X52" i="84"/>
  <c r="U52" i="84"/>
  <c r="N52" i="84"/>
  <c r="I52" i="84"/>
  <c r="G52" i="84"/>
  <c r="D52" i="84"/>
  <c r="E9" i="81"/>
  <c r="F9" i="81" s="1"/>
  <c r="E10" i="81"/>
  <c r="F10" i="81" s="1"/>
  <c r="K10" i="81" s="1"/>
  <c r="E11" i="81"/>
  <c r="F11" i="81" s="1"/>
  <c r="L11" i="81" s="1"/>
  <c r="M11" i="81" s="1"/>
  <c r="O11" i="81" s="1"/>
  <c r="E12" i="81"/>
  <c r="F12" i="81" s="1"/>
  <c r="L12" i="81" s="1"/>
  <c r="M12" i="81" s="1"/>
  <c r="E13" i="81"/>
  <c r="F13" i="81" s="1"/>
  <c r="E14" i="81"/>
  <c r="F14" i="81" s="1"/>
  <c r="L14" i="81" s="1"/>
  <c r="M14" i="81" s="1"/>
  <c r="O14" i="81" s="1"/>
  <c r="E15" i="81"/>
  <c r="F15" i="81" s="1"/>
  <c r="L15" i="81" s="1"/>
  <c r="M15" i="81" s="1"/>
  <c r="E16" i="81"/>
  <c r="F16" i="81" s="1"/>
  <c r="K16" i="81" s="1"/>
  <c r="E17" i="81"/>
  <c r="F17" i="81" s="1"/>
  <c r="E18" i="81"/>
  <c r="F18" i="81" s="1"/>
  <c r="L18" i="81" s="1"/>
  <c r="E19" i="81"/>
  <c r="F19" i="81" s="1"/>
  <c r="E20" i="81"/>
  <c r="F20" i="81" s="1"/>
  <c r="L20" i="81" s="1"/>
  <c r="AS21" i="86"/>
  <c r="AE28" i="86"/>
  <c r="AD28" i="86"/>
  <c r="AB28" i="86"/>
  <c r="AA28" i="86"/>
  <c r="Y28" i="86"/>
  <c r="X28" i="86"/>
  <c r="J28" i="86"/>
  <c r="I28" i="86"/>
  <c r="D28" i="86"/>
  <c r="AS27" i="86"/>
  <c r="AS26" i="86"/>
  <c r="AS23" i="86"/>
  <c r="AS22" i="86"/>
  <c r="AS20" i="86"/>
  <c r="AS19" i="86"/>
  <c r="AS18" i="86"/>
  <c r="AS17" i="86"/>
  <c r="AS16" i="86"/>
  <c r="AS15" i="86"/>
  <c r="AS14" i="86"/>
  <c r="AS13" i="86"/>
  <c r="AS12" i="86"/>
  <c r="AS11" i="86"/>
  <c r="AS10" i="86"/>
  <c r="AS9" i="86"/>
  <c r="N28" i="86"/>
  <c r="AE25" i="85"/>
  <c r="AD25" i="85"/>
  <c r="AB25" i="85"/>
  <c r="AA25" i="85"/>
  <c r="Y25" i="85"/>
  <c r="U25" i="85"/>
  <c r="I25" i="85"/>
  <c r="D25" i="85"/>
  <c r="C25" i="85"/>
  <c r="AS24" i="85"/>
  <c r="AF24" i="85"/>
  <c r="AC24" i="85"/>
  <c r="Z24" i="85"/>
  <c r="AS22" i="85"/>
  <c r="AS21" i="85"/>
  <c r="AF21" i="85"/>
  <c r="AC21" i="85"/>
  <c r="AS17" i="85"/>
  <c r="AF17" i="85"/>
  <c r="AC17" i="85"/>
  <c r="Z17" i="85"/>
  <c r="AS16" i="85"/>
  <c r="AF16" i="85"/>
  <c r="AC16" i="85"/>
  <c r="AS15" i="85"/>
  <c r="AF15" i="85"/>
  <c r="AC15" i="85"/>
  <c r="AS14" i="85"/>
  <c r="AF14" i="85"/>
  <c r="AC14" i="85"/>
  <c r="Z14" i="85"/>
  <c r="AS13" i="85"/>
  <c r="AF13" i="85"/>
  <c r="AC13" i="85"/>
  <c r="Z13" i="85"/>
  <c r="AS12" i="85"/>
  <c r="AF12" i="85"/>
  <c r="AC12" i="85"/>
  <c r="Z12" i="85"/>
  <c r="AS11" i="85"/>
  <c r="AF11" i="85"/>
  <c r="AS10" i="85"/>
  <c r="AF10" i="85"/>
  <c r="AC10" i="85"/>
  <c r="Z10" i="85"/>
  <c r="AF9" i="85"/>
  <c r="AC9" i="85"/>
  <c r="Z9" i="85"/>
  <c r="U66" i="84"/>
  <c r="N66" i="84"/>
  <c r="J66" i="84"/>
  <c r="I66" i="84"/>
  <c r="G66" i="84"/>
  <c r="D66" i="84"/>
  <c r="C66" i="84"/>
  <c r="U65" i="84"/>
  <c r="N65" i="84"/>
  <c r="I65" i="84"/>
  <c r="G65" i="84"/>
  <c r="D65" i="84"/>
  <c r="C65" i="84"/>
  <c r="U64" i="84"/>
  <c r="N64" i="84"/>
  <c r="J64" i="84"/>
  <c r="I64" i="84"/>
  <c r="G64" i="84"/>
  <c r="D64" i="84"/>
  <c r="C64" i="84"/>
  <c r="H66" i="84"/>
  <c r="H64" i="84"/>
  <c r="AE21" i="81"/>
  <c r="AD21" i="81"/>
  <c r="AB21" i="81"/>
  <c r="AA21" i="81"/>
  <c r="Y21" i="81"/>
  <c r="X21" i="81"/>
  <c r="U21" i="81"/>
  <c r="J21" i="81"/>
  <c r="I21" i="81"/>
  <c r="D21" i="81"/>
  <c r="C21" i="81"/>
  <c r="B12" i="111" s="1"/>
  <c r="AF20" i="81"/>
  <c r="AC20" i="81"/>
  <c r="Z20" i="81"/>
  <c r="AF19" i="81"/>
  <c r="AC19" i="81"/>
  <c r="AF18" i="81"/>
  <c r="AC18" i="81"/>
  <c r="AF17" i="81"/>
  <c r="AC17" i="81"/>
  <c r="AF16" i="81"/>
  <c r="AC16" i="81"/>
  <c r="AF15" i="81"/>
  <c r="AC15" i="81"/>
  <c r="Z15" i="81"/>
  <c r="AF14" i="81"/>
  <c r="AC14" i="81"/>
  <c r="Z14" i="81"/>
  <c r="AF13" i="81"/>
  <c r="AF12" i="81"/>
  <c r="AC12" i="81"/>
  <c r="AF11" i="81"/>
  <c r="AC10" i="81"/>
  <c r="AF9" i="81"/>
  <c r="AC9" i="81"/>
  <c r="AE28" i="80"/>
  <c r="AD28" i="80"/>
  <c r="AB28" i="80"/>
  <c r="AA28" i="80"/>
  <c r="Y28" i="80"/>
  <c r="X28" i="80"/>
  <c r="U28" i="80"/>
  <c r="N28" i="80"/>
  <c r="J28" i="80"/>
  <c r="G28" i="80"/>
  <c r="D28" i="80"/>
  <c r="I28" i="80"/>
  <c r="AG18" i="81" l="1"/>
  <c r="AH18" i="81" s="1"/>
  <c r="AG9" i="81"/>
  <c r="G28" i="86"/>
  <c r="AG14" i="81"/>
  <c r="M26" i="86"/>
  <c r="G21" i="81"/>
  <c r="AG15" i="81"/>
  <c r="AH15" i="81" s="1"/>
  <c r="B14" i="42"/>
  <c r="B14" i="111"/>
  <c r="AG12" i="81"/>
  <c r="AH12" i="81" s="1"/>
  <c r="AF21" i="81"/>
  <c r="E21" i="81"/>
  <c r="B13" i="42"/>
  <c r="B13" i="111"/>
  <c r="H21" i="81"/>
  <c r="AG20" i="81"/>
  <c r="AH20" i="81" s="1"/>
  <c r="B11" i="42"/>
  <c r="AG13" i="81"/>
  <c r="AH13" i="81" s="1"/>
  <c r="H52" i="84"/>
  <c r="H28" i="86"/>
  <c r="H25" i="85"/>
  <c r="AG16" i="81"/>
  <c r="AH16" i="81" s="1"/>
  <c r="AG10" i="81"/>
  <c r="B10" i="42"/>
  <c r="B10" i="111"/>
  <c r="C12" i="42"/>
  <c r="C16" i="42" s="1"/>
  <c r="C11" i="111"/>
  <c r="C16" i="111" s="1"/>
  <c r="AG40" i="84"/>
  <c r="AH40" i="84" s="1"/>
  <c r="AG32" i="84"/>
  <c r="AH32" i="84" s="1"/>
  <c r="AG49" i="84"/>
  <c r="AH49" i="84" s="1"/>
  <c r="AG45" i="84"/>
  <c r="AH45" i="84" s="1"/>
  <c r="AG36" i="84"/>
  <c r="AH36" i="84" s="1"/>
  <c r="AG28" i="84"/>
  <c r="AH28" i="84" s="1"/>
  <c r="AG48" i="84"/>
  <c r="AH48" i="84" s="1"/>
  <c r="AG44" i="84"/>
  <c r="AH44" i="84" s="1"/>
  <c r="AG39" i="84"/>
  <c r="AH39" i="84" s="1"/>
  <c r="AG35" i="84"/>
  <c r="AH35" i="84" s="1"/>
  <c r="AG31" i="84"/>
  <c r="AH31" i="84" s="1"/>
  <c r="AG50" i="84"/>
  <c r="AH50" i="84" s="1"/>
  <c r="AG46" i="84"/>
  <c r="AH46" i="84" s="1"/>
  <c r="AG41" i="84"/>
  <c r="AH41" i="84" s="1"/>
  <c r="AG37" i="84"/>
  <c r="AH37" i="84" s="1"/>
  <c r="AG33" i="84"/>
  <c r="AH33" i="84" s="1"/>
  <c r="AG29" i="84"/>
  <c r="F37" i="84"/>
  <c r="L37" i="84" s="1"/>
  <c r="M37" i="84" s="1"/>
  <c r="O37" i="84" s="1"/>
  <c r="P37" i="84" s="1"/>
  <c r="AG24" i="84"/>
  <c r="AH24" i="84" s="1"/>
  <c r="AG20" i="84"/>
  <c r="AH20" i="84" s="1"/>
  <c r="AG16" i="84"/>
  <c r="AH16" i="84" s="1"/>
  <c r="AG10" i="84"/>
  <c r="AH10" i="84" s="1"/>
  <c r="AG21" i="84"/>
  <c r="AH21" i="84" s="1"/>
  <c r="AG13" i="84"/>
  <c r="AH13" i="84" s="1"/>
  <c r="AG27" i="84"/>
  <c r="AH27" i="84" s="1"/>
  <c r="AG23" i="84"/>
  <c r="AH23" i="84" s="1"/>
  <c r="AG19" i="84"/>
  <c r="AH19" i="84" s="1"/>
  <c r="AG15" i="84"/>
  <c r="AH15" i="84" s="1"/>
  <c r="AG51" i="84"/>
  <c r="AH51" i="84" s="1"/>
  <c r="AG47" i="84"/>
  <c r="AH47" i="84" s="1"/>
  <c r="AG43" i="84"/>
  <c r="AH43" i="84" s="1"/>
  <c r="AG38" i="84"/>
  <c r="AH38" i="84" s="1"/>
  <c r="AG34" i="84"/>
  <c r="AH34" i="84" s="1"/>
  <c r="AG30" i="84"/>
  <c r="AH30" i="84" s="1"/>
  <c r="AG25" i="84"/>
  <c r="AH25" i="84" s="1"/>
  <c r="AG17" i="84"/>
  <c r="AH17" i="84" s="1"/>
  <c r="AG11" i="84"/>
  <c r="AH11" i="84" s="1"/>
  <c r="AG26" i="84"/>
  <c r="AH26" i="84" s="1"/>
  <c r="AG22" i="84"/>
  <c r="AH22" i="84" s="1"/>
  <c r="AG18" i="84"/>
  <c r="AH18" i="84" s="1"/>
  <c r="AG14" i="84"/>
  <c r="AH14" i="84" s="1"/>
  <c r="AG12" i="84"/>
  <c r="AH12" i="84" s="1"/>
  <c r="M27" i="86"/>
  <c r="O27" i="86" s="1"/>
  <c r="H65" i="84"/>
  <c r="H67" i="84" s="1"/>
  <c r="M40" i="84"/>
  <c r="O40" i="84" s="1"/>
  <c r="P40" i="84" s="1"/>
  <c r="L17" i="81"/>
  <c r="M17" i="81" s="1"/>
  <c r="L9" i="81"/>
  <c r="M9" i="81" s="1"/>
  <c r="O9" i="81" s="1"/>
  <c r="F21" i="81"/>
  <c r="L19" i="81"/>
  <c r="M19" i="81" s="1"/>
  <c r="O19" i="81" s="1"/>
  <c r="K13" i="81"/>
  <c r="K21" i="81" s="1"/>
  <c r="L13" i="81"/>
  <c r="AG19" i="81"/>
  <c r="AH9" i="81"/>
  <c r="AH14" i="81"/>
  <c r="L16" i="81"/>
  <c r="M16" i="81" s="1"/>
  <c r="O16" i="81" s="1"/>
  <c r="AG11" i="81"/>
  <c r="AH11" i="81" s="1"/>
  <c r="AC21" i="81"/>
  <c r="M20" i="81"/>
  <c r="O20" i="81" s="1"/>
  <c r="P20" i="81" s="1"/>
  <c r="Q20" i="81" s="1"/>
  <c r="L10" i="81"/>
  <c r="M10" i="81" s="1"/>
  <c r="O10" i="81" s="1"/>
  <c r="AG17" i="81"/>
  <c r="AH17" i="81" s="1"/>
  <c r="M18" i="81"/>
  <c r="O18" i="81" s="1"/>
  <c r="AG18" i="86"/>
  <c r="AH18" i="86" s="1"/>
  <c r="AG19" i="86"/>
  <c r="AH19" i="86" s="1"/>
  <c r="AG27" i="86"/>
  <c r="AH27" i="86" s="1"/>
  <c r="AG10" i="86"/>
  <c r="AH10" i="86" s="1"/>
  <c r="AG14" i="86"/>
  <c r="AH14" i="86" s="1"/>
  <c r="AG12" i="86"/>
  <c r="AH12" i="86" s="1"/>
  <c r="AG26" i="86"/>
  <c r="AH26" i="86" s="1"/>
  <c r="AG11" i="86"/>
  <c r="AH11" i="86" s="1"/>
  <c r="AG23" i="86"/>
  <c r="AH23" i="86" s="1"/>
  <c r="K15" i="86"/>
  <c r="M15" i="86" s="1"/>
  <c r="S25" i="86"/>
  <c r="T25" i="86" s="1"/>
  <c r="V25" i="86" s="1"/>
  <c r="W25" i="86" s="1"/>
  <c r="AG21" i="86"/>
  <c r="AH21" i="86" s="1"/>
  <c r="AG16" i="86"/>
  <c r="AH16" i="86" s="1"/>
  <c r="L21" i="86"/>
  <c r="M21" i="86" s="1"/>
  <c r="AC28" i="86"/>
  <c r="AG9" i="86"/>
  <c r="AH9" i="86" s="1"/>
  <c r="K19" i="86"/>
  <c r="M19" i="86" s="1"/>
  <c r="M10" i="86"/>
  <c r="O10" i="86" s="1"/>
  <c r="L16" i="85"/>
  <c r="K16" i="85"/>
  <c r="AG24" i="85"/>
  <c r="AH24" i="85" s="1"/>
  <c r="AG17" i="85"/>
  <c r="AH17" i="85" s="1"/>
  <c r="J25" i="85"/>
  <c r="AG22" i="85"/>
  <c r="AH22" i="85" s="1"/>
  <c r="AG13" i="85"/>
  <c r="AH13" i="85" s="1"/>
  <c r="AF25" i="85"/>
  <c r="E25" i="85"/>
  <c r="L12" i="85"/>
  <c r="M12" i="85" s="1"/>
  <c r="L10" i="85"/>
  <c r="M10" i="85" s="1"/>
  <c r="F25" i="85"/>
  <c r="AG12" i="85"/>
  <c r="AH12" i="85" s="1"/>
  <c r="AC25" i="85"/>
  <c r="AG10" i="85"/>
  <c r="AH10" i="85" s="1"/>
  <c r="P24" i="85"/>
  <c r="L22" i="85"/>
  <c r="L15" i="85"/>
  <c r="M15" i="85" s="1"/>
  <c r="K13" i="85"/>
  <c r="L13" i="85"/>
  <c r="L11" i="85"/>
  <c r="M11" i="85" s="1"/>
  <c r="L9" i="85"/>
  <c r="AG16" i="85"/>
  <c r="AH16" i="85" s="1"/>
  <c r="AG21" i="85"/>
  <c r="AH21" i="85" s="1"/>
  <c r="K22" i="85"/>
  <c r="L21" i="85"/>
  <c r="L14" i="85"/>
  <c r="AG9" i="85"/>
  <c r="AG14" i="85"/>
  <c r="AH14" i="85" s="1"/>
  <c r="AG11" i="85"/>
  <c r="AH11" i="85" s="1"/>
  <c r="Z25" i="85"/>
  <c r="AG15" i="85"/>
  <c r="AH15" i="85" s="1"/>
  <c r="L17" i="85"/>
  <c r="M17" i="85" s="1"/>
  <c r="AG9" i="84"/>
  <c r="AH9" i="84" s="1"/>
  <c r="AH29" i="84"/>
  <c r="J28" i="84"/>
  <c r="K28" i="84"/>
  <c r="P38" i="84"/>
  <c r="R38" i="84" s="1"/>
  <c r="L20" i="84"/>
  <c r="M20" i="84" s="1"/>
  <c r="E64" i="84"/>
  <c r="L46" i="84"/>
  <c r="M46" i="84" s="1"/>
  <c r="O46" i="84" s="1"/>
  <c r="P46" i="84" s="1"/>
  <c r="AC52" i="84"/>
  <c r="M12" i="84"/>
  <c r="I67" i="84"/>
  <c r="N67" i="84"/>
  <c r="G67" i="84"/>
  <c r="U67" i="84"/>
  <c r="D67" i="84"/>
  <c r="E52" i="84"/>
  <c r="Z52" i="84"/>
  <c r="L45" i="84"/>
  <c r="O39" i="84"/>
  <c r="P39" i="84" s="1"/>
  <c r="L47" i="84"/>
  <c r="M47" i="84" s="1"/>
  <c r="L30" i="84"/>
  <c r="J30" i="84"/>
  <c r="L14" i="84"/>
  <c r="K14" i="84"/>
  <c r="J32" i="84"/>
  <c r="M32" i="84" s="1"/>
  <c r="L22" i="84"/>
  <c r="L48" i="84"/>
  <c r="L36" i="84"/>
  <c r="M36" i="84" s="1"/>
  <c r="C67" i="84"/>
  <c r="L50" i="84"/>
  <c r="M50" i="84" s="1"/>
  <c r="J25" i="84"/>
  <c r="K25" i="84"/>
  <c r="F17" i="84"/>
  <c r="F65" i="84" s="1"/>
  <c r="E65" i="84"/>
  <c r="L9" i="84"/>
  <c r="K9" i="84"/>
  <c r="F64" i="84"/>
  <c r="O41" i="84"/>
  <c r="P41" i="84" s="1"/>
  <c r="L25" i="84"/>
  <c r="AF52" i="84"/>
  <c r="M49" i="84"/>
  <c r="K43" i="84"/>
  <c r="L43" i="84"/>
  <c r="L34" i="84"/>
  <c r="M34" i="84" s="1"/>
  <c r="M29" i="84"/>
  <c r="L21" i="84"/>
  <c r="M21" i="84" s="1"/>
  <c r="L18" i="84"/>
  <c r="M18" i="84" s="1"/>
  <c r="F11" i="84"/>
  <c r="E66" i="84"/>
  <c r="L13" i="84"/>
  <c r="P35" i="84"/>
  <c r="M26" i="84"/>
  <c r="L28" i="84"/>
  <c r="J23" i="84"/>
  <c r="K23" i="84"/>
  <c r="L15" i="84"/>
  <c r="K15" i="84"/>
  <c r="L10" i="84"/>
  <c r="K10" i="84"/>
  <c r="L23" i="84"/>
  <c r="L44" i="84"/>
  <c r="M44" i="84" s="1"/>
  <c r="L27" i="84"/>
  <c r="M27" i="84" s="1"/>
  <c r="L24" i="84"/>
  <c r="K24" i="84"/>
  <c r="J24" i="84"/>
  <c r="L19" i="84"/>
  <c r="M19" i="84" s="1"/>
  <c r="L16" i="84"/>
  <c r="M16" i="84" s="1"/>
  <c r="M51" i="84"/>
  <c r="M33" i="84"/>
  <c r="M31" i="84"/>
  <c r="AH19" i="81"/>
  <c r="Z21" i="81"/>
  <c r="O12" i="81"/>
  <c r="P12" i="81" s="1"/>
  <c r="O15" i="81"/>
  <c r="P15" i="81" s="1"/>
  <c r="P14" i="81"/>
  <c r="P11" i="81"/>
  <c r="P9" i="81"/>
  <c r="L19" i="80"/>
  <c r="L16" i="80"/>
  <c r="L11" i="80"/>
  <c r="M11" i="80" s="1"/>
  <c r="L15" i="80"/>
  <c r="AG18" i="80"/>
  <c r="AH18" i="80" s="1"/>
  <c r="AG11" i="80"/>
  <c r="AH11" i="80" s="1"/>
  <c r="AG23" i="80"/>
  <c r="AH23" i="80" s="1"/>
  <c r="AG13" i="80"/>
  <c r="AH13" i="80" s="1"/>
  <c r="P18" i="80"/>
  <c r="R18" i="80" s="1"/>
  <c r="AG25" i="80"/>
  <c r="AH25" i="80" s="1"/>
  <c r="AG22" i="80"/>
  <c r="AH22" i="80" s="1"/>
  <c r="AG16" i="80"/>
  <c r="AH16" i="80" s="1"/>
  <c r="AG27" i="80"/>
  <c r="AH27" i="80" s="1"/>
  <c r="AG20" i="80"/>
  <c r="AH20" i="80" s="1"/>
  <c r="M23" i="80"/>
  <c r="O23" i="80" s="1"/>
  <c r="P23" i="80" s="1"/>
  <c r="AG26" i="80"/>
  <c r="AH26" i="80" s="1"/>
  <c r="L24" i="80"/>
  <c r="M24" i="80" s="1"/>
  <c r="L14" i="80"/>
  <c r="M14" i="80" s="1"/>
  <c r="L22" i="80"/>
  <c r="E28" i="80"/>
  <c r="AG14" i="80"/>
  <c r="AH14" i="80" s="1"/>
  <c r="AG19" i="80"/>
  <c r="AH19" i="80" s="1"/>
  <c r="AG12" i="80"/>
  <c r="AH12" i="80" s="1"/>
  <c r="AF28" i="80"/>
  <c r="AG15" i="80"/>
  <c r="AH15" i="80" s="1"/>
  <c r="AG10" i="80"/>
  <c r="AH10" i="80" s="1"/>
  <c r="AG24" i="80"/>
  <c r="AH24" i="80" s="1"/>
  <c r="AG17" i="80"/>
  <c r="AH17" i="80" s="1"/>
  <c r="Z28" i="80"/>
  <c r="AG9" i="80"/>
  <c r="AH9" i="80" s="1"/>
  <c r="L13" i="80"/>
  <c r="M13" i="80" s="1"/>
  <c r="L10" i="80"/>
  <c r="M10" i="80" s="1"/>
  <c r="AC28" i="80"/>
  <c r="M21" i="80"/>
  <c r="L25" i="80"/>
  <c r="R27" i="80"/>
  <c r="Q27" i="80"/>
  <c r="L17" i="80"/>
  <c r="M17" i="80" s="1"/>
  <c r="O26" i="80"/>
  <c r="P26" i="80" s="1"/>
  <c r="L9" i="80"/>
  <c r="M9" i="80" s="1"/>
  <c r="F28" i="80"/>
  <c r="AG21" i="80"/>
  <c r="AH21" i="80" s="1"/>
  <c r="L20" i="80"/>
  <c r="M20" i="80" s="1"/>
  <c r="L12" i="80"/>
  <c r="M12" i="80" s="1"/>
  <c r="S24" i="86"/>
  <c r="T24" i="86" s="1"/>
  <c r="V24" i="86" s="1"/>
  <c r="W24" i="86" s="1"/>
  <c r="M18" i="86"/>
  <c r="AG15" i="86"/>
  <c r="AH15" i="86" s="1"/>
  <c r="AF28" i="86"/>
  <c r="K14" i="86"/>
  <c r="O26" i="86"/>
  <c r="P26" i="86" s="1"/>
  <c r="M17" i="86"/>
  <c r="K22" i="86"/>
  <c r="M22" i="86" s="1"/>
  <c r="L12" i="86"/>
  <c r="K12" i="86"/>
  <c r="AG17" i="86"/>
  <c r="AH17" i="86" s="1"/>
  <c r="L13" i="86"/>
  <c r="M13" i="86" s="1"/>
  <c r="L11" i="86"/>
  <c r="M11" i="86" s="1"/>
  <c r="F9" i="86"/>
  <c r="E28" i="86"/>
  <c r="AG22" i="86"/>
  <c r="AH22" i="86" s="1"/>
  <c r="AG13" i="86"/>
  <c r="Z28" i="86"/>
  <c r="K20" i="86"/>
  <c r="M20" i="86" s="1"/>
  <c r="AG20" i="86"/>
  <c r="AH20" i="86" s="1"/>
  <c r="M23" i="86"/>
  <c r="L16" i="86"/>
  <c r="M16" i="86" s="1"/>
  <c r="L14" i="86"/>
  <c r="AG21" i="81" l="1"/>
  <c r="P16" i="81"/>
  <c r="P18" i="81"/>
  <c r="Q18" i="81" s="1"/>
  <c r="AH10" i="81"/>
  <c r="AH21" i="81" s="1"/>
  <c r="O17" i="81"/>
  <c r="P17" i="81"/>
  <c r="Q17" i="81" s="1"/>
  <c r="B12" i="42"/>
  <c r="B16" i="42" s="1"/>
  <c r="B11" i="111"/>
  <c r="B16" i="111" s="1"/>
  <c r="P27" i="86"/>
  <c r="R27" i="86" s="1"/>
  <c r="L21" i="81"/>
  <c r="R20" i="81"/>
  <c r="S20" i="81" s="1"/>
  <c r="T20" i="81" s="1"/>
  <c r="V20" i="81" s="1"/>
  <c r="M13" i="81"/>
  <c r="P10" i="81"/>
  <c r="R10" i="81" s="1"/>
  <c r="P19" i="81"/>
  <c r="R19" i="81" s="1"/>
  <c r="M12" i="86"/>
  <c r="O12" i="86" s="1"/>
  <c r="P12" i="86" s="1"/>
  <c r="M14" i="86"/>
  <c r="O14" i="86" s="1"/>
  <c r="P14" i="86" s="1"/>
  <c r="AG28" i="86"/>
  <c r="O21" i="86"/>
  <c r="P21" i="86" s="1"/>
  <c r="P10" i="86"/>
  <c r="R10" i="86" s="1"/>
  <c r="Q27" i="86"/>
  <c r="S27" i="86" s="1"/>
  <c r="T27" i="86" s="1"/>
  <c r="V27" i="86" s="1"/>
  <c r="W27" i="86" s="1"/>
  <c r="M16" i="85"/>
  <c r="O16" i="85" s="1"/>
  <c r="P16" i="85" s="1"/>
  <c r="M14" i="85"/>
  <c r="O14" i="85" s="1"/>
  <c r="P14" i="85" s="1"/>
  <c r="M13" i="85"/>
  <c r="O13" i="85" s="1"/>
  <c r="P13" i="85" s="1"/>
  <c r="M22" i="85"/>
  <c r="O22" i="85" s="1"/>
  <c r="P22" i="85" s="1"/>
  <c r="M21" i="85"/>
  <c r="O21" i="85" s="1"/>
  <c r="P21" i="85" s="1"/>
  <c r="O11" i="85"/>
  <c r="P11" i="85" s="1"/>
  <c r="O17" i="85"/>
  <c r="P17" i="85" s="1"/>
  <c r="O15" i="85"/>
  <c r="P15" i="85" s="1"/>
  <c r="O12" i="85"/>
  <c r="P12" i="85" s="1"/>
  <c r="O10" i="85"/>
  <c r="P10" i="85" s="1"/>
  <c r="K25" i="85"/>
  <c r="AG25" i="85"/>
  <c r="M9" i="85"/>
  <c r="R24" i="85"/>
  <c r="Q24" i="85"/>
  <c r="AH9" i="85"/>
  <c r="AH25" i="85" s="1"/>
  <c r="L25" i="85"/>
  <c r="M48" i="84"/>
  <c r="O48" i="84" s="1"/>
  <c r="P48" i="84" s="1"/>
  <c r="Q38" i="84"/>
  <c r="S38" i="84" s="1"/>
  <c r="T38" i="84" s="1"/>
  <c r="V38" i="84" s="1"/>
  <c r="W38" i="84" s="1"/>
  <c r="M10" i="84"/>
  <c r="O10" i="84" s="1"/>
  <c r="P10" i="84" s="1"/>
  <c r="M15" i="84"/>
  <c r="O15" i="84" s="1"/>
  <c r="P15" i="84" s="1"/>
  <c r="M45" i="84"/>
  <c r="O45" i="84" s="1"/>
  <c r="P45" i="84" s="1"/>
  <c r="M14" i="84"/>
  <c r="O14" i="84" s="1"/>
  <c r="P14" i="84" s="1"/>
  <c r="F52" i="84"/>
  <c r="M9" i="84"/>
  <c r="M23" i="84"/>
  <c r="O23" i="84" s="1"/>
  <c r="P23" i="84" s="1"/>
  <c r="M43" i="84"/>
  <c r="O43" i="84" s="1"/>
  <c r="P43" i="84" s="1"/>
  <c r="M22" i="84"/>
  <c r="O22" i="84" s="1"/>
  <c r="P22" i="84" s="1"/>
  <c r="M24" i="84"/>
  <c r="O24" i="84" s="1"/>
  <c r="P24" i="84" s="1"/>
  <c r="M28" i="84"/>
  <c r="O28" i="84" s="1"/>
  <c r="P28" i="84" s="1"/>
  <c r="M30" i="84"/>
  <c r="O30" i="84" s="1"/>
  <c r="P30" i="84" s="1"/>
  <c r="M25" i="84"/>
  <c r="O25" i="84" s="1"/>
  <c r="P25" i="84" s="1"/>
  <c r="O18" i="84"/>
  <c r="P18" i="84" s="1"/>
  <c r="O50" i="84"/>
  <c r="P50" i="84" s="1"/>
  <c r="O47" i="84"/>
  <c r="P47" i="84" s="1"/>
  <c r="O27" i="84"/>
  <c r="P27" i="84" s="1"/>
  <c r="Q40" i="84"/>
  <c r="R40" i="84"/>
  <c r="Q46" i="84"/>
  <c r="R46" i="84"/>
  <c r="O51" i="84"/>
  <c r="P51" i="84" s="1"/>
  <c r="O44" i="84"/>
  <c r="P44" i="84" s="1"/>
  <c r="Q35" i="84"/>
  <c r="R35" i="84"/>
  <c r="O34" i="84"/>
  <c r="P34" i="84" s="1"/>
  <c r="L64" i="84"/>
  <c r="O36" i="84"/>
  <c r="P36" i="84" s="1"/>
  <c r="O32" i="84"/>
  <c r="P32" i="84" s="1"/>
  <c r="O16" i="84"/>
  <c r="P16" i="84" s="1"/>
  <c r="E67" i="84"/>
  <c r="Q41" i="84"/>
  <c r="R41" i="84"/>
  <c r="O33" i="84"/>
  <c r="P33" i="84" s="1"/>
  <c r="L11" i="84"/>
  <c r="L66" i="84" s="1"/>
  <c r="K11" i="84"/>
  <c r="K66" i="84" s="1"/>
  <c r="F66" i="84"/>
  <c r="F67" i="84" s="1"/>
  <c r="O49" i="84"/>
  <c r="P49" i="84" s="1"/>
  <c r="L17" i="84"/>
  <c r="M17" i="84" s="1"/>
  <c r="O19" i="84"/>
  <c r="P19" i="84" s="1"/>
  <c r="AH52" i="84"/>
  <c r="Q39" i="84"/>
  <c r="R39" i="84"/>
  <c r="O31" i="84"/>
  <c r="P31" i="84" s="1"/>
  <c r="O20" i="84"/>
  <c r="P20" i="84" s="1"/>
  <c r="O21" i="84"/>
  <c r="P21" i="84" s="1"/>
  <c r="Q37" i="84"/>
  <c r="R37" i="84"/>
  <c r="O12" i="84"/>
  <c r="P12" i="84" s="1"/>
  <c r="AG52" i="84"/>
  <c r="J52" i="84"/>
  <c r="J65" i="84"/>
  <c r="J67" i="84" s="1"/>
  <c r="O26" i="84"/>
  <c r="P26" i="84" s="1"/>
  <c r="M13" i="84"/>
  <c r="O29" i="84"/>
  <c r="P29" i="84" s="1"/>
  <c r="K64" i="84"/>
  <c r="K65" i="84"/>
  <c r="Q19" i="81"/>
  <c r="R17" i="81"/>
  <c r="Q14" i="81"/>
  <c r="R14" i="81"/>
  <c r="R12" i="81"/>
  <c r="Q12" i="81"/>
  <c r="Q9" i="81"/>
  <c r="R9" i="81"/>
  <c r="R15" i="81"/>
  <c r="Q15" i="81"/>
  <c r="Q11" i="81"/>
  <c r="R11" i="81"/>
  <c r="R16" i="81"/>
  <c r="Q16" i="81"/>
  <c r="Q10" i="81"/>
  <c r="M19" i="80"/>
  <c r="O19" i="80" s="1"/>
  <c r="P19" i="80" s="1"/>
  <c r="M16" i="80"/>
  <c r="O16" i="80" s="1"/>
  <c r="P16" i="80" s="1"/>
  <c r="K12" i="42"/>
  <c r="N12" i="42" s="1"/>
  <c r="S27" i="80"/>
  <c r="T27" i="80" s="1"/>
  <c r="V27" i="80" s="1"/>
  <c r="K28" i="80"/>
  <c r="Q18" i="80"/>
  <c r="S18" i="80" s="1"/>
  <c r="M22" i="80"/>
  <c r="O22" i="80" s="1"/>
  <c r="P22" i="80" s="1"/>
  <c r="O24" i="80"/>
  <c r="P24" i="80" s="1"/>
  <c r="M15" i="80"/>
  <c r="O15" i="80" s="1"/>
  <c r="P15" i="80" s="1"/>
  <c r="M25" i="80"/>
  <c r="O25" i="80" s="1"/>
  <c r="P25" i="80" s="1"/>
  <c r="O11" i="80"/>
  <c r="P11" i="80" s="1"/>
  <c r="Q11" i="80" s="1"/>
  <c r="O13" i="80"/>
  <c r="P13" i="80" s="1"/>
  <c r="O10" i="80"/>
  <c r="P10" i="80" s="1"/>
  <c r="O20" i="80"/>
  <c r="P20" i="80" s="1"/>
  <c r="R26" i="80"/>
  <c r="Q26" i="80"/>
  <c r="O17" i="80"/>
  <c r="P17" i="80" s="1"/>
  <c r="Q23" i="80"/>
  <c r="R23" i="80"/>
  <c r="O12" i="80"/>
  <c r="P12" i="80" s="1"/>
  <c r="AH28" i="80"/>
  <c r="O14" i="80"/>
  <c r="P14" i="80" s="1"/>
  <c r="O9" i="80"/>
  <c r="P9" i="80" s="1"/>
  <c r="O21" i="80"/>
  <c r="P21" i="80" s="1"/>
  <c r="AG28" i="80"/>
  <c r="L28" i="80"/>
  <c r="O20" i="86"/>
  <c r="P20" i="86" s="1"/>
  <c r="O22" i="86"/>
  <c r="P22" i="86" s="1"/>
  <c r="O16" i="86"/>
  <c r="P16" i="86" s="1"/>
  <c r="O13" i="86"/>
  <c r="P13" i="86" s="1"/>
  <c r="R26" i="86"/>
  <c r="Q26" i="86"/>
  <c r="O11" i="86"/>
  <c r="P11" i="86" s="1"/>
  <c r="AH13" i="86"/>
  <c r="AH28" i="86" s="1"/>
  <c r="L9" i="86"/>
  <c r="L28" i="86" s="1"/>
  <c r="F28" i="86"/>
  <c r="K28" i="86"/>
  <c r="O23" i="86"/>
  <c r="P23" i="86" s="1"/>
  <c r="O15" i="86"/>
  <c r="P15" i="86" s="1"/>
  <c r="O17" i="86"/>
  <c r="P17" i="86" s="1"/>
  <c r="O19" i="86"/>
  <c r="P19" i="86" s="1"/>
  <c r="O18" i="86"/>
  <c r="P18" i="86" s="1"/>
  <c r="R18" i="81" l="1"/>
  <c r="K10" i="42"/>
  <c r="K10" i="111"/>
  <c r="K11" i="42"/>
  <c r="N11" i="42" s="1"/>
  <c r="K12" i="111"/>
  <c r="Q12" i="111" s="1"/>
  <c r="K15" i="111"/>
  <c r="Q15" i="111" s="1"/>
  <c r="K15" i="42"/>
  <c r="N15" i="42" s="1"/>
  <c r="K13" i="42"/>
  <c r="N13" i="42" s="1"/>
  <c r="K13" i="111"/>
  <c r="Q13" i="111" s="1"/>
  <c r="K14" i="42"/>
  <c r="K14" i="111"/>
  <c r="Q14" i="111" s="1"/>
  <c r="N10" i="42"/>
  <c r="O13" i="81"/>
  <c r="O21" i="81" s="1"/>
  <c r="M21" i="81"/>
  <c r="N14" i="42"/>
  <c r="Q10" i="86"/>
  <c r="S10" i="86" s="1"/>
  <c r="T10" i="86" s="1"/>
  <c r="V10" i="86" s="1"/>
  <c r="AI10" i="86" s="1"/>
  <c r="S26" i="86"/>
  <c r="T26" i="86" s="1"/>
  <c r="V26" i="86" s="1"/>
  <c r="W26" i="86" s="1"/>
  <c r="Q21" i="86"/>
  <c r="R21" i="86"/>
  <c r="Q14" i="85"/>
  <c r="R14" i="85"/>
  <c r="Q12" i="85"/>
  <c r="R12" i="85"/>
  <c r="R22" i="85"/>
  <c r="Q22" i="85"/>
  <c r="R13" i="85"/>
  <c r="Q13" i="85"/>
  <c r="R15" i="85"/>
  <c r="Q15" i="85"/>
  <c r="R11" i="85"/>
  <c r="Q11" i="85"/>
  <c r="Q10" i="85"/>
  <c r="R10" i="85"/>
  <c r="S24" i="85"/>
  <c r="T24" i="85" s="1"/>
  <c r="Q21" i="85"/>
  <c r="R21" i="85"/>
  <c r="Q16" i="85"/>
  <c r="R16" i="85"/>
  <c r="O9" i="85"/>
  <c r="O25" i="85" s="1"/>
  <c r="M25" i="85"/>
  <c r="R17" i="85"/>
  <c r="Q17" i="85"/>
  <c r="M64" i="84"/>
  <c r="O9" i="84"/>
  <c r="P9" i="84" s="1"/>
  <c r="P64" i="84" s="1"/>
  <c r="S40" i="84"/>
  <c r="T40" i="84" s="1"/>
  <c r="V40" i="84" s="1"/>
  <c r="W40" i="84" s="1"/>
  <c r="L65" i="84"/>
  <c r="L67" i="84" s="1"/>
  <c r="S41" i="84"/>
  <c r="T41" i="84" s="1"/>
  <c r="V41" i="84" s="1"/>
  <c r="W41" i="84" s="1"/>
  <c r="S35" i="84"/>
  <c r="T35" i="84" s="1"/>
  <c r="V35" i="84" s="1"/>
  <c r="S46" i="84"/>
  <c r="T46" i="84" s="1"/>
  <c r="V46" i="84" s="1"/>
  <c r="S39" i="84"/>
  <c r="T39" i="84" s="1"/>
  <c r="V39" i="84" s="1"/>
  <c r="W39" i="84" s="1"/>
  <c r="R14" i="84"/>
  <c r="Q14" i="84"/>
  <c r="Q47" i="84"/>
  <c r="R47" i="84"/>
  <c r="AK38" i="84"/>
  <c r="AL38" i="84" s="1"/>
  <c r="AI38" i="84"/>
  <c r="Q16" i="84"/>
  <c r="R16" i="84"/>
  <c r="R30" i="84"/>
  <c r="Q30" i="84"/>
  <c r="Q32" i="84"/>
  <c r="R32" i="84"/>
  <c r="Q45" i="84"/>
  <c r="R45" i="84"/>
  <c r="R18" i="84"/>
  <c r="Q18" i="84"/>
  <c r="Q12" i="84"/>
  <c r="R12" i="84"/>
  <c r="R33" i="84"/>
  <c r="Q33" i="84"/>
  <c r="Q24" i="84"/>
  <c r="R24" i="84"/>
  <c r="Q29" i="84"/>
  <c r="R29" i="84"/>
  <c r="R23" i="84"/>
  <c r="Q23" i="84"/>
  <c r="Q25" i="84"/>
  <c r="R25" i="84"/>
  <c r="R36" i="84"/>
  <c r="Q36" i="84"/>
  <c r="Q10" i="84"/>
  <c r="R10" i="84"/>
  <c r="Q20" i="84"/>
  <c r="R20" i="84"/>
  <c r="R19" i="84"/>
  <c r="Q19" i="84"/>
  <c r="Q34" i="84"/>
  <c r="R34" i="84"/>
  <c r="Q51" i="84"/>
  <c r="R51" i="84"/>
  <c r="K67" i="84"/>
  <c r="O13" i="84"/>
  <c r="M65" i="84"/>
  <c r="Q21" i="84"/>
  <c r="R21" i="84"/>
  <c r="R49" i="84"/>
  <c r="Q49" i="84"/>
  <c r="Q22" i="84"/>
  <c r="R22" i="84"/>
  <c r="R27" i="84"/>
  <c r="Q27" i="84"/>
  <c r="Q50" i="84"/>
  <c r="R50" i="84"/>
  <c r="K52" i="84"/>
  <c r="Q26" i="84"/>
  <c r="R26" i="84"/>
  <c r="M11" i="84"/>
  <c r="L52" i="84"/>
  <c r="O17" i="84"/>
  <c r="P17" i="84" s="1"/>
  <c r="Q43" i="84"/>
  <c r="R43" i="84"/>
  <c r="R15" i="84"/>
  <c r="Q15" i="84"/>
  <c r="S37" i="84"/>
  <c r="T37" i="84" s="1"/>
  <c r="V37" i="84" s="1"/>
  <c r="W37" i="84" s="1"/>
  <c r="Q31" i="84"/>
  <c r="R31" i="84"/>
  <c r="R48" i="84"/>
  <c r="Q48" i="84"/>
  <c r="R44" i="84"/>
  <c r="Q44" i="84"/>
  <c r="Q28" i="84"/>
  <c r="R28" i="84"/>
  <c r="AK27" i="80"/>
  <c r="AJ27" i="80"/>
  <c r="AM27" i="80"/>
  <c r="W27" i="80"/>
  <c r="S17" i="81"/>
  <c r="T17" i="81" s="1"/>
  <c r="V17" i="81" s="1"/>
  <c r="W20" i="81"/>
  <c r="AK20" i="81"/>
  <c r="AL20" i="81" s="1"/>
  <c r="AI20" i="81"/>
  <c r="S19" i="81"/>
  <c r="T19" i="81" s="1"/>
  <c r="V19" i="81" s="1"/>
  <c r="S11" i="81"/>
  <c r="T11" i="81" s="1"/>
  <c r="V11" i="81" s="1"/>
  <c r="W11" i="81" s="1"/>
  <c r="S9" i="81"/>
  <c r="T9" i="81" s="1"/>
  <c r="V9" i="81" s="1"/>
  <c r="AN9" i="81" s="1"/>
  <c r="S15" i="81"/>
  <c r="T15" i="81" s="1"/>
  <c r="V15" i="81" s="1"/>
  <c r="AI15" i="81" s="1"/>
  <c r="S18" i="81"/>
  <c r="T18" i="81" s="1"/>
  <c r="V18" i="81" s="1"/>
  <c r="S14" i="81"/>
  <c r="T14" i="81" s="1"/>
  <c r="V14" i="81" s="1"/>
  <c r="S12" i="81"/>
  <c r="T12" i="81" s="1"/>
  <c r="V12" i="81" s="1"/>
  <c r="AI12" i="81" s="1"/>
  <c r="S16" i="81"/>
  <c r="T16" i="81" s="1"/>
  <c r="V16" i="81" s="1"/>
  <c r="S10" i="81"/>
  <c r="AI27" i="80"/>
  <c r="S26" i="80"/>
  <c r="T26" i="80" s="1"/>
  <c r="V26" i="80" s="1"/>
  <c r="T18" i="80"/>
  <c r="V18" i="80" s="1"/>
  <c r="R11" i="80"/>
  <c r="S11" i="80" s="1"/>
  <c r="T11" i="80" s="1"/>
  <c r="V11" i="80" s="1"/>
  <c r="R24" i="80"/>
  <c r="Q24" i="80"/>
  <c r="M28" i="80"/>
  <c r="R21" i="80"/>
  <c r="Q21" i="80"/>
  <c r="Q14" i="80"/>
  <c r="R14" i="80"/>
  <c r="R25" i="80"/>
  <c r="Q25" i="80"/>
  <c r="R16" i="80"/>
  <c r="Q16" i="80"/>
  <c r="R20" i="80"/>
  <c r="Q20" i="80"/>
  <c r="Q15" i="80"/>
  <c r="R15" i="80"/>
  <c r="R17" i="80"/>
  <c r="Q17" i="80"/>
  <c r="O28" i="80"/>
  <c r="S23" i="80"/>
  <c r="T23" i="80" s="1"/>
  <c r="V23" i="80" s="1"/>
  <c r="Q19" i="80"/>
  <c r="R19" i="80"/>
  <c r="R22" i="80"/>
  <c r="Q22" i="80"/>
  <c r="Q10" i="80"/>
  <c r="R10" i="80"/>
  <c r="R9" i="80"/>
  <c r="Q9" i="80"/>
  <c r="P28" i="80"/>
  <c r="R12" i="80"/>
  <c r="Q12" i="80"/>
  <c r="R13" i="80"/>
  <c r="Q13" i="80"/>
  <c r="M9" i="86"/>
  <c r="O9" i="86" s="1"/>
  <c r="O28" i="86" s="1"/>
  <c r="Q17" i="86"/>
  <c r="R17" i="86"/>
  <c r="Q13" i="86"/>
  <c r="R13" i="86"/>
  <c r="R16" i="86"/>
  <c r="Q16" i="86"/>
  <c r="AK27" i="86"/>
  <c r="AL27" i="86" s="1"/>
  <c r="AI27" i="86"/>
  <c r="Q23" i="86"/>
  <c r="R23" i="86"/>
  <c r="R22" i="86"/>
  <c r="Q22" i="86"/>
  <c r="R18" i="86"/>
  <c r="Q18" i="86"/>
  <c r="Q19" i="86"/>
  <c r="R19" i="86"/>
  <c r="Q11" i="86"/>
  <c r="R11" i="86"/>
  <c r="Q15" i="86"/>
  <c r="R15" i="86"/>
  <c r="R12" i="86"/>
  <c r="Q12" i="86"/>
  <c r="R14" i="86"/>
  <c r="Q14" i="86"/>
  <c r="R20" i="86"/>
  <c r="Q20" i="86"/>
  <c r="W12" i="111" l="1"/>
  <c r="K16" i="42"/>
  <c r="V24" i="85"/>
  <c r="W24" i="85" s="1"/>
  <c r="Q10" i="111"/>
  <c r="K16" i="111"/>
  <c r="N16" i="42"/>
  <c r="P13" i="81"/>
  <c r="M28" i="86"/>
  <c r="AI26" i="86"/>
  <c r="AK26" i="86"/>
  <c r="AL26" i="86" s="1"/>
  <c r="S17" i="86"/>
  <c r="T17" i="86" s="1"/>
  <c r="V17" i="86" s="1"/>
  <c r="W17" i="86" s="1"/>
  <c r="S21" i="86"/>
  <c r="T21" i="86" s="1"/>
  <c r="V21" i="86" s="1"/>
  <c r="W21" i="86" s="1"/>
  <c r="S18" i="86"/>
  <c r="T18" i="86" s="1"/>
  <c r="V18" i="86" s="1"/>
  <c r="W18" i="86" s="1"/>
  <c r="S16" i="86"/>
  <c r="T16" i="86" s="1"/>
  <c r="V16" i="86" s="1"/>
  <c r="W16" i="86" s="1"/>
  <c r="S22" i="86"/>
  <c r="T22" i="86" s="1"/>
  <c r="V22" i="86" s="1"/>
  <c r="W22" i="86" s="1"/>
  <c r="S16" i="85"/>
  <c r="T16" i="85" s="1"/>
  <c r="V16" i="85" s="1"/>
  <c r="W16" i="85" s="1"/>
  <c r="S10" i="85"/>
  <c r="T10" i="85" s="1"/>
  <c r="S22" i="85"/>
  <c r="T22" i="85" s="1"/>
  <c r="V22" i="85" s="1"/>
  <c r="W22" i="85" s="1"/>
  <c r="P9" i="85"/>
  <c r="R9" i="85" s="1"/>
  <c r="R25" i="85" s="1"/>
  <c r="S15" i="85"/>
  <c r="T15" i="85" s="1"/>
  <c r="V15" i="85" s="1"/>
  <c r="W15" i="85" s="1"/>
  <c r="S12" i="85"/>
  <c r="T12" i="85" s="1"/>
  <c r="V12" i="85" s="1"/>
  <c r="W12" i="85" s="1"/>
  <c r="S14" i="85"/>
  <c r="T14" i="85" s="1"/>
  <c r="V14" i="85" s="1"/>
  <c r="W14" i="85" s="1"/>
  <c r="AI24" i="85"/>
  <c r="AK24" i="85"/>
  <c r="S21" i="85"/>
  <c r="T21" i="85" s="1"/>
  <c r="V21" i="85" s="1"/>
  <c r="W21" i="85" s="1"/>
  <c r="S11" i="85"/>
  <c r="T11" i="85" s="1"/>
  <c r="V11" i="85" s="1"/>
  <c r="S13" i="85"/>
  <c r="T13" i="85" s="1"/>
  <c r="V13" i="85" s="1"/>
  <c r="W13" i="85" s="1"/>
  <c r="S17" i="85"/>
  <c r="T17" i="85" s="1"/>
  <c r="V17" i="85" s="1"/>
  <c r="W17" i="85" s="1"/>
  <c r="AK46" i="84"/>
  <c r="AL46" i="84" s="1"/>
  <c r="W46" i="84"/>
  <c r="AI35" i="84"/>
  <c r="W35" i="84"/>
  <c r="O64" i="84"/>
  <c r="Q9" i="84"/>
  <c r="Q64" i="84" s="1"/>
  <c r="R9" i="84"/>
  <c r="R64" i="84" s="1"/>
  <c r="AI40" i="84"/>
  <c r="AK35" i="84"/>
  <c r="AL35" i="84" s="1"/>
  <c r="S49" i="84"/>
  <c r="T49" i="84" s="1"/>
  <c r="V49" i="84" s="1"/>
  <c r="W49" i="84" s="1"/>
  <c r="S14" i="84"/>
  <c r="T14" i="84" s="1"/>
  <c r="V14" i="84" s="1"/>
  <c r="S48" i="84"/>
  <c r="S33" i="84"/>
  <c r="T33" i="84" s="1"/>
  <c r="V33" i="84" s="1"/>
  <c r="S23" i="84"/>
  <c r="T23" i="84" s="1"/>
  <c r="V23" i="84" s="1"/>
  <c r="W23" i="84" s="1"/>
  <c r="AI46" i="84"/>
  <c r="S29" i="84"/>
  <c r="T29" i="84" s="1"/>
  <c r="V29" i="84" s="1"/>
  <c r="S21" i="84"/>
  <c r="T21" i="84" s="1"/>
  <c r="V21" i="84" s="1"/>
  <c r="S45" i="84"/>
  <c r="T45" i="84" s="1"/>
  <c r="V45" i="84" s="1"/>
  <c r="W45" i="84" s="1"/>
  <c r="S44" i="84"/>
  <c r="T44" i="84" s="1"/>
  <c r="V44" i="84" s="1"/>
  <c r="W44" i="84" s="1"/>
  <c r="T48" i="84"/>
  <c r="V48" i="84" s="1"/>
  <c r="S31" i="84"/>
  <c r="T31" i="84" s="1"/>
  <c r="V31" i="84" s="1"/>
  <c r="W31" i="84" s="1"/>
  <c r="S20" i="84"/>
  <c r="T20" i="84" s="1"/>
  <c r="V20" i="84" s="1"/>
  <c r="S24" i="84"/>
  <c r="T24" i="84" s="1"/>
  <c r="V24" i="84" s="1"/>
  <c r="W24" i="84" s="1"/>
  <c r="S16" i="84"/>
  <c r="T16" i="84" s="1"/>
  <c r="V16" i="84" s="1"/>
  <c r="S26" i="84"/>
  <c r="T26" i="84" s="1"/>
  <c r="V26" i="84" s="1"/>
  <c r="W26" i="84" s="1"/>
  <c r="S22" i="84"/>
  <c r="T22" i="84" s="1"/>
  <c r="V22" i="84" s="1"/>
  <c r="W22" i="84" s="1"/>
  <c r="AK39" i="84"/>
  <c r="AL39" i="84" s="1"/>
  <c r="AI39" i="84"/>
  <c r="S12" i="84"/>
  <c r="T12" i="84" s="1"/>
  <c r="V12" i="84" s="1"/>
  <c r="S50" i="84"/>
  <c r="T50" i="84" s="1"/>
  <c r="V50" i="84" s="1"/>
  <c r="W50" i="84" s="1"/>
  <c r="AK40" i="84"/>
  <c r="AL40" i="84" s="1"/>
  <c r="S30" i="84"/>
  <c r="T30" i="84" s="1"/>
  <c r="V30" i="84" s="1"/>
  <c r="W30" i="84" s="1"/>
  <c r="S19" i="84"/>
  <c r="T19" i="84" s="1"/>
  <c r="V19" i="84" s="1"/>
  <c r="W19" i="84" s="1"/>
  <c r="S36" i="84"/>
  <c r="T36" i="84" s="1"/>
  <c r="V36" i="84" s="1"/>
  <c r="W36" i="84" s="1"/>
  <c r="S47" i="84"/>
  <c r="T47" i="84" s="1"/>
  <c r="V47" i="84" s="1"/>
  <c r="W47" i="84" s="1"/>
  <c r="S28" i="84"/>
  <c r="T28" i="84" s="1"/>
  <c r="V28" i="84" s="1"/>
  <c r="S27" i="84"/>
  <c r="T27" i="84" s="1"/>
  <c r="V27" i="84" s="1"/>
  <c r="W27" i="84" s="1"/>
  <c r="O65" i="84"/>
  <c r="S34" i="84"/>
  <c r="T34" i="84" s="1"/>
  <c r="V34" i="84" s="1"/>
  <c r="S10" i="84"/>
  <c r="T10" i="84" s="1"/>
  <c r="V10" i="84" s="1"/>
  <c r="S25" i="84"/>
  <c r="T25" i="84" s="1"/>
  <c r="V25" i="84" s="1"/>
  <c r="O11" i="84"/>
  <c r="P11" i="84" s="1"/>
  <c r="M66" i="84"/>
  <c r="M67" i="84" s="1"/>
  <c r="M52" i="84"/>
  <c r="S15" i="84"/>
  <c r="T15" i="84" s="1"/>
  <c r="V15" i="84" s="1"/>
  <c r="R17" i="84"/>
  <c r="Q17" i="84"/>
  <c r="P13" i="84"/>
  <c r="S18" i="84"/>
  <c r="T18" i="84" s="1"/>
  <c r="V18" i="84" s="1"/>
  <c r="W18" i="84" s="1"/>
  <c r="S43" i="84"/>
  <c r="T43" i="84" s="1"/>
  <c r="V43" i="84" s="1"/>
  <c r="AK41" i="84"/>
  <c r="AL41" i="84" s="1"/>
  <c r="AI41" i="84"/>
  <c r="S51" i="84"/>
  <c r="T51" i="84" s="1"/>
  <c r="V51" i="84" s="1"/>
  <c r="S32" i="84"/>
  <c r="T32" i="84" s="1"/>
  <c r="V32" i="84" s="1"/>
  <c r="AI37" i="84"/>
  <c r="AK37" i="84"/>
  <c r="AL37" i="84" s="1"/>
  <c r="AK23" i="80"/>
  <c r="AM23" i="80"/>
  <c r="AJ23" i="80"/>
  <c r="W23" i="80"/>
  <c r="AK18" i="80"/>
  <c r="W18" i="80"/>
  <c r="AJ18" i="80"/>
  <c r="AM18" i="80"/>
  <c r="AK11" i="80"/>
  <c r="W11" i="80"/>
  <c r="AM11" i="80"/>
  <c r="AJ11" i="80"/>
  <c r="AK26" i="80"/>
  <c r="W26" i="80"/>
  <c r="AJ26" i="80"/>
  <c r="AM26" i="80"/>
  <c r="AN27" i="80"/>
  <c r="W19" i="81"/>
  <c r="AI19" i="81"/>
  <c r="AK19" i="81"/>
  <c r="AL19" i="81" s="1"/>
  <c r="W17" i="81"/>
  <c r="AK17" i="81"/>
  <c r="AL17" i="81" s="1"/>
  <c r="AI17" i="81"/>
  <c r="W15" i="81"/>
  <c r="AK15" i="81"/>
  <c r="AL15" i="81" s="1"/>
  <c r="AK9" i="81"/>
  <c r="W12" i="81"/>
  <c r="AK12" i="81"/>
  <c r="AL12" i="81" s="1"/>
  <c r="AI11" i="81"/>
  <c r="AK11" i="81"/>
  <c r="AL11" i="81" s="1"/>
  <c r="W14" i="81"/>
  <c r="AI14" i="81"/>
  <c r="AK14" i="81"/>
  <c r="AL14" i="81" s="1"/>
  <c r="W18" i="81"/>
  <c r="AK18" i="81"/>
  <c r="AL18" i="81" s="1"/>
  <c r="AI18" i="81"/>
  <c r="AI9" i="81"/>
  <c r="W16" i="81"/>
  <c r="AK16" i="81"/>
  <c r="AL16" i="81" s="1"/>
  <c r="AI16" i="81"/>
  <c r="T10" i="81"/>
  <c r="V10" i="81" s="1"/>
  <c r="AN10" i="81" s="1"/>
  <c r="AI11" i="80"/>
  <c r="AI23" i="80"/>
  <c r="AI18" i="80"/>
  <c r="AI26" i="80"/>
  <c r="S22" i="80"/>
  <c r="T22" i="80" s="1"/>
  <c r="V22" i="80" s="1"/>
  <c r="S17" i="80"/>
  <c r="T17" i="80" s="1"/>
  <c r="V17" i="80" s="1"/>
  <c r="S12" i="80"/>
  <c r="T12" i="80" s="1"/>
  <c r="V12" i="80" s="1"/>
  <c r="S19" i="80"/>
  <c r="T19" i="80" s="1"/>
  <c r="V19" i="80" s="1"/>
  <c r="S24" i="80"/>
  <c r="T24" i="80" s="1"/>
  <c r="V24" i="80" s="1"/>
  <c r="S10" i="80"/>
  <c r="T10" i="80" s="1"/>
  <c r="V10" i="80" s="1"/>
  <c r="S21" i="80"/>
  <c r="T21" i="80" s="1"/>
  <c r="V21" i="80" s="1"/>
  <c r="R28" i="80"/>
  <c r="S13" i="80"/>
  <c r="T13" i="80" s="1"/>
  <c r="V13" i="80" s="1"/>
  <c r="S16" i="80"/>
  <c r="T16" i="80" s="1"/>
  <c r="V16" i="80" s="1"/>
  <c r="S25" i="80"/>
  <c r="T25" i="80" s="1"/>
  <c r="V25" i="80" s="1"/>
  <c r="Q28" i="80"/>
  <c r="S15" i="80"/>
  <c r="T15" i="80" s="1"/>
  <c r="V15" i="80" s="1"/>
  <c r="S20" i="80"/>
  <c r="T20" i="80" s="1"/>
  <c r="V20" i="80" s="1"/>
  <c r="S14" i="80"/>
  <c r="T14" i="80" s="1"/>
  <c r="V14" i="80" s="1"/>
  <c r="S9" i="80"/>
  <c r="S15" i="86"/>
  <c r="T15" i="86" s="1"/>
  <c r="V15" i="86" s="1"/>
  <c r="W15" i="86" s="1"/>
  <c r="S11" i="86"/>
  <c r="T11" i="86" s="1"/>
  <c r="V11" i="86" s="1"/>
  <c r="S14" i="86"/>
  <c r="T14" i="86" s="1"/>
  <c r="V14" i="86" s="1"/>
  <c r="S12" i="86"/>
  <c r="T12" i="86" s="1"/>
  <c r="V12" i="86" s="1"/>
  <c r="W12" i="86" s="1"/>
  <c r="AK10" i="86"/>
  <c r="S19" i="86"/>
  <c r="T19" i="86" s="1"/>
  <c r="V19" i="86" s="1"/>
  <c r="W19" i="86" s="1"/>
  <c r="S23" i="86"/>
  <c r="T23" i="86" s="1"/>
  <c r="V23" i="86" s="1"/>
  <c r="W23" i="86" s="1"/>
  <c r="P9" i="86"/>
  <c r="S20" i="86"/>
  <c r="T20" i="86" s="1"/>
  <c r="V20" i="86" s="1"/>
  <c r="W20" i="86" s="1"/>
  <c r="S13" i="86"/>
  <c r="T13" i="86" s="1"/>
  <c r="V13" i="86" s="1"/>
  <c r="W13" i="86" s="1"/>
  <c r="AN10" i="84" l="1"/>
  <c r="AP10" i="84"/>
  <c r="W10" i="111"/>
  <c r="W16" i="111" s="1"/>
  <c r="Q16" i="111"/>
  <c r="AK10" i="80"/>
  <c r="AM10" i="80"/>
  <c r="AP10" i="86"/>
  <c r="AN10" i="86"/>
  <c r="AQ10" i="86" s="1"/>
  <c r="AK15" i="80"/>
  <c r="AN15" i="80" s="1"/>
  <c r="W15" i="80" s="1"/>
  <c r="AM15" i="80"/>
  <c r="AK13" i="80"/>
  <c r="AM13" i="80"/>
  <c r="AK12" i="84"/>
  <c r="AN12" i="84"/>
  <c r="W51" i="84"/>
  <c r="R13" i="81"/>
  <c r="R21" i="81" s="1"/>
  <c r="Q13" i="81"/>
  <c r="Q21" i="81" s="1"/>
  <c r="P21" i="81"/>
  <c r="AL10" i="86"/>
  <c r="AM10" i="86" s="1"/>
  <c r="W11" i="86"/>
  <c r="AK17" i="86"/>
  <c r="AL17" i="86" s="1"/>
  <c r="AK18" i="86"/>
  <c r="AL18" i="86" s="1"/>
  <c r="AI17" i="86"/>
  <c r="AI18" i="86"/>
  <c r="AI22" i="86"/>
  <c r="AI21" i="86"/>
  <c r="AK21" i="86"/>
  <c r="AL21" i="86" s="1"/>
  <c r="AK22" i="86"/>
  <c r="AL22" i="86" s="1"/>
  <c r="AL24" i="85"/>
  <c r="AP24" i="85"/>
  <c r="AN24" i="85"/>
  <c r="V10" i="85"/>
  <c r="AK16" i="85"/>
  <c r="AI16" i="85"/>
  <c r="P25" i="85"/>
  <c r="Q9" i="85"/>
  <c r="Q25" i="85" s="1"/>
  <c r="AK14" i="85"/>
  <c r="AI14" i="85"/>
  <c r="AI15" i="85"/>
  <c r="AK15" i="85"/>
  <c r="AK22" i="85"/>
  <c r="AI22" i="85"/>
  <c r="AK17" i="85"/>
  <c r="AI17" i="85"/>
  <c r="AK21" i="85"/>
  <c r="AI21" i="85"/>
  <c r="AK13" i="85"/>
  <c r="AI13" i="85"/>
  <c r="AK11" i="85"/>
  <c r="AN11" i="85" s="1"/>
  <c r="AI11" i="85"/>
  <c r="AK12" i="85"/>
  <c r="AI12" i="85"/>
  <c r="AK48" i="84"/>
  <c r="AL48" i="84" s="1"/>
  <c r="W48" i="84"/>
  <c r="AI25" i="84"/>
  <c r="W25" i="84"/>
  <c r="AK33" i="84"/>
  <c r="AL33" i="84" s="1"/>
  <c r="W33" i="84"/>
  <c r="S9" i="84"/>
  <c r="S64" i="84" s="1"/>
  <c r="AI20" i="84"/>
  <c r="AK49" i="84"/>
  <c r="AL49" i="84" s="1"/>
  <c r="AK47" i="84"/>
  <c r="AL47" i="84" s="1"/>
  <c r="AI49" i="84"/>
  <c r="AK20" i="84"/>
  <c r="AI21" i="84"/>
  <c r="AK21" i="84"/>
  <c r="AK23" i="84"/>
  <c r="AL23" i="84" s="1"/>
  <c r="AI23" i="84"/>
  <c r="AI12" i="84"/>
  <c r="AI48" i="84"/>
  <c r="AI47" i="84"/>
  <c r="AI26" i="84"/>
  <c r="S17" i="84"/>
  <c r="T17" i="84" s="1"/>
  <c r="V17" i="84" s="1"/>
  <c r="AI22" i="84"/>
  <c r="AK22" i="84"/>
  <c r="AL22" i="84" s="1"/>
  <c r="AI31" i="84"/>
  <c r="AK31" i="84"/>
  <c r="AL31" i="84" s="1"/>
  <c r="AK25" i="84"/>
  <c r="AL25" i="84" s="1"/>
  <c r="AK26" i="84"/>
  <c r="AL26" i="84" s="1"/>
  <c r="AK19" i="84"/>
  <c r="AL19" i="84" s="1"/>
  <c r="AI19" i="84"/>
  <c r="AK24" i="84"/>
  <c r="AL24" i="84" s="1"/>
  <c r="AK36" i="84"/>
  <c r="AL36" i="84" s="1"/>
  <c r="AI24" i="84"/>
  <c r="AI33" i="84"/>
  <c r="AI36" i="84"/>
  <c r="AK43" i="84"/>
  <c r="AI43" i="84"/>
  <c r="AK15" i="84"/>
  <c r="AI15" i="84"/>
  <c r="R11" i="84"/>
  <c r="Q11" i="84"/>
  <c r="P66" i="84"/>
  <c r="P52" i="84"/>
  <c r="AK30" i="84"/>
  <c r="AL30" i="84" s="1"/>
  <c r="AM30" i="84" s="1"/>
  <c r="AI30" i="84"/>
  <c r="AK34" i="84"/>
  <c r="AI34" i="84"/>
  <c r="AI45" i="84"/>
  <c r="AK45" i="84"/>
  <c r="AL45" i="84" s="1"/>
  <c r="AK32" i="84"/>
  <c r="AI32" i="84"/>
  <c r="AI27" i="84"/>
  <c r="AK27" i="84"/>
  <c r="AL27" i="84" s="1"/>
  <c r="AK28" i="84"/>
  <c r="AI28" i="84"/>
  <c r="AK10" i="84"/>
  <c r="AL10" i="84" s="1"/>
  <c r="AM10" i="84" s="1"/>
  <c r="AI10" i="84"/>
  <c r="AI44" i="84"/>
  <c r="AK44" i="84"/>
  <c r="AL44" i="84" s="1"/>
  <c r="AI18" i="84"/>
  <c r="AK18" i="84"/>
  <c r="AL18" i="84" s="1"/>
  <c r="AI51" i="84"/>
  <c r="AK14" i="84"/>
  <c r="AI14" i="84"/>
  <c r="AI29" i="84"/>
  <c r="AK29" i="84"/>
  <c r="AI50" i="84"/>
  <c r="AK50" i="84"/>
  <c r="AL50" i="84" s="1"/>
  <c r="AI16" i="84"/>
  <c r="AK16" i="84"/>
  <c r="Q13" i="84"/>
  <c r="Q65" i="84" s="1"/>
  <c r="R13" i="84"/>
  <c r="R65" i="84" s="1"/>
  <c r="P65" i="84"/>
  <c r="O66" i="84"/>
  <c r="O67" i="84" s="1"/>
  <c r="O52" i="84"/>
  <c r="AN23" i="80"/>
  <c r="AK14" i="80"/>
  <c r="AJ14" i="80"/>
  <c r="AM14" i="80"/>
  <c r="W14" i="80"/>
  <c r="AK12" i="80"/>
  <c r="AJ12" i="80"/>
  <c r="W12" i="80"/>
  <c r="AM12" i="80"/>
  <c r="AJ10" i="80"/>
  <c r="AJ13" i="80"/>
  <c r="AK24" i="80"/>
  <c r="W24" i="80"/>
  <c r="AM24" i="80"/>
  <c r="AJ24" i="80"/>
  <c r="AK22" i="80"/>
  <c r="W22" i="80"/>
  <c r="AJ22" i="80"/>
  <c r="AM22" i="80"/>
  <c r="AK25" i="80"/>
  <c r="AM25" i="80"/>
  <c r="AJ25" i="80"/>
  <c r="W25" i="80"/>
  <c r="AK21" i="80"/>
  <c r="AM21" i="80"/>
  <c r="W21" i="80"/>
  <c r="AJ21" i="80"/>
  <c r="AK20" i="80"/>
  <c r="W20" i="80"/>
  <c r="AJ20" i="80"/>
  <c r="AM20" i="80"/>
  <c r="AJ15" i="80"/>
  <c r="AK19" i="80"/>
  <c r="W19" i="80"/>
  <c r="AJ19" i="80"/>
  <c r="AM19" i="80"/>
  <c r="AN26" i="80"/>
  <c r="AN11" i="80"/>
  <c r="AN18" i="80"/>
  <c r="AK16" i="80"/>
  <c r="W16" i="80"/>
  <c r="AJ16" i="80"/>
  <c r="AM16" i="80"/>
  <c r="AK17" i="80"/>
  <c r="AM17" i="80"/>
  <c r="W17" i="80"/>
  <c r="AJ17" i="80"/>
  <c r="AP9" i="81"/>
  <c r="AQ9" i="81" s="1"/>
  <c r="W9" i="81" s="1"/>
  <c r="AL9" i="81"/>
  <c r="AM9" i="81" s="1"/>
  <c r="AI25" i="80"/>
  <c r="AI24" i="80"/>
  <c r="AI16" i="80"/>
  <c r="AI19" i="80"/>
  <c r="AI15" i="80"/>
  <c r="AI21" i="80"/>
  <c r="AI17" i="80"/>
  <c r="AI14" i="80"/>
  <c r="AI13" i="80"/>
  <c r="AI20" i="80"/>
  <c r="AI12" i="80"/>
  <c r="AI10" i="80"/>
  <c r="AI22" i="80"/>
  <c r="S28" i="80"/>
  <c r="T9" i="80"/>
  <c r="V9" i="80" s="1"/>
  <c r="AK9" i="80" s="1"/>
  <c r="AI19" i="86"/>
  <c r="AK19" i="86"/>
  <c r="AK14" i="86"/>
  <c r="AI14" i="86"/>
  <c r="AK23" i="86"/>
  <c r="AL23" i="86" s="1"/>
  <c r="AI23" i="86"/>
  <c r="AK13" i="86"/>
  <c r="AI13" i="86"/>
  <c r="AI16" i="86"/>
  <c r="AK16" i="86"/>
  <c r="AL16" i="86" s="1"/>
  <c r="AK15" i="86"/>
  <c r="AL15" i="86" s="1"/>
  <c r="AI15" i="86"/>
  <c r="AI12" i="86"/>
  <c r="AK12" i="86"/>
  <c r="AL12" i="86" s="1"/>
  <c r="AI20" i="86"/>
  <c r="AK20" i="86"/>
  <c r="AL20" i="86" s="1"/>
  <c r="Q9" i="86"/>
  <c r="Q28" i="86" s="1"/>
  <c r="P28" i="86"/>
  <c r="R9" i="86"/>
  <c r="R28" i="86" s="1"/>
  <c r="AN10" i="80" l="1"/>
  <c r="W10" i="80" s="1"/>
  <c r="AL16" i="84"/>
  <c r="AM16" i="84" s="1"/>
  <c r="AP16" i="84"/>
  <c r="AN16" i="84"/>
  <c r="AQ16" i="84" s="1"/>
  <c r="W16" i="84" s="1"/>
  <c r="AL28" i="84"/>
  <c r="AP28" i="84"/>
  <c r="AN28" i="84"/>
  <c r="AL34" i="84"/>
  <c r="AP34" i="84"/>
  <c r="AN34" i="84"/>
  <c r="AL12" i="84"/>
  <c r="AM12" i="84" s="1"/>
  <c r="AP12" i="84"/>
  <c r="AQ12" i="84" s="1"/>
  <c r="W12" i="84" s="1"/>
  <c r="AL14" i="84"/>
  <c r="AM14" i="84" s="1"/>
  <c r="AN14" i="84"/>
  <c r="AP14" i="84"/>
  <c r="AL29" i="84"/>
  <c r="AN29" i="84"/>
  <c r="AQ29" i="84" s="1"/>
  <c r="W29" i="84" s="1"/>
  <c r="AP29" i="84"/>
  <c r="AL32" i="84"/>
  <c r="AN32" i="84"/>
  <c r="AP32" i="84"/>
  <c r="AP15" i="84"/>
  <c r="AN15" i="84"/>
  <c r="AL21" i="84"/>
  <c r="AN21" i="84"/>
  <c r="AQ21" i="84" s="1"/>
  <c r="W21" i="84" s="1"/>
  <c r="AP21" i="84"/>
  <c r="AN13" i="80"/>
  <c r="W13" i="80" s="1"/>
  <c r="AN43" i="84"/>
  <c r="AP43" i="84"/>
  <c r="AL20" i="84"/>
  <c r="AM20" i="84" s="1"/>
  <c r="AN20" i="84"/>
  <c r="AP20" i="84"/>
  <c r="AK51" i="84"/>
  <c r="AL51" i="84" s="1"/>
  <c r="S13" i="81"/>
  <c r="AK11" i="86"/>
  <c r="AL11" i="86" s="1"/>
  <c r="AI11" i="86"/>
  <c r="S9" i="86"/>
  <c r="S28" i="86" s="1"/>
  <c r="AQ24" i="85"/>
  <c r="AL15" i="85"/>
  <c r="AN15" i="85"/>
  <c r="AP15" i="85"/>
  <c r="AK10" i="85"/>
  <c r="AL12" i="85"/>
  <c r="AP12" i="85"/>
  <c r="AN12" i="85"/>
  <c r="AP13" i="85"/>
  <c r="AN13" i="85"/>
  <c r="AL17" i="85"/>
  <c r="AP17" i="85"/>
  <c r="AN17" i="85"/>
  <c r="AL21" i="85"/>
  <c r="AP21" i="85"/>
  <c r="AN21" i="85"/>
  <c r="AL22" i="85"/>
  <c r="AP22" i="85"/>
  <c r="AN22" i="85"/>
  <c r="AL14" i="85"/>
  <c r="AN14" i="85"/>
  <c r="AP14" i="85"/>
  <c r="AL16" i="85"/>
  <c r="AP16" i="85"/>
  <c r="AN16" i="85"/>
  <c r="AI10" i="85"/>
  <c r="S9" i="85"/>
  <c r="S25" i="85" s="1"/>
  <c r="AL13" i="85"/>
  <c r="AP11" i="85"/>
  <c r="AQ11" i="85" s="1"/>
  <c r="W11" i="85" s="1"/>
  <c r="AL11" i="85"/>
  <c r="AI17" i="84"/>
  <c r="W17" i="84"/>
  <c r="T9" i="84"/>
  <c r="V9" i="84" s="1"/>
  <c r="AN9" i="84" s="1"/>
  <c r="S11" i="84"/>
  <c r="S66" i="84" s="1"/>
  <c r="P67" i="84"/>
  <c r="AK17" i="84"/>
  <c r="AL17" i="84" s="1"/>
  <c r="AM17" i="84" s="1"/>
  <c r="S13" i="84"/>
  <c r="S65" i="84" s="1"/>
  <c r="AL15" i="84"/>
  <c r="Q66" i="84"/>
  <c r="Q67" i="84" s="1"/>
  <c r="Q52" i="84"/>
  <c r="AQ10" i="84"/>
  <c r="W10" i="84" s="1"/>
  <c r="R66" i="84"/>
  <c r="R67" i="84" s="1"/>
  <c r="R52" i="84"/>
  <c r="AL43" i="84"/>
  <c r="AM43" i="84" s="1"/>
  <c r="AN19" i="80"/>
  <c r="AN20" i="80"/>
  <c r="AN22" i="80"/>
  <c r="AN24" i="80"/>
  <c r="AN21" i="80"/>
  <c r="AN25" i="80"/>
  <c r="AM9" i="80"/>
  <c r="AI9" i="80"/>
  <c r="AJ9" i="80"/>
  <c r="AN12" i="80"/>
  <c r="AN14" i="80"/>
  <c r="AN17" i="80"/>
  <c r="AN16" i="80"/>
  <c r="AK10" i="81"/>
  <c r="AP10" i="81" s="1"/>
  <c r="AQ10" i="81" s="1"/>
  <c r="W10" i="81" s="1"/>
  <c r="AI10" i="81"/>
  <c r="T28" i="80"/>
  <c r="W10" i="86"/>
  <c r="AN14" i="86"/>
  <c r="AL14" i="86"/>
  <c r="AP14" i="86"/>
  <c r="AL19" i="86"/>
  <c r="AL13" i="86"/>
  <c r="AQ43" i="84" l="1"/>
  <c r="AQ32" i="84"/>
  <c r="W32" i="84" s="1"/>
  <c r="AQ20" i="84"/>
  <c r="W20" i="84" s="1"/>
  <c r="AP10" i="85"/>
  <c r="AN10" i="85"/>
  <c r="AQ14" i="84"/>
  <c r="W14" i="84" s="1"/>
  <c r="AQ28" i="84"/>
  <c r="W28" i="84" s="1"/>
  <c r="AQ34" i="84"/>
  <c r="W34" i="84" s="1"/>
  <c r="AQ16" i="85"/>
  <c r="T13" i="81"/>
  <c r="S21" i="81"/>
  <c r="T9" i="86"/>
  <c r="V9" i="86" s="1"/>
  <c r="V28" i="86" s="1"/>
  <c r="AQ14" i="86"/>
  <c r="W14" i="86" s="1"/>
  <c r="AL10" i="85"/>
  <c r="AM10" i="85" s="1"/>
  <c r="AQ13" i="85"/>
  <c r="AQ21" i="85"/>
  <c r="AQ17" i="85"/>
  <c r="AQ22" i="85"/>
  <c r="AQ12" i="85"/>
  <c r="AQ14" i="85"/>
  <c r="AQ15" i="85"/>
  <c r="T9" i="85"/>
  <c r="V9" i="85" s="1"/>
  <c r="AK9" i="85" s="1"/>
  <c r="AN9" i="85" s="1"/>
  <c r="AK9" i="84"/>
  <c r="AL9" i="84" s="1"/>
  <c r="AM9" i="84" s="1"/>
  <c r="T64" i="84"/>
  <c r="T11" i="84"/>
  <c r="T66" i="84" s="1"/>
  <c r="S67" i="84"/>
  <c r="T13" i="84"/>
  <c r="V13" i="84" s="1"/>
  <c r="S52" i="84"/>
  <c r="AQ15" i="84"/>
  <c r="W15" i="84" s="1"/>
  <c r="AP9" i="84"/>
  <c r="AI9" i="84"/>
  <c r="V64" i="84"/>
  <c r="W43" i="84"/>
  <c r="AN9" i="80"/>
  <c r="W9" i="80" s="1"/>
  <c r="AL10" i="81"/>
  <c r="AM10" i="81" s="1"/>
  <c r="V28" i="80"/>
  <c r="AQ10" i="85" l="1"/>
  <c r="W10" i="85" s="1"/>
  <c r="I34" i="80"/>
  <c r="I10" i="42" s="1"/>
  <c r="I10" i="111"/>
  <c r="O10" i="111" s="1"/>
  <c r="U10" i="111" s="1"/>
  <c r="I33" i="86"/>
  <c r="K33" i="86" s="1"/>
  <c r="I15" i="111"/>
  <c r="O15" i="111" s="1"/>
  <c r="L10" i="42"/>
  <c r="V13" i="81"/>
  <c r="T21" i="81"/>
  <c r="AI9" i="86"/>
  <c r="AK9" i="86"/>
  <c r="AN9" i="86" s="1"/>
  <c r="T28" i="86"/>
  <c r="T25" i="85"/>
  <c r="V25" i="85"/>
  <c r="AI9" i="85"/>
  <c r="AI13" i="84"/>
  <c r="W13" i="84"/>
  <c r="W65" i="84" s="1"/>
  <c r="AQ9" i="84"/>
  <c r="W9" i="84" s="1"/>
  <c r="W64" i="84" s="1"/>
  <c r="V11" i="84"/>
  <c r="AK13" i="84"/>
  <c r="AL13" i="84" s="1"/>
  <c r="V65" i="84"/>
  <c r="T52" i="84"/>
  <c r="T65" i="84"/>
  <c r="T67" i="84" s="1"/>
  <c r="AN28" i="80"/>
  <c r="K34" i="80"/>
  <c r="AN11" i="84" l="1"/>
  <c r="AP11" i="84"/>
  <c r="I31" i="85"/>
  <c r="I14" i="42" s="1"/>
  <c r="L14" i="42" s="1"/>
  <c r="I14" i="111"/>
  <c r="O14" i="111" s="1"/>
  <c r="I15" i="42"/>
  <c r="L15" i="42" s="1"/>
  <c r="J12" i="42"/>
  <c r="M12" i="42" s="1"/>
  <c r="J11" i="111"/>
  <c r="AK13" i="81"/>
  <c r="AL13" i="81" s="1"/>
  <c r="W13" i="81"/>
  <c r="W21" i="81" s="1"/>
  <c r="AI13" i="81"/>
  <c r="V21" i="81"/>
  <c r="AL9" i="86"/>
  <c r="AM9" i="86" s="1"/>
  <c r="AP9" i="86"/>
  <c r="AQ9" i="86" s="1"/>
  <c r="W9" i="86" s="1"/>
  <c r="AP9" i="85"/>
  <c r="AL9" i="85"/>
  <c r="AM9" i="85" s="1"/>
  <c r="V66" i="84"/>
  <c r="V67" i="84" s="1"/>
  <c r="Y67" i="84" s="1"/>
  <c r="AI11" i="84"/>
  <c r="V52" i="84"/>
  <c r="I13" i="111" s="1"/>
  <c r="O13" i="111" s="1"/>
  <c r="AK11" i="84"/>
  <c r="AL11" i="84" s="1"/>
  <c r="AM11" i="84" s="1"/>
  <c r="X65" i="84"/>
  <c r="X64" i="84"/>
  <c r="I11" i="111"/>
  <c r="W28" i="80"/>
  <c r="J28" i="81" l="1"/>
  <c r="J11" i="42" s="1"/>
  <c r="M11" i="42" s="1"/>
  <c r="J12" i="111"/>
  <c r="P12" i="111" s="1"/>
  <c r="I28" i="81"/>
  <c r="K28" i="81" s="1"/>
  <c r="I12" i="111"/>
  <c r="O12" i="111" s="1"/>
  <c r="U12" i="111" s="1"/>
  <c r="J34" i="80"/>
  <c r="J10" i="42" s="1"/>
  <c r="M10" i="42" s="1"/>
  <c r="J10" i="111"/>
  <c r="P10" i="111" s="1"/>
  <c r="V10" i="111" s="1"/>
  <c r="K31" i="85"/>
  <c r="P11" i="111"/>
  <c r="O11" i="111"/>
  <c r="I16" i="111"/>
  <c r="L28" i="81"/>
  <c r="W28" i="86"/>
  <c r="J15" i="111" s="1"/>
  <c r="P15" i="111" s="1"/>
  <c r="AQ9" i="85"/>
  <c r="W9" i="85" s="1"/>
  <c r="K57" i="84"/>
  <c r="AQ11" i="84"/>
  <c r="W11" i="84" s="1"/>
  <c r="W66" i="84" s="1"/>
  <c r="I11" i="42" l="1"/>
  <c r="L34" i="80"/>
  <c r="J16" i="111"/>
  <c r="U11" i="111"/>
  <c r="U16" i="111" s="1"/>
  <c r="O16" i="111"/>
  <c r="V11" i="111"/>
  <c r="V16" i="111" s="1"/>
  <c r="P16" i="111"/>
  <c r="J33" i="86"/>
  <c r="J15" i="42" s="1"/>
  <c r="M15" i="42" s="1"/>
  <c r="M57" i="84"/>
  <c r="I13" i="42"/>
  <c r="L13" i="42" s="1"/>
  <c r="I12" i="42"/>
  <c r="L12" i="42" s="1"/>
  <c r="L11" i="42"/>
  <c r="W25" i="85"/>
  <c r="W67" i="84"/>
  <c r="X66" i="84"/>
  <c r="W52" i="84"/>
  <c r="J13" i="111" s="1"/>
  <c r="P13" i="111" s="1"/>
  <c r="J31" i="85" l="1"/>
  <c r="J14" i="42" s="1"/>
  <c r="M14" i="42" s="1"/>
  <c r="J14" i="111"/>
  <c r="P14" i="111" s="1"/>
  <c r="V12" i="111" s="1"/>
  <c r="L33" i="86"/>
  <c r="I16" i="42"/>
  <c r="L16" i="42"/>
  <c r="L31" i="85"/>
  <c r="L57" i="84"/>
  <c r="J13" i="42" s="1"/>
  <c r="M13" i="42" s="1"/>
  <c r="Z67" i="84"/>
  <c r="X67" i="84"/>
  <c r="N57" i="84" l="1"/>
  <c r="J16" i="42"/>
  <c r="M16" i="42" l="1"/>
  <c r="E10" i="151"/>
  <c r="E33" i="151" s="1"/>
  <c r="D8" i="177" l="1"/>
  <c r="E12" i="176" s="1"/>
  <c r="E28" i="318" s="1"/>
  <c r="E74" i="318"/>
  <c r="E35" i="151"/>
  <c r="D10" i="177" l="1"/>
  <c r="E26" i="318"/>
  <c r="D28" i="318"/>
  <c r="J8" i="177"/>
  <c r="E70" i="318"/>
  <c r="D74" i="318"/>
  <c r="E10" i="176"/>
  <c r="E19" i="176" s="1"/>
  <c r="D26" i="318" l="1"/>
  <c r="E22" i="318"/>
  <c r="D70" i="318"/>
  <c r="E46" i="318"/>
  <c r="D46" i="318" s="1"/>
  <c r="E12" i="318" l="1"/>
  <c r="D22" i="318"/>
  <c r="D11" i="318" s="1"/>
  <c r="E11" i="318"/>
  <c r="G17" i="321" l="1"/>
  <c r="C17" i="322"/>
  <c r="C10" i="322" s="1"/>
  <c r="C30" i="322" s="1"/>
  <c r="N86" i="207" s="1"/>
  <c r="N82" i="207" l="1"/>
  <c r="D86" i="207"/>
  <c r="N58" i="207" l="1"/>
  <c r="D58" i="207" s="1"/>
  <c r="D22" i="207" s="1"/>
  <c r="D82" i="20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Касьяненко Анастасия Юрьевна</author>
  </authors>
  <commentList>
    <comment ref="L4" authorId="0" shapeId="0" xr:uid="{00000000-0006-0000-0200-000001000000}">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Касьяненко Анастасия Юрьевна</author>
  </authors>
  <commentList>
    <comment ref="L4" authorId="0" shapeId="0" xr:uid="{00000000-0006-0000-5500-000001000000}">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Касьяненко Анастасия Юрьевна</author>
  </authors>
  <commentList>
    <comment ref="L4" authorId="0" shapeId="0" xr:uid="{00000000-0006-0000-5600-000001000000}">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Касьяненко Анастасия Юрьевна</author>
  </authors>
  <commentList>
    <comment ref="L4" authorId="0" shapeId="0" xr:uid="{00000000-0006-0000-5700-000001000000}">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Касьяненко Анастасия Юрьевна</author>
  </authors>
  <commentList>
    <comment ref="L4" authorId="0" shapeId="0" xr:uid="{00000000-0006-0000-5800-000001000000}">
      <text>
        <r>
          <rPr>
            <sz val="9"/>
            <color indexed="81"/>
            <rFont val="Tahoma"/>
            <family val="2"/>
            <charset val="20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Касьяненко Анастасия Юрьевна</author>
  </authors>
  <commentList>
    <comment ref="L4" authorId="0" shapeId="0" xr:uid="{00000000-0006-0000-5900-000001000000}">
      <text>
        <r>
          <rPr>
            <sz val="9"/>
            <color indexed="81"/>
            <rFont val="Tahoma"/>
            <family val="2"/>
            <charset val="20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Касьяненко Анастасия Юрьевна</author>
  </authors>
  <commentList>
    <comment ref="L4" authorId="0" shapeId="0" xr:uid="{00000000-0006-0000-5A00-000001000000}">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Касьяненко Анастасия Юрьевна</author>
  </authors>
  <commentList>
    <comment ref="L4" authorId="0" shapeId="0" xr:uid="{00000000-0006-0000-5B00-000001000000}">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Касьяненко Анастасия Юрьевна</author>
  </authors>
  <commentList>
    <comment ref="L4" authorId="0" shapeId="0" xr:uid="{00000000-0006-0000-5C00-000001000000}">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Касьяненко Анастасия Юрьевна</author>
  </authors>
  <commentList>
    <comment ref="L4" authorId="0" shapeId="0" xr:uid="{00000000-0006-0000-5D00-000001000000}">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Касьяненко Анастасия Юрьевна</author>
  </authors>
  <commentList>
    <comment ref="L4" authorId="0" shapeId="0" xr:uid="{00000000-0006-0000-5E00-000001000000}">
      <text>
        <r>
          <rPr>
            <sz val="9"/>
            <color indexed="81"/>
            <rFont val="Tahoma"/>
            <family val="2"/>
            <charset val="20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Касьяненко Анастасия Юрьевна</author>
  </authors>
  <commentList>
    <comment ref="L4" authorId="0" shapeId="0" xr:uid="{00000000-0006-0000-0300-000001000000}">
      <text>
        <r>
          <rPr>
            <sz val="9"/>
            <color indexed="81"/>
            <rFont val="Tahoma"/>
            <family val="2"/>
            <charset val="20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Касьяненко Анастасия Юрьевна</author>
  </authors>
  <commentList>
    <comment ref="L4" authorId="0" shapeId="0" xr:uid="{00000000-0006-0000-5F00-000001000000}">
      <text>
        <r>
          <rPr>
            <sz val="9"/>
            <color indexed="81"/>
            <rFont val="Tahoma"/>
            <family val="2"/>
            <charset val="20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Касьяненко Анастасия Юрьевна</author>
  </authors>
  <commentList>
    <comment ref="L4" authorId="0" shapeId="0" xr:uid="{00000000-0006-0000-6000-000001000000}">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Касьяненко Анастасия Юрьевна</author>
  </authors>
  <commentList>
    <comment ref="L4" authorId="0" shapeId="0" xr:uid="{00000000-0006-0000-6100-000001000000}">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Касьяненко Анастасия Юрьевна</author>
  </authors>
  <commentList>
    <comment ref="L4" authorId="0" shapeId="0" xr:uid="{00000000-0006-0000-6200-000001000000}">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Касьяненко Анастасия Юрьевна</author>
  </authors>
  <commentList>
    <comment ref="M4" authorId="0" shapeId="0" xr:uid="{00000000-0006-0000-1900-000001000000}">
      <text>
        <r>
          <rPr>
            <sz val="9"/>
            <color indexed="81"/>
            <rFont val="Tahoma"/>
            <family val="2"/>
            <charset val="20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Касьяненко Анастасия Юрьевна</author>
  </authors>
  <commentList>
    <comment ref="M4" authorId="0" shapeId="0" xr:uid="{00000000-0006-0000-1A00-000001000000}">
      <text>
        <r>
          <rPr>
            <sz val="9"/>
            <color indexed="81"/>
            <rFont val="Tahoma"/>
            <family val="2"/>
            <charset val="20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Касьяненко Анастасия Юрьевна</author>
  </authors>
  <commentList>
    <comment ref="M4" authorId="0" shapeId="0" xr:uid="{00000000-0006-0000-1B00-000001000000}">
      <text>
        <r>
          <rPr>
            <sz val="9"/>
            <color indexed="81"/>
            <rFont val="Tahoma"/>
            <family val="2"/>
            <charset val="20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L14" authorId="0" shapeId="0" xr:uid="{00000000-0006-0000-2300-000001000000}">
      <text>
        <r>
          <rPr>
            <b/>
            <sz val="9"/>
            <color indexed="81"/>
            <rFont val="Tahoma"/>
            <family val="2"/>
            <charset val="204"/>
          </rPr>
          <t>Автор:</t>
        </r>
        <r>
          <rPr>
            <sz val="9"/>
            <color indexed="81"/>
            <rFont val="Tahoma"/>
            <family val="2"/>
            <charset val="204"/>
          </rPr>
          <t xml:space="preserve">
ИП Перепечин ТАРИФ  без НДС</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F10" authorId="0" shapeId="0" xr:uid="{00000000-0006-0000-2600-000001000000}">
      <text>
        <r>
          <rPr>
            <sz val="9"/>
            <color indexed="81"/>
            <rFont val="Tahoma"/>
            <family val="2"/>
            <charset val="204"/>
          </rPr>
          <t xml:space="preserve">Тарифы на обслуживание АУТВР с НДС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F57" authorId="0" shapeId="0" xr:uid="{00000000-0006-0000-4500-000001000000}">
      <text>
        <r>
          <rPr>
            <sz val="9"/>
            <color indexed="81"/>
            <rFont val="Tahoma"/>
            <family val="2"/>
            <charset val="204"/>
          </rPr>
          <t xml:space="preserve">сталинка + прибЭЭ + АУТВР + домофон + антенна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Касьяненко Анастасия Юрьевна</author>
  </authors>
  <commentList>
    <comment ref="L4" authorId="0" shapeId="0" xr:uid="{00000000-0006-0000-5400-000001000000}">
      <text/>
    </comment>
  </commentList>
</comments>
</file>

<file path=xl/sharedStrings.xml><?xml version="1.0" encoding="utf-8"?>
<sst xmlns="http://schemas.openxmlformats.org/spreadsheetml/2006/main" count="5918" uniqueCount="1775">
  <si>
    <t>Штатная численность, шт.ед.</t>
  </si>
  <si>
    <t>Доплата за работу в ночное время</t>
  </si>
  <si>
    <t>Доплата за работу в выходные,  нерабочие праздн.дни</t>
  </si>
  <si>
    <t>Структура фонда оплаты труда в год на штатную численность, тыс.руб.</t>
  </si>
  <si>
    <t>Оплата стоимости проезда и провоза багажа к месту проведения отпуска, тыс.руб.</t>
  </si>
  <si>
    <t>количество, чел.</t>
  </si>
  <si>
    <t>стоимость, тыс.руб.</t>
  </si>
  <si>
    <t>Фонд оплаты труда с учетом коэффициента</t>
  </si>
  <si>
    <t>ВСЕГО</t>
  </si>
  <si>
    <t>Коэффициент исполнения по фонду оплаты труда в предшествующем году</t>
  </si>
  <si>
    <t>Работник</t>
  </si>
  <si>
    <t>Члены семьи работника до 12 лет</t>
  </si>
  <si>
    <t>Члены семьи работника после 12 лет</t>
  </si>
  <si>
    <t>Оплата багажа, тыс.руб.</t>
  </si>
  <si>
    <t>Директор</t>
  </si>
  <si>
    <t>Заведующий сектором</t>
  </si>
  <si>
    <t>Заведующий отделом</t>
  </si>
  <si>
    <t>Заведующий филиалом</t>
  </si>
  <si>
    <t>Библиотекарь</t>
  </si>
  <si>
    <t>Главный библиотекарь</t>
  </si>
  <si>
    <t>Редактор</t>
  </si>
  <si>
    <t xml:space="preserve">Директор </t>
  </si>
  <si>
    <t>Главный хранитель фондов</t>
  </si>
  <si>
    <t xml:space="preserve">Заведующий отделом </t>
  </si>
  <si>
    <t>Научный сотрудник</t>
  </si>
  <si>
    <t>Контролер билетов</t>
  </si>
  <si>
    <t>Смотритель музейный</t>
  </si>
  <si>
    <t>Надбавка за опыт работы</t>
  </si>
  <si>
    <t>Старший научный сотрудник</t>
  </si>
  <si>
    <t>Методист</t>
  </si>
  <si>
    <t>Хранитель фондов</t>
  </si>
  <si>
    <t>Художественный руководитель</t>
  </si>
  <si>
    <t>Режисер-постановщик</t>
  </si>
  <si>
    <t>Администратор</t>
  </si>
  <si>
    <t>Оператор пульта управления киноустановок</t>
  </si>
  <si>
    <t>Рестовратор фильмокопий</t>
  </si>
  <si>
    <t xml:space="preserve">Библиотекарь </t>
  </si>
  <si>
    <t>Библиограф</t>
  </si>
  <si>
    <t xml:space="preserve">Руководитель кружка </t>
  </si>
  <si>
    <t>Аккомпаниатор</t>
  </si>
  <si>
    <t>Балетмейстер</t>
  </si>
  <si>
    <t xml:space="preserve">Методист </t>
  </si>
  <si>
    <t>Звукорежиссер</t>
  </si>
  <si>
    <t xml:space="preserve">Звукооператор </t>
  </si>
  <si>
    <t>Режиссер</t>
  </si>
  <si>
    <t>Заведующий художественно-постановочной частью</t>
  </si>
  <si>
    <t>Заведующий звукостудийным сектором</t>
  </si>
  <si>
    <t>Заведующий костюмерной</t>
  </si>
  <si>
    <t>Главный режиссер</t>
  </si>
  <si>
    <t>Художник по свету</t>
  </si>
  <si>
    <t>Художник-декоратор</t>
  </si>
  <si>
    <t>Художник-модельер театрально костюма</t>
  </si>
  <si>
    <t>Художник-постановщик</t>
  </si>
  <si>
    <t xml:space="preserve">Концертмейстер по классу вокала </t>
  </si>
  <si>
    <t>Балетмейстер - постановщик</t>
  </si>
  <si>
    <t>Репетитор по балету</t>
  </si>
  <si>
    <t xml:space="preserve">Режиссер </t>
  </si>
  <si>
    <t>Монтировщик сцены</t>
  </si>
  <si>
    <t>Хормейстер</t>
  </si>
  <si>
    <t xml:space="preserve">Художник-постановщик </t>
  </si>
  <si>
    <t>Киномеханик</t>
  </si>
  <si>
    <t>Надбавка за квалификационную категорию: главный - 25%; ведущий - 20%; высшей категории - 15%; первой категории - 10%; второй категории - 5%.</t>
  </si>
  <si>
    <t>страх взносы</t>
  </si>
  <si>
    <t>к-т</t>
  </si>
  <si>
    <t>ФОТ всего на 1 шт ед</t>
  </si>
  <si>
    <t>Премиальный фонд (персональный и стимулирующий)</t>
  </si>
  <si>
    <t>Премиальный фонд 31,7%  (гр. 14 х 0,317%)    (гр. 14 + 0,005)</t>
  </si>
  <si>
    <t>Компенсация за неиспользованный отпуск 3%, материальная помощь 0,2% ((гр.14 + гр.15 + гр.16 + гр.17) х 3,2%)</t>
  </si>
  <si>
    <t xml:space="preserve">Должностной оклад по действующему штатному расписанию </t>
  </si>
  <si>
    <t>Итого по штатному расписанию (гр.3 * гр.4)</t>
  </si>
  <si>
    <t>Выплата за наличие ученой степени или почетного звания</t>
  </si>
  <si>
    <t>К-т</t>
  </si>
  <si>
    <t>Итого</t>
  </si>
  <si>
    <t>Всего расходов, тыс.руб.
гр.27+гр.30+гр.33+гр.34</t>
  </si>
  <si>
    <t>расходы, тыс.руб.
гр.25 * гр.26</t>
  </si>
  <si>
    <t>расходы, тыс.руб.
гр.28 * гр.29</t>
  </si>
  <si>
    <t>расходы, тыс.руб.
гр.31 * гр.32</t>
  </si>
  <si>
    <t>Наименование внутриструктурной единицы, должности (профессии)</t>
  </si>
  <si>
    <t>№ п/п</t>
  </si>
  <si>
    <t xml:space="preserve">Должностной оклад
 по действующему штатному расписанию </t>
  </si>
  <si>
    <t>Кперс.</t>
  </si>
  <si>
    <t>Сумма</t>
  </si>
  <si>
    <t>Районный коэффициент</t>
  </si>
  <si>
    <t>Северные надбавки</t>
  </si>
  <si>
    <t>Итого фонд заработной платы</t>
  </si>
  <si>
    <t xml:space="preserve">Страховые взносы </t>
  </si>
  <si>
    <t>Итого оклад+стим.+комп.выплаты+прочие надбавки</t>
  </si>
  <si>
    <t xml:space="preserve">Компенсация за неиспользованный отпуск 3%, материальная помощь 0,2% </t>
  </si>
  <si>
    <t>Итого надбавки+ПВ</t>
  </si>
  <si>
    <t>Должностной оклад на год</t>
  </si>
  <si>
    <t>Персональная надбавка за работу в МО г. Норильска</t>
  </si>
  <si>
    <t xml:space="preserve">Персональная надбавка   за работу в МО г. Норильска </t>
  </si>
  <si>
    <t>Кассир билетный</t>
  </si>
  <si>
    <t>Итого оклад+стим.+комп.выплаты+ прочие надбавки</t>
  </si>
  <si>
    <t xml:space="preserve">Кассир билетный </t>
  </si>
  <si>
    <t>Учреждение</t>
  </si>
  <si>
    <t>Исполнитель:</t>
  </si>
  <si>
    <t>ИТОГО</t>
  </si>
  <si>
    <t>шт.числ</t>
  </si>
  <si>
    <t>Итого культура</t>
  </si>
  <si>
    <t>Заведующий  сектором видеообеспечения</t>
  </si>
  <si>
    <t>Режиссер массовых представлений</t>
  </si>
  <si>
    <t>Столяр по изготовлению декораций</t>
  </si>
  <si>
    <t xml:space="preserve">Механик по ремонту и обслуживанию кинотехнологического оборудования </t>
  </si>
  <si>
    <t xml:space="preserve">Художник-декоратор </t>
  </si>
  <si>
    <t>Старший администратор</t>
  </si>
  <si>
    <t>Специалист по внедрению информационных систем</t>
  </si>
  <si>
    <t xml:space="preserve">Переплетчик </t>
  </si>
  <si>
    <t>Менеджер по культурно-массовому досугу</t>
  </si>
  <si>
    <t>Механик по обслуживанию звуковой техники</t>
  </si>
  <si>
    <t>Руководитель любительского объединения</t>
  </si>
  <si>
    <t>МБУ "МВК "Музей Норильска"</t>
  </si>
  <si>
    <t>МБУ "КК "Родина"</t>
  </si>
  <si>
    <t>МБУК "Городской центр культуры"</t>
  </si>
  <si>
    <t>МБУК "КДЦ "Юбилейный"</t>
  </si>
  <si>
    <t xml:space="preserve">МБУК "КДЦ им. В. Высоцкого" </t>
  </si>
  <si>
    <t>ПФ</t>
  </si>
  <si>
    <t>ФСС</t>
  </si>
  <si>
    <t>ФОМС</t>
  </si>
  <si>
    <t>Итого СВ</t>
  </si>
  <si>
    <t xml:space="preserve">Отклонение </t>
  </si>
  <si>
    <t>АУП</t>
  </si>
  <si>
    <t>основной</t>
  </si>
  <si>
    <t>Прочий</t>
  </si>
  <si>
    <t>клубы</t>
  </si>
  <si>
    <t>Заместитель директора</t>
  </si>
  <si>
    <t>Снежногорский филиал</t>
  </si>
  <si>
    <t xml:space="preserve">Заместитель директора </t>
  </si>
  <si>
    <t>Отклонение</t>
  </si>
  <si>
    <t xml:space="preserve">Старший администратор </t>
  </si>
  <si>
    <t>Менеджер культурно-досуговой организации</t>
  </si>
  <si>
    <t>Главный библиотекарь (Снежногорский филиал)</t>
  </si>
  <si>
    <t xml:space="preserve">Менеджер культурно-досуговой организации </t>
  </si>
  <si>
    <t xml:space="preserve">МБУ "Централизованная библиотечная система"  </t>
  </si>
  <si>
    <t xml:space="preserve">Заведующий сектором </t>
  </si>
  <si>
    <t>Расчетные значения 2019</t>
  </si>
  <si>
    <t>Машинист сцены</t>
  </si>
  <si>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rFont val="Times New Roman"/>
        <family val="2"/>
        <charset val="204"/>
      </rPr>
      <t>МБУ "МВК "Музей Норильска"</t>
    </r>
    <r>
      <rPr>
        <sz val="16"/>
        <rFont val="Times New Roman"/>
        <family val="2"/>
        <charset val="204"/>
      </rPr>
      <t xml:space="preserve"> на 2020 год </t>
    </r>
  </si>
  <si>
    <t>Начальник отдела ЭАиП</t>
  </si>
  <si>
    <t>Шикера И.А.,тел.: 43-72-45 (доб. 2822)</t>
  </si>
  <si>
    <t>ФОТ на 01.01.2019 г.</t>
  </si>
  <si>
    <t>Расчетные значения 2020 г.</t>
  </si>
  <si>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color indexed="8"/>
        <rFont val="Times New Roman"/>
        <family val="1"/>
        <charset val="204"/>
      </rPr>
      <t>МБУ "КК "Родина" на 2020 год</t>
    </r>
  </si>
  <si>
    <t>ФОТ передаваемый в МКУ "ОК УК" (0,5 библиотекаря)</t>
  </si>
  <si>
    <t>ФОТ передаваемый в МКУ "ОК УК" (0,5-концертмейстер по вокалу, 0,5-монтировщик сцены, 0,25-руководитель кружка, 0,25-режиссер)</t>
  </si>
  <si>
    <t>Расчетные значения 2020</t>
  </si>
  <si>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rFont val="Times New Roman"/>
        <family val="2"/>
        <charset val="204"/>
      </rPr>
      <t>МБУК "Городской центр культуры" на 2020 год с учетом Снежногорского филиала</t>
    </r>
  </si>
  <si>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color indexed="8"/>
        <rFont val="Times New Roman"/>
        <family val="1"/>
        <charset val="204"/>
      </rPr>
      <t xml:space="preserve"> МБУК "КДЦ "Юбилейный" на 2020 год</t>
    </r>
  </si>
  <si>
    <t>Методист по составлению кинопрограмм</t>
  </si>
  <si>
    <t>Руководитель клуба по интересам</t>
  </si>
  <si>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color indexed="8"/>
        <rFont val="Times New Roman"/>
        <family val="1"/>
        <charset val="204"/>
      </rPr>
      <t xml:space="preserve"> МБУК "КДЦ им. В. Высоцкого" на 2020 год</t>
    </r>
  </si>
  <si>
    <t>Шикера И.А., 2822</t>
  </si>
  <si>
    <t xml:space="preserve">ФОТ передаваемый в МКУ "ОК УК" </t>
  </si>
  <si>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rFont val="Times New Roman"/>
        <family val="2"/>
        <charset val="204"/>
      </rPr>
      <t>МБУ "МВК "Музей Норильска"</t>
    </r>
    <r>
      <rPr>
        <sz val="16"/>
        <rFont val="Times New Roman"/>
        <family val="2"/>
        <charset val="204"/>
      </rPr>
      <t xml:space="preserve"> на 2021 год </t>
    </r>
  </si>
  <si>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rFont val="Times New Roman"/>
        <family val="2"/>
        <charset val="204"/>
      </rPr>
      <t>МБУ "МВК "Музей Норильска"</t>
    </r>
    <r>
      <rPr>
        <sz val="16"/>
        <rFont val="Times New Roman"/>
        <family val="2"/>
        <charset val="204"/>
      </rPr>
      <t xml:space="preserve"> на 2022 год </t>
    </r>
  </si>
  <si>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color indexed="8"/>
        <rFont val="Times New Roman"/>
        <family val="1"/>
        <charset val="204"/>
      </rPr>
      <t>МБУ "КК "Родина" на 2021 год</t>
    </r>
  </si>
  <si>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color indexed="8"/>
        <rFont val="Times New Roman"/>
        <family val="1"/>
        <charset val="204"/>
      </rPr>
      <t>МБУ "КК "Родина" на 2022 год</t>
    </r>
  </si>
  <si>
    <r>
      <t>Расчет затрат на оплату труда, страховые взносы, на оплату стоимости проезда и провоза багажа к месту использования отпуска и обратно</t>
    </r>
    <r>
      <rPr>
        <u/>
        <sz val="16"/>
        <rFont val="Times New Roman"/>
        <family val="2"/>
        <charset val="204"/>
      </rPr>
      <t xml:space="preserve"> МБУ "Централизованная библиотечная система" на 2021 год</t>
    </r>
  </si>
  <si>
    <r>
      <t>Расчет затрат на оплату труда, страховые взносы, на оплату стоимости проезда и провоза багажа к месту использования отпуска и обратно</t>
    </r>
    <r>
      <rPr>
        <u/>
        <sz val="16"/>
        <rFont val="Times New Roman"/>
        <family val="2"/>
        <charset val="204"/>
      </rPr>
      <t xml:space="preserve"> МБУ "Централизованная библиотечная система" на 2022 год</t>
    </r>
  </si>
  <si>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rFont val="Times New Roman"/>
        <family val="2"/>
        <charset val="204"/>
      </rPr>
      <t>МБУК "Городской центр культуры" на 2021 год с учетом Снежногорского филиала</t>
    </r>
  </si>
  <si>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rFont val="Times New Roman"/>
        <family val="2"/>
        <charset val="204"/>
      </rPr>
      <t>МБУК "Городской центр культуры" на 2022 год с учетом Снежногорского филиала</t>
    </r>
  </si>
  <si>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color indexed="8"/>
        <rFont val="Times New Roman"/>
        <family val="1"/>
        <charset val="204"/>
      </rPr>
      <t xml:space="preserve"> МБУК "КДЦ "Юбилейный" на 2021 год</t>
    </r>
  </si>
  <si>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color indexed="8"/>
        <rFont val="Times New Roman"/>
        <family val="1"/>
        <charset val="204"/>
      </rPr>
      <t xml:space="preserve"> МБУК "КДЦ "Юбилейный" на 2022 год</t>
    </r>
  </si>
  <si>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color indexed="8"/>
        <rFont val="Times New Roman"/>
        <family val="1"/>
        <charset val="204"/>
      </rPr>
      <t xml:space="preserve"> МБУК "КДЦ им. В. Высоцкого" на 2021 год</t>
    </r>
  </si>
  <si>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color indexed="8"/>
        <rFont val="Times New Roman"/>
        <family val="1"/>
        <charset val="204"/>
      </rPr>
      <t xml:space="preserve"> МБУК "КДЦ им. В. Высоцкого" на 2022 год</t>
    </r>
  </si>
  <si>
    <t>Расчетные значения на 2019 год</t>
  </si>
  <si>
    <t>И.А. Шикера</t>
  </si>
  <si>
    <t>И. А. Шикера</t>
  </si>
  <si>
    <t xml:space="preserve">Управление по делам культуры и искусства Администрации города Норильска </t>
  </si>
  <si>
    <t>Расчет затрат на оплату труда, страховые взносы, на оплату стоимости проезда и провоза багажа к месту использования отпуска и обратно на 2020 год</t>
  </si>
  <si>
    <t>СВОД КУЛЬТУРА</t>
  </si>
  <si>
    <t>213 персонал вывел на 0</t>
  </si>
  <si>
    <t>Краевые</t>
  </si>
  <si>
    <t>Персонал</t>
  </si>
  <si>
    <t>Отклонение значений УП от УК</t>
  </si>
  <si>
    <t>А.Ю. Касьяненко</t>
  </si>
  <si>
    <t>тыс.руб.</t>
  </si>
  <si>
    <t>Наименование КВСР</t>
  </si>
  <si>
    <t>КОСГУ/ДопКР</t>
  </si>
  <si>
    <t>Наименование расходов</t>
  </si>
  <si>
    <t>План 2021</t>
  </si>
  <si>
    <t>План 2022</t>
  </si>
  <si>
    <t>Примечание</t>
  </si>
  <si>
    <t>Плановые назначения</t>
  </si>
  <si>
    <t>кол-во, чел.</t>
  </si>
  <si>
    <t>кол-во дней</t>
  </si>
  <si>
    <t>Цель командировки</t>
  </si>
  <si>
    <t>План 2020</t>
  </si>
  <si>
    <t>Наименование учреждения</t>
  </si>
  <si>
    <t>212/912</t>
  </si>
  <si>
    <t>Суточные при служебных командировках (итого)</t>
  </si>
  <si>
    <t>Оплата суточных при служебной командировке</t>
  </si>
  <si>
    <t>222/921</t>
  </si>
  <si>
    <t>Оплата проезда по служебным командировкам(итого командировки)</t>
  </si>
  <si>
    <t>Оплата проезда по служебным командировкам</t>
  </si>
  <si>
    <t>226/952</t>
  </si>
  <si>
    <t>Проживание в служебных командировках (итого)</t>
  </si>
  <si>
    <t>отклонение</t>
  </si>
  <si>
    <t>Проживание в служебных командировках</t>
  </si>
  <si>
    <t>*В данной табличной форме так же указывать расходы на приобретение расходных материалов, предусмотренные в рамках стимулирования</t>
  </si>
  <si>
    <t xml:space="preserve">Тарифы на авиабилеты для формирования объема бюджетных расходов на 2020-2022 годы  </t>
  </si>
  <si>
    <t>Направление из Норильска</t>
  </si>
  <si>
    <t>Тариф туда-обратно, руб.</t>
  </si>
  <si>
    <t>Красноярск</t>
  </si>
  <si>
    <t>Москва</t>
  </si>
  <si>
    <t>Санкт-Петербург</t>
  </si>
  <si>
    <t>Новосибирск</t>
  </si>
  <si>
    <t>Сочи (и др. южные направления)</t>
  </si>
  <si>
    <t>Абакан</t>
  </si>
  <si>
    <t>Суточные -500 рублей</t>
  </si>
  <si>
    <t>Проживание в служебных командировках: С.=Петербург и Москва - 3700 руб./ сутки, остальные города 2500 руб./сутки</t>
  </si>
  <si>
    <t>(расшифровка)</t>
  </si>
  <si>
    <t>Исполнитель, тел.:</t>
  </si>
  <si>
    <t>Наименование</t>
  </si>
  <si>
    <t>Кол - во</t>
  </si>
  <si>
    <t>Цена товаров, с учетом НДС, руб.</t>
  </si>
  <si>
    <t>*В данной табличной форме так же указывать расходы, предусмотренные в рамках стимулирования</t>
  </si>
  <si>
    <t>(подпись)</t>
  </si>
  <si>
    <t>Обоснование расходов для формирования бюджета муниципального образования город Норильск на 2020-2022 годы по услугам связи КОСГУ 221 (925)* (источник финансирования-внебюджет)</t>
  </si>
  <si>
    <t>№</t>
  </si>
  <si>
    <t>Наименование услуг</t>
  </si>
  <si>
    <t>Ед.изм.</t>
  </si>
  <si>
    <t>натуральный показатель, количество</t>
  </si>
  <si>
    <t>тариф</t>
  </si>
  <si>
    <t>сумма</t>
  </si>
  <si>
    <t xml:space="preserve">план 2021 г </t>
  </si>
  <si>
    <t xml:space="preserve">план  2022 г </t>
  </si>
  <si>
    <t>Стимулирование</t>
  </si>
  <si>
    <t>2020 план</t>
  </si>
  <si>
    <t>мес.</t>
  </si>
  <si>
    <t>ИТОГО:</t>
  </si>
  <si>
    <t>Показатель</t>
  </si>
  <si>
    <t>2020 год</t>
  </si>
  <si>
    <t>2021 год</t>
  </si>
  <si>
    <t>2022 год</t>
  </si>
  <si>
    <t xml:space="preserve">% возмещения </t>
  </si>
  <si>
    <t>Бюджет</t>
  </si>
  <si>
    <t>Внебюджет</t>
  </si>
  <si>
    <t>Отопление, Гкал</t>
  </si>
  <si>
    <t>Электроэнергия, тыс.кВт.час</t>
  </si>
  <si>
    <r>
      <t>Холодное в/снабжение, тыс.м</t>
    </r>
    <r>
      <rPr>
        <vertAlign val="superscript"/>
        <sz val="10"/>
        <rFont val="Times New Roman"/>
        <family val="1"/>
        <charset val="204"/>
      </rPr>
      <t>3</t>
    </r>
    <r>
      <rPr>
        <sz val="10"/>
        <rFont val="Times New Roman"/>
        <family val="1"/>
        <charset val="204"/>
      </rPr>
      <t>.</t>
    </r>
  </si>
  <si>
    <t>Горячее в/снабжение (компонент на тепловую энергию), Гкал</t>
  </si>
  <si>
    <t>Горячее в/снабжение (компонент на теплоноситель), тыс.м3</t>
  </si>
  <si>
    <r>
      <t>Водоотведение, тыс.м</t>
    </r>
    <r>
      <rPr>
        <vertAlign val="superscript"/>
        <sz val="10"/>
        <rFont val="Times New Roman"/>
        <family val="1"/>
        <charset val="204"/>
      </rPr>
      <t>3</t>
    </r>
    <r>
      <rPr>
        <sz val="10"/>
        <rFont val="Times New Roman"/>
        <family val="1"/>
        <charset val="204"/>
      </rPr>
      <t>.</t>
    </r>
  </si>
  <si>
    <t>Всего</t>
  </si>
  <si>
    <t>Проверка</t>
  </si>
  <si>
    <t>Приложение 8
к письму от "_____"_____________2017  №_________</t>
  </si>
  <si>
    <t>ОБОСНОВАНИЕ РАСХОДОВ ПО СОДЕРЖАНИЮ И ТЕХНИЧЕСКОМУ</t>
  </si>
  <si>
    <t>Наименование услуги</t>
  </si>
  <si>
    <t>Ед. изм.</t>
  </si>
  <si>
    <t>Физический объем</t>
  </si>
  <si>
    <t xml:space="preserve">Итого тыс. руб. </t>
  </si>
  <si>
    <t>ТО инженерных сетей</t>
  </si>
  <si>
    <t>кв. м</t>
  </si>
  <si>
    <t>ТО вводных трубопроводов</t>
  </si>
  <si>
    <t>п. м</t>
  </si>
  <si>
    <t>ТО светильников наружного освещения</t>
  </si>
  <si>
    <t>шт.</t>
  </si>
  <si>
    <t>ТО кабельных линий наружного освещения</t>
  </si>
  <si>
    <t>км</t>
  </si>
  <si>
    <t xml:space="preserve">Видеокамера внешняя </t>
  </si>
  <si>
    <t>шт./год</t>
  </si>
  <si>
    <t>Видеокамера внутренняя</t>
  </si>
  <si>
    <t>Видеорегистратор (видеосервер)</t>
  </si>
  <si>
    <t>Ведение технической документации</t>
  </si>
  <si>
    <t>кв.м./месяц</t>
  </si>
  <si>
    <t>ТО АСУВ</t>
  </si>
  <si>
    <t>9.1.</t>
  </si>
  <si>
    <t xml:space="preserve">Технический осмотр АУТВР </t>
  </si>
  <si>
    <t>Узел/месяц</t>
  </si>
  <si>
    <t>9.2.</t>
  </si>
  <si>
    <t>Планово-предупредительные работы</t>
  </si>
  <si>
    <t>Узел/год</t>
  </si>
  <si>
    <t>9.3.</t>
  </si>
  <si>
    <t>Поверки:</t>
  </si>
  <si>
    <t>9.3.1.</t>
  </si>
  <si>
    <t xml:space="preserve">Преобразователь расхода вихревой, вихреаккустический электромагнитный и прочие, за исключением счетчиков воды с импульсным выходным сигналом               </t>
  </si>
  <si>
    <t>9.3.2.</t>
  </si>
  <si>
    <t>Преобразователь расхода счетчик воды с импульсным выходным сигналом</t>
  </si>
  <si>
    <t>9.3.3.</t>
  </si>
  <si>
    <t>Преобразователь давления</t>
  </si>
  <si>
    <t>9.3.4.</t>
  </si>
  <si>
    <t>Преобразователь температуры</t>
  </si>
  <si>
    <t>9.3.5.</t>
  </si>
  <si>
    <t>узел/раз</t>
  </si>
  <si>
    <t>9.3.6.</t>
  </si>
  <si>
    <t>Пуско-наладочные работы</t>
  </si>
  <si>
    <t>Вытяжные установки</t>
  </si>
  <si>
    <t>10.1.</t>
  </si>
  <si>
    <t>Вентиляторы 3.4.5</t>
  </si>
  <si>
    <t>10.2.</t>
  </si>
  <si>
    <t>Вентиляторы 6.6.3</t>
  </si>
  <si>
    <t>10.3.</t>
  </si>
  <si>
    <t>Вентиляторы 7.8</t>
  </si>
  <si>
    <t>10.4.</t>
  </si>
  <si>
    <t>Вентиляторы 10</t>
  </si>
  <si>
    <t>10.5.</t>
  </si>
  <si>
    <t>Вентиляторы 20</t>
  </si>
  <si>
    <t>Приточные установки</t>
  </si>
  <si>
    <t>11.1.</t>
  </si>
  <si>
    <t>11.2.</t>
  </si>
  <si>
    <t>11.3.</t>
  </si>
  <si>
    <t>11.4.</t>
  </si>
  <si>
    <t>11.5.</t>
  </si>
  <si>
    <t>Тепловые завесы</t>
  </si>
  <si>
    <t>12.1.</t>
  </si>
  <si>
    <t>12.2.</t>
  </si>
  <si>
    <t>12.3.</t>
  </si>
  <si>
    <t>12.4.</t>
  </si>
  <si>
    <t>куб. м</t>
  </si>
  <si>
    <t>Зимнее содержание территории</t>
  </si>
  <si>
    <t>16.1.</t>
  </si>
  <si>
    <t>- детские дошкольные учреждения</t>
  </si>
  <si>
    <t>16.2.</t>
  </si>
  <si>
    <t>- прочие учреждения</t>
  </si>
  <si>
    <t>Очистка кровель (только подлежащие очистке)</t>
  </si>
  <si>
    <t>Эксплуатационные услуги (помещения, встроенные в жилой фонд, тариф согласно серии дома)</t>
  </si>
  <si>
    <t>руб./кв.м. в месяц</t>
  </si>
  <si>
    <t>ИТОГО по КОСГУ (Доп. КР) 225 (941)</t>
  </si>
  <si>
    <t>N п/п</t>
  </si>
  <si>
    <t>Физический объем/ периодичность ремонтов</t>
  </si>
  <si>
    <t xml:space="preserve">Тариф руб./ед. изм. </t>
  </si>
  <si>
    <t>ИТОГО по КОСГУ (Доп. КР) 225 (942)</t>
  </si>
  <si>
    <t>к Порядку составления проекта бюджета</t>
  </si>
  <si>
    <t>муниципального образования город Норильск</t>
  </si>
  <si>
    <t>на очередной финансовый год и плановый период,</t>
  </si>
  <si>
    <t>Очередной финансовый 2020 год</t>
  </si>
  <si>
    <t>Очередной финансовый 2021 год</t>
  </si>
  <si>
    <t>Очередной финансовый 2022 год</t>
  </si>
  <si>
    <t>Физический объём</t>
  </si>
  <si>
    <t>техническое обслуживание ОПС и ППА СОУЭ</t>
  </si>
  <si>
    <t>м2</t>
  </si>
  <si>
    <t>расходы на огнезащитную обработку деревянных конструкций</t>
  </si>
  <si>
    <t>расходы на зарядку огнетушителей</t>
  </si>
  <si>
    <t>испытание электрооборудования</t>
  </si>
  <si>
    <t>испытания аэродинамические</t>
  </si>
  <si>
    <t>шт</t>
  </si>
  <si>
    <t xml:space="preserve">расходов на поверку средств измерений (СИ) </t>
  </si>
  <si>
    <t xml:space="preserve">ИТОГО по КОСГУ (Доп.КР) 225(947) </t>
  </si>
  <si>
    <t>Обоснование расходов по прочим работам и услугам (Доп.Кр.954)* (источник финансирования-внебюджет)</t>
  </si>
  <si>
    <t>Физический объем/ периодичность</t>
  </si>
  <si>
    <t>Итого тыс. руб.  гр. 4 х гр. 5 / 1000</t>
  </si>
  <si>
    <t>Итого тыс. руб.  гр. 7 х гр. 8 / 1000</t>
  </si>
  <si>
    <t>Итого тыс. руб.  гр. 10 х гр. 11 / 1000</t>
  </si>
  <si>
    <t>чел.</t>
  </si>
  <si>
    <t>ИТОГО по КОСГУ (Доп. КР) 226 (954)</t>
  </si>
  <si>
    <t>Код 226 (955)</t>
  </si>
  <si>
    <t>№п\п</t>
  </si>
  <si>
    <t>Организация, адрес</t>
  </si>
  <si>
    <t>Количество услуг</t>
  </si>
  <si>
    <t>Сумма начисления за услугу</t>
  </si>
  <si>
    <t>Страховые взносы, 27,1%</t>
  </si>
  <si>
    <t>*В данной табличной форме так же указывать расходы по ГПХ, предусмотренные в рамках стимулирования</t>
  </si>
  <si>
    <t>Обоснование расходов, связанных с приобретением (изготовлением) подарочной и сувенирной продукции, не предназначенной для дальнейшей перепродажи (Доп.Кр.963)* (источник финансирования-внебюджет)</t>
  </si>
  <si>
    <t xml:space="preserve">Наименование </t>
  </si>
  <si>
    <t>План 2020, тыс.руб.</t>
  </si>
  <si>
    <t>План 2021, тыс.руб.</t>
  </si>
  <si>
    <t>план</t>
  </si>
  <si>
    <t>Кол-во</t>
  </si>
  <si>
    <t>Цена, руб.</t>
  </si>
  <si>
    <t>Сумма, тыс.руб.</t>
  </si>
  <si>
    <t>исп</t>
  </si>
  <si>
    <t>План 2022, тыс.руб.</t>
  </si>
  <si>
    <t>*В данной табличной форме так же указывать расходы на приобретение строительных материалов, предусмотренные в рамках стимулирования</t>
  </si>
  <si>
    <t>Обоснование расходов для формирования бюджета муниципального образования город Норильск на 2020-2022 годы по приобретению основных средств, КОСГУ 310 (971) (источник финансирования-внебюджет)</t>
  </si>
  <si>
    <t>ВИД ОС</t>
  </si>
  <si>
    <t>Приобретено</t>
  </si>
  <si>
    <t>ПЛАН
2020 год</t>
  </si>
  <si>
    <t>ПЛАН 
2021 год, тыс.руб.</t>
  </si>
  <si>
    <t>ПЛАН 
2022 год, тыс.руб.</t>
  </si>
  <si>
    <t>2018 год</t>
  </si>
  <si>
    <t>МБ</t>
  </si>
  <si>
    <t>КБ справочно</t>
  </si>
  <si>
    <t>платные справочно</t>
  </si>
  <si>
    <t>ВНЕБЮДЖЕТ</t>
  </si>
  <si>
    <t>кол-во</t>
  </si>
  <si>
    <t>цена за ед.</t>
  </si>
  <si>
    <t>общая сумма затрат</t>
  </si>
  <si>
    <t>1. Мебель</t>
  </si>
  <si>
    <t>5. Учебно-игровое оборудование</t>
  </si>
  <si>
    <t>6. Сантехническое оборудование</t>
  </si>
  <si>
    <t>7. Медицинское оборудование</t>
  </si>
  <si>
    <t>8. Свето-, звуко-, кино-, видео- оборудование</t>
  </si>
  <si>
    <t>9. Спортивное оборудование и инвентарь</t>
  </si>
  <si>
    <t>10. Музыкальные инструменты</t>
  </si>
  <si>
    <t>11. Сценические костюмы</t>
  </si>
  <si>
    <t>12. Библиотечный фонд</t>
  </si>
  <si>
    <t>Обоснование расходов для формирования бюджета муниципального образования город Норильск на 2020-2022 годы на приобретение расходных материалов и предметов снабжения. КОСГУ 340 (981)* (источник финансирования-внебюджет)</t>
  </si>
  <si>
    <t>План 2020 год</t>
  </si>
  <si>
    <t>План 2021 год, тыс.руб.</t>
  </si>
  <si>
    <t>План 2022 год, тыс.руб.</t>
  </si>
  <si>
    <t>Сумма, тыс. руб.</t>
  </si>
  <si>
    <t>I</t>
  </si>
  <si>
    <t>Картриджи</t>
  </si>
  <si>
    <t>II</t>
  </si>
  <si>
    <t>Бумага офисная</t>
  </si>
  <si>
    <t>III</t>
  </si>
  <si>
    <t>Зап.части к компьютерной технике</t>
  </si>
  <si>
    <t>IV</t>
  </si>
  <si>
    <t>Запчасти к транспортным средствам</t>
  </si>
  <si>
    <t>V</t>
  </si>
  <si>
    <t>Канцелярские товары</t>
  </si>
  <si>
    <t>VI</t>
  </si>
  <si>
    <t>VII</t>
  </si>
  <si>
    <t>Моющие товары (бытовая химия)</t>
  </si>
  <si>
    <t>VIII</t>
  </si>
  <si>
    <t>Инструменты и электротовары</t>
  </si>
  <si>
    <t>IX</t>
  </si>
  <si>
    <t>Прочие (указать)</t>
  </si>
  <si>
    <t>Обоснование расходов для формирования бюджета муниципального образования город Норильск на 2020-2022 годы по коммунальным услугам КОСГУ 223 (931,932,933)* (источник финансирования-внебюджет)</t>
  </si>
  <si>
    <t>исполнитель</t>
  </si>
  <si>
    <t>Обоснование расходов  на приобретение мягкого инвентаря на 2020-2022 годы, Доп.КР 985* (источник финансирования-внебюджет)</t>
  </si>
  <si>
    <t>Постельное белье</t>
  </si>
  <si>
    <t>Спецодежда и спецобувь</t>
  </si>
  <si>
    <t>*В данной табличной форме так же указывать расходы на приобретение мягкого инвентаря, предусмотренные в рамках стимулирования</t>
  </si>
  <si>
    <t>Обоснование расходов  на приобретение строительных материалов на 2020-2022 годы, КОСГУ 344 (986)* (источник финансирования -внебюджет)</t>
  </si>
  <si>
    <t>Наименование показателя</t>
  </si>
  <si>
    <t>Код строки</t>
  </si>
  <si>
    <t>Сумма, руб.</t>
  </si>
  <si>
    <t>(текущий финансовый год)</t>
  </si>
  <si>
    <t>(первый год планового периода)</t>
  </si>
  <si>
    <t>(второй год планового периода)</t>
  </si>
  <si>
    <t>Задолженность перед персоналом по оплате труда (кредиторская задолженность) на начало года</t>
  </si>
  <si>
    <t>Задолженность персонала по полученным авансам (дебиторская задолженность) на начало года</t>
  </si>
  <si>
    <t>Фонд оплаты труда</t>
  </si>
  <si>
    <t>Задолженность перед персоналом по оплате труда (кредиторская задолженность) на конец года</t>
  </si>
  <si>
    <t>Задолженность персонала по полученным авансам (дебиторская задолженность) на конец года</t>
  </si>
  <si>
    <r>
      <t>Планируемые выплаты на оплату труда (</t>
    </r>
    <r>
      <rPr>
        <b/>
        <sz val="11"/>
        <color rgb="FF0000FF"/>
        <rFont val="Calibri"/>
        <family val="2"/>
        <charset val="204"/>
        <scheme val="minor"/>
      </rPr>
      <t>с. 0100</t>
    </r>
    <r>
      <rPr>
        <b/>
        <sz val="11"/>
        <color theme="1"/>
        <rFont val="Calibri"/>
        <family val="2"/>
        <charset val="204"/>
        <scheme val="minor"/>
      </rPr>
      <t xml:space="preserve"> - </t>
    </r>
    <r>
      <rPr>
        <b/>
        <sz val="11"/>
        <color rgb="FF0000FF"/>
        <rFont val="Calibri"/>
        <family val="2"/>
        <charset val="204"/>
        <scheme val="minor"/>
      </rPr>
      <t>с. 0200</t>
    </r>
    <r>
      <rPr>
        <b/>
        <sz val="11"/>
        <color theme="1"/>
        <rFont val="Calibri"/>
        <family val="2"/>
        <charset val="204"/>
        <scheme val="minor"/>
      </rPr>
      <t xml:space="preserve"> + </t>
    </r>
    <r>
      <rPr>
        <b/>
        <sz val="11"/>
        <color rgb="FF0000FF"/>
        <rFont val="Calibri"/>
        <family val="2"/>
        <charset val="204"/>
        <scheme val="minor"/>
      </rPr>
      <t>с. 0300</t>
    </r>
    <r>
      <rPr>
        <b/>
        <sz val="11"/>
        <color theme="1"/>
        <rFont val="Calibri"/>
        <family val="2"/>
        <charset val="204"/>
        <scheme val="minor"/>
      </rPr>
      <t xml:space="preserve"> - </t>
    </r>
    <r>
      <rPr>
        <b/>
        <sz val="11"/>
        <color rgb="FF0000FF"/>
        <rFont val="Calibri"/>
        <family val="2"/>
        <charset val="204"/>
        <scheme val="minor"/>
      </rPr>
      <t>с. 0400</t>
    </r>
    <r>
      <rPr>
        <b/>
        <sz val="11"/>
        <color theme="1"/>
        <rFont val="Calibri"/>
        <family val="2"/>
        <charset val="204"/>
        <scheme val="minor"/>
      </rPr>
      <t xml:space="preserve"> + </t>
    </r>
    <r>
      <rPr>
        <b/>
        <sz val="11"/>
        <color rgb="FF0000FF"/>
        <rFont val="Calibri"/>
        <family val="2"/>
        <charset val="204"/>
        <scheme val="minor"/>
      </rPr>
      <t>с. 0500</t>
    </r>
    <r>
      <rPr>
        <b/>
        <sz val="11"/>
        <color theme="1"/>
        <rFont val="Calibri"/>
        <family val="2"/>
        <charset val="204"/>
        <scheme val="minor"/>
      </rPr>
      <t>)</t>
    </r>
  </si>
  <si>
    <t>на 2020 г.</t>
  </si>
  <si>
    <t>на 2021 г.</t>
  </si>
  <si>
    <t>на 2022 г.</t>
  </si>
  <si>
    <t>Задолженность по обязательствам (кредиторская задолженность) на начало года</t>
  </si>
  <si>
    <t>Сумма излишне уплаченных либо излишне взысканных страховых взносов (дебиторская задолженность) на начало года</t>
  </si>
  <si>
    <t>Страховые взносы на обязательное социальное страхование</t>
  </si>
  <si>
    <t>Задолженность по уплате страховых взносов (кредиторская задолженность) на конец года</t>
  </si>
  <si>
    <t>Сумма излишне уплаченных либо излишне взысканных страховых взносов (дебиторская задолженность) на конец года</t>
  </si>
  <si>
    <r>
      <t>Планируемые выплаты на страховые взносы на обязательное социальное страхование (</t>
    </r>
    <r>
      <rPr>
        <b/>
        <sz val="11"/>
        <color rgb="FF0000FF"/>
        <rFont val="Calibri"/>
        <family val="2"/>
        <charset val="204"/>
        <scheme val="minor"/>
      </rPr>
      <t>с. 0100</t>
    </r>
    <r>
      <rPr>
        <b/>
        <sz val="11"/>
        <color theme="1"/>
        <rFont val="Calibri"/>
        <family val="2"/>
        <charset val="204"/>
        <scheme val="minor"/>
      </rPr>
      <t xml:space="preserve"> - </t>
    </r>
    <r>
      <rPr>
        <b/>
        <sz val="11"/>
        <color rgb="FF0000FF"/>
        <rFont val="Calibri"/>
        <family val="2"/>
        <charset val="204"/>
        <scheme val="minor"/>
      </rPr>
      <t>с. 0200</t>
    </r>
    <r>
      <rPr>
        <b/>
        <sz val="11"/>
        <color theme="1"/>
        <rFont val="Calibri"/>
        <family val="2"/>
        <charset val="204"/>
        <scheme val="minor"/>
      </rPr>
      <t xml:space="preserve"> + </t>
    </r>
    <r>
      <rPr>
        <b/>
        <sz val="11"/>
        <color rgb="FF0000FF"/>
        <rFont val="Calibri"/>
        <family val="2"/>
        <charset val="204"/>
        <scheme val="minor"/>
      </rPr>
      <t>с. 0300</t>
    </r>
    <r>
      <rPr>
        <b/>
        <sz val="11"/>
        <color theme="1"/>
        <rFont val="Calibri"/>
        <family val="2"/>
        <charset val="204"/>
        <scheme val="minor"/>
      </rPr>
      <t xml:space="preserve"> - </t>
    </r>
    <r>
      <rPr>
        <b/>
        <sz val="11"/>
        <color rgb="FF0000FF"/>
        <rFont val="Calibri"/>
        <family val="2"/>
        <charset val="204"/>
        <scheme val="minor"/>
      </rPr>
      <t>с. 0400</t>
    </r>
    <r>
      <rPr>
        <b/>
        <sz val="11"/>
        <color theme="1"/>
        <rFont val="Calibri"/>
        <family val="2"/>
        <charset val="204"/>
        <scheme val="minor"/>
      </rPr>
      <t xml:space="preserve"> + </t>
    </r>
    <r>
      <rPr>
        <b/>
        <sz val="11"/>
        <color rgb="FF0000FF"/>
        <rFont val="Calibri"/>
        <family val="2"/>
        <charset val="204"/>
        <scheme val="minor"/>
      </rPr>
      <t>с. 0500</t>
    </r>
    <r>
      <rPr>
        <b/>
        <sz val="11"/>
        <color theme="1"/>
        <rFont val="Calibri"/>
        <family val="2"/>
        <charset val="204"/>
        <scheme val="minor"/>
      </rPr>
      <t>)</t>
    </r>
  </si>
  <si>
    <t>Задолженность по принятым и неисполненным обязательствам, полученные предварительные платежи (авансы) по контрактам (договорам) (кредиторская задолженность) на начало года</t>
  </si>
  <si>
    <t>Произведенные предварительные платежи (авансы) по контрактам (договорам) (дебиторская задолженность) на начало года</t>
  </si>
  <si>
    <t>Расходы на закупку товаров, работ и услуг, всего</t>
  </si>
  <si>
    <t>в том числе:</t>
  </si>
  <si>
    <t>услуги связи</t>
  </si>
  <si>
    <t>транспортные услуги</t>
  </si>
  <si>
    <t>коммунальные услуги</t>
  </si>
  <si>
    <t>аренда имущества</t>
  </si>
  <si>
    <t>содержание имущества</t>
  </si>
  <si>
    <t>обязательное страхование</t>
  </si>
  <si>
    <t>повышение квалификации (профессиональная переподготовка)</t>
  </si>
  <si>
    <t>оплата услуг и работ (медицинских осмотров, информационных услуг, консультационных услуг, экспертных услуг, научно-исследовательских работ, типографских работ), не указанных выше</t>
  </si>
  <si>
    <t>приобретение объектов движимого имущества</t>
  </si>
  <si>
    <t>приобретение материальных запасов</t>
  </si>
  <si>
    <t>Задолженность по принятым и неисполненным обязательствам, полученные предварительные платежи (авансы) по контрактам (договорам) (кредиторская задолженность) на конец года</t>
  </si>
  <si>
    <t>Произведенные предварительные платежи (авансы) по контрактам (договорам) (дебиторская задолженность) на конец года</t>
  </si>
  <si>
    <r>
      <t>Планируемые выплаты на закупку товаров, работ и услуг (</t>
    </r>
    <r>
      <rPr>
        <b/>
        <sz val="11"/>
        <color rgb="FF0000FF"/>
        <rFont val="Calibri"/>
        <family val="2"/>
        <charset val="204"/>
        <scheme val="minor"/>
      </rPr>
      <t>с. 0100</t>
    </r>
    <r>
      <rPr>
        <b/>
        <sz val="11"/>
        <color theme="1"/>
        <rFont val="Calibri"/>
        <family val="2"/>
        <charset val="204"/>
        <scheme val="minor"/>
      </rPr>
      <t xml:space="preserve"> - </t>
    </r>
    <r>
      <rPr>
        <b/>
        <sz val="11"/>
        <color rgb="FF0000FF"/>
        <rFont val="Calibri"/>
        <family val="2"/>
        <charset val="204"/>
        <scheme val="minor"/>
      </rPr>
      <t>с. 0200</t>
    </r>
    <r>
      <rPr>
        <b/>
        <sz val="11"/>
        <color theme="1"/>
        <rFont val="Calibri"/>
        <family val="2"/>
        <charset val="204"/>
        <scheme val="minor"/>
      </rPr>
      <t xml:space="preserve"> + </t>
    </r>
    <r>
      <rPr>
        <b/>
        <sz val="11"/>
        <color rgb="FF0000FF"/>
        <rFont val="Calibri"/>
        <family val="2"/>
        <charset val="204"/>
        <scheme val="minor"/>
      </rPr>
      <t>с. 0300</t>
    </r>
    <r>
      <rPr>
        <b/>
        <sz val="11"/>
        <color theme="1"/>
        <rFont val="Calibri"/>
        <family val="2"/>
        <charset val="204"/>
        <scheme val="minor"/>
      </rPr>
      <t xml:space="preserve"> - </t>
    </r>
    <r>
      <rPr>
        <b/>
        <sz val="11"/>
        <color rgb="FF0000FF"/>
        <rFont val="Calibri"/>
        <family val="2"/>
        <charset val="204"/>
        <scheme val="minor"/>
      </rPr>
      <t>с. 0400</t>
    </r>
    <r>
      <rPr>
        <b/>
        <sz val="11"/>
        <color theme="1"/>
        <rFont val="Calibri"/>
        <family val="2"/>
        <charset val="204"/>
        <scheme val="minor"/>
      </rPr>
      <t xml:space="preserve"> + </t>
    </r>
    <r>
      <rPr>
        <b/>
        <sz val="11"/>
        <color rgb="FF0000FF"/>
        <rFont val="Calibri"/>
        <family val="2"/>
        <charset val="204"/>
        <scheme val="minor"/>
      </rPr>
      <t>с. 0500</t>
    </r>
    <r>
      <rPr>
        <b/>
        <sz val="11"/>
        <color theme="1"/>
        <rFont val="Calibri"/>
        <family val="2"/>
        <charset val="204"/>
        <scheme val="minor"/>
      </rPr>
      <t>)</t>
    </r>
  </si>
  <si>
    <t>прочие расходы</t>
  </si>
  <si>
    <t>приобретение (изготовление) подарочной и сувенирной продукции</t>
  </si>
  <si>
    <t>иные расходы</t>
  </si>
  <si>
    <t>Обоснование (расчет) плановых показателей по выплатам по элементу вида расходов классификации расходов бюджетов 111 "Фонд оплаты труда учреждений" (источник финансирования-внебюджет)</t>
  </si>
  <si>
    <t xml:space="preserve">утвержденному постановлением </t>
  </si>
  <si>
    <t>Администрации города Норильска</t>
  </si>
  <si>
    <t>от 30 июня 2015 г. N 337</t>
  </si>
  <si>
    <t>Фактические исполнение за 2018 год</t>
  </si>
  <si>
    <t>Текущий 2019 год</t>
  </si>
  <si>
    <t>Примечание (указать причины роста)</t>
  </si>
  <si>
    <t>изначально утвержденный план</t>
  </si>
  <si>
    <t>уточненный план</t>
  </si>
  <si>
    <t>ожидаемое исполнение</t>
  </si>
  <si>
    <t xml:space="preserve">Итого тыс.руб. </t>
  </si>
  <si>
    <t>Итого:</t>
  </si>
  <si>
    <t>Начальник отдела</t>
  </si>
  <si>
    <t>Приложение № 33</t>
  </si>
  <si>
    <t>тыс. руб.</t>
  </si>
  <si>
    <t>Наименование КОСГУ (Доп. КР) 212 (919)</t>
  </si>
  <si>
    <t>Фактическое исполнение за 2018год</t>
  </si>
  <si>
    <t>2019 год</t>
  </si>
  <si>
    <t>отклонение (гр. 10 - гр. 4)</t>
  </si>
  <si>
    <t>кол-во чел.</t>
  </si>
  <si>
    <t>кол-во вакансий</t>
  </si>
  <si>
    <t>стоимость подлежащая возмещению*</t>
  </si>
  <si>
    <t xml:space="preserve">Итого </t>
  </si>
  <si>
    <t>* средняя цена по городу: 404,172 тыс. руб. (фактическое исполнение за 2018 год) : 88 человек (фактически прошло первичный медицинский осмотр в 2018 году) = 4,6 тыс. руб.</t>
  </si>
  <si>
    <t>Шикера И.А., тел.:2822</t>
  </si>
  <si>
    <t>ожидаемое</t>
  </si>
  <si>
    <t>Тариф руб./ед. изм. (без НДС)</t>
  </si>
  <si>
    <t>Итого тыс. руб. (с НДС)</t>
  </si>
  <si>
    <t>АИТП</t>
  </si>
  <si>
    <t>в том числе финансирование:</t>
  </si>
  <si>
    <t>21.1.</t>
  </si>
  <si>
    <t>за счет платных услуг</t>
  </si>
  <si>
    <t>21.2.</t>
  </si>
  <si>
    <t>за счет бюджета</t>
  </si>
  <si>
    <t>Т.П. Сергеева</t>
  </si>
  <si>
    <t>на 20__ г.</t>
  </si>
  <si>
    <t>Иные выплаты персоналу учреждений, за исключением фонда оплаты труда</t>
  </si>
  <si>
    <t>Возмещение работникам (сотрудникам) расходов, связанных со служебными командировками (суточные при служебных командировках)</t>
  </si>
  <si>
    <t>Оплата стоимости проезда к месту отдыха и обратно</t>
  </si>
  <si>
    <t>Подъемные</t>
  </si>
  <si>
    <t>Возмещение работникам (сотрудникам) расходов, связанных со служебными командировками (проезд к месту служебной командировки и обратно к месту постоянной работы транспортом общего пользования)</t>
  </si>
  <si>
    <t>Прочие выплаты</t>
  </si>
  <si>
    <t>Возмещение расходов на прохождение медицинского осмотра</t>
  </si>
  <si>
    <t>Возмещение расходов, связанных со служебными командировками (проживание в служебных командировках)</t>
  </si>
  <si>
    <t>Социальные пособия и компенсации персоналу в денежной форме</t>
  </si>
  <si>
    <t>Задолженность перед персоналом по иным выплатам персоналу учреждений, за исключением фонда оплаты труда"  (кредиторская задолженность) на начало года</t>
  </si>
  <si>
    <t>Задолженность перед персоналом по иным выплатам персоналу учреждений, за исключением фонда оплаты труда"  (кредиторская задолженность) на конец года</t>
  </si>
  <si>
    <t>Планируемые иные выплаты персоналу учреждений, за исключением фонда оплаты труда (с. 0100 - с. 0200 + с. 0300 - с. 0400 + с. 0500)</t>
  </si>
  <si>
    <t>913</t>
  </si>
  <si>
    <t>921</t>
  </si>
  <si>
    <t>918</t>
  </si>
  <si>
    <t>919</t>
  </si>
  <si>
    <t>952</t>
  </si>
  <si>
    <t>914</t>
  </si>
  <si>
    <t>Доп.Кр.</t>
  </si>
  <si>
    <t>Задолженность (кредиторская задолженность) на начало года</t>
  </si>
  <si>
    <t>Задолженность  (дебиторская задолженность) на начало года</t>
  </si>
  <si>
    <t>Иные выплаты, за исключением фонда оплаты труда учреждений, лицам, привлекаемым согласно законодательству для выполнения отдельных полномочий</t>
  </si>
  <si>
    <t>Выплата суточных, а также денежных средств на питание (при невозможности приобретения услуг по его организации), а также компенсация расходов на проезд и проживание в жилых помещениях (найм жилого помещения) спортсменам и студентам при их направлении на различного рода мероприятия (соревнования, олимпиады, учебную практику и иные мероприятия) и приглашенным лицам</t>
  </si>
  <si>
    <t>Задолженность (кредиторская задолженность) на конец года</t>
  </si>
  <si>
    <t>Задолженность (дебиторская задолженность) на конец года</t>
  </si>
  <si>
    <t>Мероприятия и программы МП</t>
  </si>
  <si>
    <t>ДопКР</t>
  </si>
  <si>
    <t>Наименова-ние ГРБС/ Бюджетополучатель</t>
  </si>
  <si>
    <t>2019 год (начало года)</t>
  </si>
  <si>
    <t>2019 год (ожидаемое на 01.05.2019)</t>
  </si>
  <si>
    <t>в том числе</t>
  </si>
  <si>
    <t>Примечание (пояснение динамики натуральных и стоимостных показателей)</t>
  </si>
  <si>
    <t>Количество (общее, среднее) единиц</t>
  </si>
  <si>
    <t xml:space="preserve">Цена (средняя цена) 1 единицы категории, тыс. руб. /руб.
</t>
  </si>
  <si>
    <t>Объем финансирования, тыс. руб.</t>
  </si>
  <si>
    <t>Внепрограммные расходы</t>
  </si>
  <si>
    <t xml:space="preserve"> +/- гр.17 - гр.11</t>
  </si>
  <si>
    <t>% гр.17/гр.11</t>
  </si>
  <si>
    <t>966</t>
  </si>
  <si>
    <t>Обоснование (расчет) плановых показателей по выплатам по элементу вида расходов классификации расходов бюджетов 111 "Фонд оплаты труда учреждений" (источник финансирования-бюджет), МП "Развитие культуры"</t>
  </si>
  <si>
    <t>Обоснование (расчет) плановых показателей по выплатам по элементу вида расходов классификации расходов бюджетов 112 "Иные выплаты персоналу учреждений, за исключением фонда оплаты труда", МП "Развитие культуры"</t>
  </si>
  <si>
    <t>ОБОСНОВАНИЕ (расчет) РАСХОДОВ, ПОДЛЕЖАЩИХ ВОЗМЕЩЕНИЮ ПРИ ТРУДОУСТРОЙСТВЕ (ПРОХОЖДЕНИЕ МЕДИЦИНСКИХ ОСМОТРОВ), Доп.Кр.919, МП "Развитие культуры"</t>
  </si>
  <si>
    <t>Обоснование (расчет) плановых показателей по выплатам по элементу вида расходов классификации расходов бюджетов 113 "Иные выплаты, за исключением фонда оплаты труда учреждений, лицам, привлекаемым согласно законодательству для выполнения отдельных полномочий", МП "Развитие культуры"</t>
  </si>
  <si>
    <r>
      <t>Планируемые выплаты на оплату труда (</t>
    </r>
    <r>
      <rPr>
        <b/>
        <sz val="11"/>
        <color rgb="FF0000FF"/>
        <rFont val="Times New Roman"/>
        <family val="1"/>
        <charset val="204"/>
      </rPr>
      <t>с. 0100</t>
    </r>
    <r>
      <rPr>
        <b/>
        <sz val="11"/>
        <color theme="1"/>
        <rFont val="Times New Roman"/>
        <family val="1"/>
        <charset val="204"/>
      </rPr>
      <t xml:space="preserve"> - </t>
    </r>
    <r>
      <rPr>
        <b/>
        <sz val="11"/>
        <color rgb="FF0000FF"/>
        <rFont val="Times New Roman"/>
        <family val="1"/>
        <charset val="204"/>
      </rPr>
      <t>с. 0200</t>
    </r>
    <r>
      <rPr>
        <b/>
        <sz val="11"/>
        <color theme="1"/>
        <rFont val="Times New Roman"/>
        <family val="1"/>
        <charset val="204"/>
      </rPr>
      <t xml:space="preserve"> + </t>
    </r>
    <r>
      <rPr>
        <b/>
        <sz val="11"/>
        <color rgb="FF0000FF"/>
        <rFont val="Times New Roman"/>
        <family val="1"/>
        <charset val="204"/>
      </rPr>
      <t>с. 0300</t>
    </r>
    <r>
      <rPr>
        <b/>
        <sz val="11"/>
        <color theme="1"/>
        <rFont val="Times New Roman"/>
        <family val="1"/>
        <charset val="204"/>
      </rPr>
      <t xml:space="preserve"> - </t>
    </r>
    <r>
      <rPr>
        <b/>
        <sz val="11"/>
        <color rgb="FF0000FF"/>
        <rFont val="Times New Roman"/>
        <family val="1"/>
        <charset val="204"/>
      </rPr>
      <t>с. 0400</t>
    </r>
    <r>
      <rPr>
        <b/>
        <sz val="11"/>
        <color theme="1"/>
        <rFont val="Times New Roman"/>
        <family val="1"/>
        <charset val="204"/>
      </rPr>
      <t xml:space="preserve"> + </t>
    </r>
    <r>
      <rPr>
        <b/>
        <sz val="11"/>
        <color rgb="FF0000FF"/>
        <rFont val="Times New Roman"/>
        <family val="1"/>
        <charset val="204"/>
      </rPr>
      <t>с. 0500</t>
    </r>
    <r>
      <rPr>
        <b/>
        <sz val="11"/>
        <color theme="1"/>
        <rFont val="Times New Roman"/>
        <family val="1"/>
        <charset val="204"/>
      </rPr>
      <t>)</t>
    </r>
  </si>
  <si>
    <r>
      <t>Планируемые выплаты на страховые взносы на обязательное социальное страхование (</t>
    </r>
    <r>
      <rPr>
        <b/>
        <sz val="11"/>
        <color rgb="FF0000FF"/>
        <rFont val="Times New Roman"/>
        <family val="1"/>
        <charset val="204"/>
      </rPr>
      <t>с. 0100</t>
    </r>
    <r>
      <rPr>
        <b/>
        <sz val="11"/>
        <color theme="1"/>
        <rFont val="Times New Roman"/>
        <family val="1"/>
        <charset val="204"/>
      </rPr>
      <t xml:space="preserve"> - </t>
    </r>
    <r>
      <rPr>
        <b/>
        <sz val="11"/>
        <color rgb="FF0000FF"/>
        <rFont val="Times New Roman"/>
        <family val="1"/>
        <charset val="204"/>
      </rPr>
      <t>с. 0200</t>
    </r>
    <r>
      <rPr>
        <b/>
        <sz val="11"/>
        <color theme="1"/>
        <rFont val="Times New Roman"/>
        <family val="1"/>
        <charset val="204"/>
      </rPr>
      <t xml:space="preserve"> + </t>
    </r>
    <r>
      <rPr>
        <b/>
        <sz val="11"/>
        <color rgb="FF0000FF"/>
        <rFont val="Times New Roman"/>
        <family val="1"/>
        <charset val="204"/>
      </rPr>
      <t>с. 0300</t>
    </r>
    <r>
      <rPr>
        <b/>
        <sz val="11"/>
        <color theme="1"/>
        <rFont val="Times New Roman"/>
        <family val="1"/>
        <charset val="204"/>
      </rPr>
      <t xml:space="preserve"> - </t>
    </r>
    <r>
      <rPr>
        <b/>
        <sz val="11"/>
        <color rgb="FF0000FF"/>
        <rFont val="Times New Roman"/>
        <family val="1"/>
        <charset val="204"/>
      </rPr>
      <t>с. 0400</t>
    </r>
    <r>
      <rPr>
        <b/>
        <sz val="11"/>
        <color theme="1"/>
        <rFont val="Times New Roman"/>
        <family val="1"/>
        <charset val="204"/>
      </rPr>
      <t xml:space="preserve"> + </t>
    </r>
    <r>
      <rPr>
        <b/>
        <sz val="11"/>
        <color rgb="FF0000FF"/>
        <rFont val="Times New Roman"/>
        <family val="1"/>
        <charset val="204"/>
      </rPr>
      <t>с. 0500</t>
    </r>
    <r>
      <rPr>
        <b/>
        <sz val="11"/>
        <color theme="1"/>
        <rFont val="Times New Roman"/>
        <family val="1"/>
        <charset val="204"/>
      </rPr>
      <t>)</t>
    </r>
  </si>
  <si>
    <r>
      <t>Планируемые иные выплаты, за исключением фонда оплаты труда учреждений, лицам, привлекаемым согласно законодательству для выполнения отдельных полномочий (</t>
    </r>
    <r>
      <rPr>
        <b/>
        <sz val="11"/>
        <color rgb="FF0000FF"/>
        <rFont val="Times New Roman"/>
        <family val="1"/>
        <charset val="204"/>
      </rPr>
      <t>с. 0100</t>
    </r>
    <r>
      <rPr>
        <b/>
        <sz val="11"/>
        <color theme="1"/>
        <rFont val="Times New Roman"/>
        <family val="1"/>
        <charset val="204"/>
      </rPr>
      <t xml:space="preserve"> - </t>
    </r>
    <r>
      <rPr>
        <b/>
        <sz val="11"/>
        <color rgb="FF0000FF"/>
        <rFont val="Times New Roman"/>
        <family val="1"/>
        <charset val="204"/>
      </rPr>
      <t>с. 0200</t>
    </r>
    <r>
      <rPr>
        <b/>
        <sz val="11"/>
        <color theme="1"/>
        <rFont val="Times New Roman"/>
        <family val="1"/>
        <charset val="204"/>
      </rPr>
      <t xml:space="preserve"> + </t>
    </r>
    <r>
      <rPr>
        <b/>
        <sz val="11"/>
        <color rgb="FF0000FF"/>
        <rFont val="Times New Roman"/>
        <family val="1"/>
        <charset val="204"/>
      </rPr>
      <t>с. 0300</t>
    </r>
    <r>
      <rPr>
        <b/>
        <sz val="11"/>
        <color theme="1"/>
        <rFont val="Times New Roman"/>
        <family val="1"/>
        <charset val="204"/>
      </rPr>
      <t xml:space="preserve"> - </t>
    </r>
    <r>
      <rPr>
        <b/>
        <sz val="11"/>
        <color rgb="FF0000FF"/>
        <rFont val="Times New Roman"/>
        <family val="1"/>
        <charset val="204"/>
      </rPr>
      <t>с. 0400</t>
    </r>
    <r>
      <rPr>
        <b/>
        <sz val="11"/>
        <color theme="1"/>
        <rFont val="Times New Roman"/>
        <family val="1"/>
        <charset val="204"/>
      </rPr>
      <t xml:space="preserve"> + </t>
    </r>
    <r>
      <rPr>
        <b/>
        <sz val="11"/>
        <color rgb="FF0000FF"/>
        <rFont val="Times New Roman"/>
        <family val="1"/>
        <charset val="204"/>
      </rPr>
      <t>с. 0500</t>
    </r>
    <r>
      <rPr>
        <b/>
        <sz val="11"/>
        <color theme="1"/>
        <rFont val="Times New Roman"/>
        <family val="1"/>
        <charset val="204"/>
      </rPr>
      <t>)</t>
    </r>
  </si>
  <si>
    <t>Задолженность(кредиторская задолженность) на начало года</t>
  </si>
  <si>
    <t>Задолженность(дебиторская задолженность) на начало года</t>
  </si>
  <si>
    <t>Пособия, компенсации и иные социальные выплаты гражданам, кроме публичных нормативных обязательств</t>
  </si>
  <si>
    <t>Выходные пособия и компенсации при увольнении в связи с сокращением</t>
  </si>
  <si>
    <t>Заработная плата</t>
  </si>
  <si>
    <t>Пенсии, пособия, выплачиваемые, организациями сектора государственного управления</t>
  </si>
  <si>
    <t>компенсация расходов, связанных с переездом из районов Крайнего Севера</t>
  </si>
  <si>
    <r>
      <t>Планируемые выплаты на пособия, компенсации и иные социальные выплаты гражданам, кроме публичных нормативных обязательств (</t>
    </r>
    <r>
      <rPr>
        <b/>
        <sz val="11"/>
        <color rgb="FF0000FF"/>
        <rFont val="Calibri"/>
        <family val="2"/>
        <charset val="204"/>
        <scheme val="minor"/>
      </rPr>
      <t>с. 0100</t>
    </r>
    <r>
      <rPr>
        <b/>
        <sz val="11"/>
        <color theme="1"/>
        <rFont val="Calibri"/>
        <family val="2"/>
        <charset val="204"/>
        <scheme val="minor"/>
      </rPr>
      <t xml:space="preserve"> - </t>
    </r>
    <r>
      <rPr>
        <b/>
        <sz val="11"/>
        <color rgb="FF0000FF"/>
        <rFont val="Calibri"/>
        <family val="2"/>
        <charset val="204"/>
        <scheme val="minor"/>
      </rPr>
      <t>с. 0200</t>
    </r>
    <r>
      <rPr>
        <b/>
        <sz val="11"/>
        <color theme="1"/>
        <rFont val="Calibri"/>
        <family val="2"/>
        <charset val="204"/>
        <scheme val="minor"/>
      </rPr>
      <t xml:space="preserve"> + </t>
    </r>
    <r>
      <rPr>
        <b/>
        <sz val="11"/>
        <color rgb="FF0000FF"/>
        <rFont val="Calibri"/>
        <family val="2"/>
        <charset val="204"/>
        <scheme val="minor"/>
      </rPr>
      <t>с. 0300</t>
    </r>
    <r>
      <rPr>
        <b/>
        <sz val="11"/>
        <color theme="1"/>
        <rFont val="Calibri"/>
        <family val="2"/>
        <charset val="204"/>
        <scheme val="minor"/>
      </rPr>
      <t xml:space="preserve"> - </t>
    </r>
    <r>
      <rPr>
        <b/>
        <sz val="11"/>
        <color rgb="FF0000FF"/>
        <rFont val="Calibri"/>
        <family val="2"/>
        <charset val="204"/>
        <scheme val="minor"/>
      </rPr>
      <t>с. 0400</t>
    </r>
    <r>
      <rPr>
        <b/>
        <sz val="11"/>
        <color theme="1"/>
        <rFont val="Calibri"/>
        <family val="2"/>
        <charset val="204"/>
        <scheme val="minor"/>
      </rPr>
      <t xml:space="preserve"> + </t>
    </r>
    <r>
      <rPr>
        <b/>
        <sz val="11"/>
        <color rgb="FF0000FF"/>
        <rFont val="Calibri"/>
        <family val="2"/>
        <charset val="204"/>
        <scheme val="minor"/>
      </rPr>
      <t>с. 0500</t>
    </r>
    <r>
      <rPr>
        <b/>
        <sz val="11"/>
        <color theme="1"/>
        <rFont val="Calibri"/>
        <family val="2"/>
        <charset val="204"/>
        <scheme val="minor"/>
      </rPr>
      <t>)</t>
    </r>
  </si>
  <si>
    <t xml:space="preserve">Прогноз бюджета на 2020 год по статье "Коммунальные услуги" </t>
  </si>
  <si>
    <t>Код</t>
  </si>
  <si>
    <t>Факт 2016 год</t>
  </si>
  <si>
    <t>Факт 2017 год</t>
  </si>
  <si>
    <t xml:space="preserve">Факт 2018 год </t>
  </si>
  <si>
    <t>Проект 2020 год</t>
  </si>
  <si>
    <t>Проект на 2021</t>
  </si>
  <si>
    <t>Проект на 2022</t>
  </si>
  <si>
    <t>Финансирование, утвержденное ФинУ на 2019,                          тыс.руб.</t>
  </si>
  <si>
    <t>ожид.</t>
  </si>
  <si>
    <t>сумма, тыс.руб.</t>
  </si>
  <si>
    <t>кол-во с 01.01.2020 по 30.06.2020</t>
  </si>
  <si>
    <t>тариф с 01.01.2020 по 30.06.2020, тыс.руб.</t>
  </si>
  <si>
    <t>кол-во с 01.07.2020 по 31.12.2020</t>
  </si>
  <si>
    <t>тариф с 01.07.2020 по 31.12.2020, тыс.руб.</t>
  </si>
  <si>
    <t>эн.снабж. организация</t>
  </si>
  <si>
    <t>Годовое      кол-во</t>
  </si>
  <si>
    <t>сумма с НДС, тыс.руб.</t>
  </si>
  <si>
    <t>НТЭК</t>
  </si>
  <si>
    <t>НТЭК - пром.зона</t>
  </si>
  <si>
    <t>НТЭК-селитеб. зона</t>
  </si>
  <si>
    <t>НТЭК - пром. зона</t>
  </si>
  <si>
    <r>
      <t>Холодное в/снабжение, тыс.м</t>
    </r>
    <r>
      <rPr>
        <b/>
        <vertAlign val="superscript"/>
        <sz val="10"/>
        <rFont val="Times New Roman"/>
        <family val="1"/>
      </rPr>
      <t>3</t>
    </r>
    <r>
      <rPr>
        <b/>
        <sz val="10"/>
        <rFont val="Times New Roman"/>
        <family val="1"/>
      </rPr>
      <t>.</t>
    </r>
  </si>
  <si>
    <t xml:space="preserve">НТЭК </t>
  </si>
  <si>
    <r>
      <t>Водоотведение, тыс.м</t>
    </r>
    <r>
      <rPr>
        <b/>
        <vertAlign val="superscript"/>
        <sz val="10"/>
        <rFont val="Times New Roman"/>
        <family val="1"/>
      </rPr>
      <t>3</t>
    </r>
    <r>
      <rPr>
        <b/>
        <sz val="10"/>
        <rFont val="Times New Roman"/>
        <family val="1"/>
      </rPr>
      <t>.</t>
    </r>
  </si>
  <si>
    <t>МУП "КОС"</t>
  </si>
  <si>
    <t>СВОД</t>
  </si>
  <si>
    <t>43 72 47 *2899</t>
  </si>
  <si>
    <t>кто</t>
  </si>
  <si>
    <t>Приложение 14
к письму от "_____"_____________2017  №_________</t>
  </si>
  <si>
    <t>натуральный показатель</t>
  </si>
  <si>
    <t xml:space="preserve">стоимость услуги (тарифы) с НДС, рублей </t>
  </si>
  <si>
    <t>сумма, тыс. руб.</t>
  </si>
  <si>
    <t xml:space="preserve">план 2021г </t>
  </si>
  <si>
    <t xml:space="preserve">план  2022г </t>
  </si>
  <si>
    <t>2018 факт</t>
  </si>
  <si>
    <t>2019 план 
(на 01.01.19)</t>
  </si>
  <si>
    <t>2019 ожид</t>
  </si>
  <si>
    <t>2020 план/ 2019 план</t>
  </si>
  <si>
    <t>2019 план/ 2018 план</t>
  </si>
  <si>
    <t>2019 план</t>
  </si>
  <si>
    <t>утвержденный по состоянию на 01.01.2019</t>
  </si>
  <si>
    <t>1.</t>
  </si>
  <si>
    <t>Предоставление доступа к телефонной сети</t>
  </si>
  <si>
    <t>1.1.</t>
  </si>
  <si>
    <t>Установка основного телефонного аппарата</t>
  </si>
  <si>
    <t>ед.</t>
  </si>
  <si>
    <t>1.2.</t>
  </si>
  <si>
    <t>Установка дополнительного телефонного аппарата</t>
  </si>
  <si>
    <t>1.3.</t>
  </si>
  <si>
    <t>Установка телефона с односторонней связью (таксофон)</t>
  </si>
  <si>
    <t>1.4.</t>
  </si>
  <si>
    <t>Предоставление доступа к телефонной сети через комплекты спаренных абонентов</t>
  </si>
  <si>
    <t xml:space="preserve">ед. </t>
  </si>
  <si>
    <t>1.5.</t>
  </si>
  <si>
    <t>Предоставление доступа к телефонной сети параллельным абонентским устройством</t>
  </si>
  <si>
    <t>2.</t>
  </si>
  <si>
    <t>Предоставление местного телефонного соединения автоматическим способом (абонентская плата в месяц)</t>
  </si>
  <si>
    <t>2.1.</t>
  </si>
  <si>
    <t>За абонентский номер индивидуального пользования (основной телефонный аппарат)</t>
  </si>
  <si>
    <t>2.2.</t>
  </si>
  <si>
    <t>За дополнительный телефонный аппарат</t>
  </si>
  <si>
    <t>За параллельный и спаренный телефонный аппарат</t>
  </si>
  <si>
    <t>2.3.</t>
  </si>
  <si>
    <t>За основной телефонный аппарат с односторонней связью или параллельный к нему (таксофон)</t>
  </si>
  <si>
    <t>2.4.</t>
  </si>
  <si>
    <t>За аренду прямого провода, занимаемого для организации прямой связи между оконечными пунктами</t>
  </si>
  <si>
    <t>2.4.1.</t>
  </si>
  <si>
    <t xml:space="preserve"> - до 500 метров</t>
  </si>
  <si>
    <t>2.4.2.</t>
  </si>
  <si>
    <t xml:space="preserve"> - более 500 метров</t>
  </si>
  <si>
    <t>2.5.</t>
  </si>
  <si>
    <t>За аренду некоммутируемого канала, образованного аппаратурой систем передач или с использованием радиорелейных систем (радиорелейные станции, радиоудлинители)</t>
  </si>
  <si>
    <t>2.6.</t>
  </si>
  <si>
    <t>За аренду соединительной линии, прямого провода свыше 500 метров, образованных аппаратурой систем передач или с использованием радиорелейных систем (радиорелейные станции, радиоудлинители)</t>
  </si>
  <si>
    <t>2.7.</t>
  </si>
  <si>
    <t>Дополнительная абонентская плата за телефакс</t>
  </si>
  <si>
    <t>3.</t>
  </si>
  <si>
    <t>Дополнительные услуги городской телефонной связи</t>
  </si>
  <si>
    <t>3.1.</t>
  </si>
  <si>
    <t xml:space="preserve">Организация связи </t>
  </si>
  <si>
    <t>3.1.1.</t>
  </si>
  <si>
    <t>3.1.2.</t>
  </si>
  <si>
    <t>Прямого провода (организация прямой связи между двумя оконечными пунктами)</t>
  </si>
  <si>
    <t>3.1.3.</t>
  </si>
  <si>
    <t>Прямого провода (прямой связи) менее 500 метров (в приделах одного здания одного предприятия)</t>
  </si>
  <si>
    <t>3.2.</t>
  </si>
  <si>
    <t>Перестановка, переключение (изменение схемы включения) ТА(единовременно)</t>
  </si>
  <si>
    <t>3.2.1.</t>
  </si>
  <si>
    <t>Переустановка основного телефонного аппарата и иных абонентских устройств:</t>
  </si>
  <si>
    <t>3.2.1.1.</t>
  </si>
  <si>
    <t xml:space="preserve"> - в одной комнате</t>
  </si>
  <si>
    <t>3.2.1.2.</t>
  </si>
  <si>
    <t xml:space="preserve"> - в одном здании</t>
  </si>
  <si>
    <t>3.2.1.3.</t>
  </si>
  <si>
    <t xml:space="preserve"> - в другое здание</t>
  </si>
  <si>
    <t>3.2.2.</t>
  </si>
  <si>
    <t>Переустановка дополнительного ТА:</t>
  </si>
  <si>
    <t>3.2.2.1.</t>
  </si>
  <si>
    <t>3.2.2.2.</t>
  </si>
  <si>
    <t>3.2.2.3.</t>
  </si>
  <si>
    <t>3.2.3.</t>
  </si>
  <si>
    <t>Переустановка ТА с односторонней связью (таксофона) по заявке предприятия:</t>
  </si>
  <si>
    <t>3.2.3.1.</t>
  </si>
  <si>
    <t xml:space="preserve"> - в одном помещении</t>
  </si>
  <si>
    <t>3.2.3.2.</t>
  </si>
  <si>
    <t>3.2.4.</t>
  </si>
  <si>
    <t>Переустановка прямой связи:</t>
  </si>
  <si>
    <t>3.2.5.</t>
  </si>
  <si>
    <t>Изменение трассы прямого провода более 500 м метров (за каждый конец)</t>
  </si>
  <si>
    <t>3.2.6.</t>
  </si>
  <si>
    <t>До 500 метров в пределах одного здания</t>
  </si>
  <si>
    <t>3.3.</t>
  </si>
  <si>
    <t>Переименование:</t>
  </si>
  <si>
    <t>3.3.1.</t>
  </si>
  <si>
    <t xml:space="preserve"> - телефонов</t>
  </si>
  <si>
    <t>3.3.2.</t>
  </si>
  <si>
    <t xml:space="preserve"> - прямой связи</t>
  </si>
  <si>
    <t>3.4.</t>
  </si>
  <si>
    <t>Восстановление:</t>
  </si>
  <si>
    <t>3.4.1.</t>
  </si>
  <si>
    <t>Восстановление линии отдельного номера телефона по просьбе абонента (после кап.ремонта и др.) до 40 метров</t>
  </si>
  <si>
    <t>3.4.2.</t>
  </si>
  <si>
    <t>Восстановление прямой связи в пределах здания</t>
  </si>
  <si>
    <t>3.5.</t>
  </si>
  <si>
    <t>Охранная сигнализация, средства телемеханики, ГО, ЧС и др.</t>
  </si>
  <si>
    <t>3.5.1.</t>
  </si>
  <si>
    <t>Подключение устройства охранной сигнализации к линии действующего телефона (подключение линии на аппаратуру оповещения ГО)</t>
  </si>
  <si>
    <t>3.5.2.</t>
  </si>
  <si>
    <t>Абонементная плата за каждое подключаемое устройство охранной сигнализации (в месяц)</t>
  </si>
  <si>
    <t>3.6.</t>
  </si>
  <si>
    <t>Изменение категории абонента в аппаратуре АОН</t>
  </si>
  <si>
    <t>4.</t>
  </si>
  <si>
    <t>Услуги междугородней связи</t>
  </si>
  <si>
    <t>4.1.</t>
  </si>
  <si>
    <t>Прямой канал:</t>
  </si>
  <si>
    <t>4.1.1.</t>
  </si>
  <si>
    <r>
      <t xml:space="preserve">Норильск - … </t>
    </r>
    <r>
      <rPr>
        <i/>
        <sz val="8"/>
        <rFont val="Times New Roman Cyr"/>
        <family val="1"/>
        <charset val="204"/>
      </rPr>
      <t>Город</t>
    </r>
  </si>
  <si>
    <t>4.2.</t>
  </si>
  <si>
    <t xml:space="preserve">Поминутная оплата: </t>
  </si>
  <si>
    <t>4.2.1.</t>
  </si>
  <si>
    <t>мин.</t>
  </si>
  <si>
    <t>5.</t>
  </si>
  <si>
    <t>Услуги доступа к сети Интернет</t>
  </si>
  <si>
    <t>5.1.</t>
  </si>
  <si>
    <t>5.2.</t>
  </si>
  <si>
    <t>Доступ к сети по телефонной линии (почасовая оплата)</t>
  </si>
  <si>
    <t>час.</t>
  </si>
  <si>
    <t>Подкдючение к широкополосному доступу в интернет</t>
  </si>
  <si>
    <t>6.</t>
  </si>
  <si>
    <t>Почтовые услуги</t>
  </si>
  <si>
    <t>6.1.</t>
  </si>
  <si>
    <t>Приобретение конвертов</t>
  </si>
  <si>
    <t>6.2.</t>
  </si>
  <si>
    <t>Отправка телеграмм по России</t>
  </si>
  <si>
    <t>6.3.</t>
  </si>
  <si>
    <t>Абонентский ящик</t>
  </si>
  <si>
    <t>7.</t>
  </si>
  <si>
    <t>Услуги сотовой связи</t>
  </si>
  <si>
    <t>8.</t>
  </si>
  <si>
    <t>За абон.обслуживание по ТП "Квалифицированный Классик"</t>
  </si>
  <si>
    <t>цифровой канал</t>
  </si>
  <si>
    <t>абонентская плата за IVR-услуги  20000 руб. х 12 мес. х 18%</t>
  </si>
  <si>
    <t>IVR-услуги. Перезапись голосовых файлов  2000 руб. х 12 мес. х 18%</t>
  </si>
  <si>
    <t>внутризоновая связь</t>
  </si>
  <si>
    <t>внутризоновая телефонная связь</t>
  </si>
  <si>
    <t>Предоставление канала данных  3000 руб. х 12 мес.</t>
  </si>
  <si>
    <t>экспресс доставка</t>
  </si>
  <si>
    <t>Бочкарева О.В. (2821)</t>
  </si>
  <si>
    <t>вневедомственная охрана, охранная и пожарная сигнализация</t>
  </si>
  <si>
    <t>Приложение N 28</t>
  </si>
  <si>
    <t>к Порядку</t>
  </si>
  <si>
    <t>составления проекта бюджета</t>
  </si>
  <si>
    <t>муниципального образования</t>
  </si>
  <si>
    <t>город Норильск на очередной</t>
  </si>
  <si>
    <t>финансовый год и плановый период,</t>
  </si>
  <si>
    <t>утвержденному Постановлением</t>
  </si>
  <si>
    <t>Фактическое исполнение за 2018 год</t>
  </si>
  <si>
    <t>Ожидаемое 2019 год</t>
  </si>
  <si>
    <t>Уточненный план, тыс. руб. (с НДС)</t>
  </si>
  <si>
    <t>Изначально утвержденный план, тыс. руб. (с НДС)</t>
  </si>
  <si>
    <t>Тариф руб. ед. изм. (без НДС)</t>
  </si>
  <si>
    <t>кол-во ламп</t>
  </si>
  <si>
    <t>с 2019 года данная услуга оплачивается с ДопКР 934</t>
  </si>
  <si>
    <t>Обучение по охране труда</t>
  </si>
  <si>
    <t>В соответствии с Приказом МЧС РФ от 12 декабря 2007 г. N 645 "Об утверждении Норм пожарной безопасности «Обучение мерам пожарной безопасности работников организаций» обучение необходимо проводить раз в 3 года</t>
  </si>
  <si>
    <t>Исполнители:</t>
  </si>
  <si>
    <t>Обоснование (расчет) плановых показателей по выплатам по элементу вида расходов классификации расходов бюджетов 321 "Пособия, компенсации и иные социальные выплаты гражданам, кроме публичных нормативных обязательств", МП "Развитие культуры"</t>
  </si>
  <si>
    <t>Вознаграждение по договорам ГПХ с учетом страховых взносов</t>
  </si>
  <si>
    <t>приобретению периодических изданий, справочной литературы</t>
  </si>
  <si>
    <t>отклонение плановых показателей</t>
  </si>
  <si>
    <t xml:space="preserve">Объем финансирования, тыс.руб. </t>
  </si>
  <si>
    <t>Местный бюджет</t>
  </si>
  <si>
    <t>ИТОГО (гр.5+гр.6+гр.7)</t>
  </si>
  <si>
    <t>Платные</t>
  </si>
  <si>
    <t>Хозяйственные товары</t>
  </si>
  <si>
    <t>Наименование мероприятия</t>
  </si>
  <si>
    <t>Дата</t>
  </si>
  <si>
    <t>услуги по скорой медицинской помощи</t>
  </si>
  <si>
    <t>Приложение 3
к письму от "_____"_____________2017  №_________</t>
  </si>
  <si>
    <t>2017</t>
  </si>
  <si>
    <t>2018</t>
  </si>
  <si>
    <t>2019</t>
  </si>
  <si>
    <t>2020</t>
  </si>
  <si>
    <t>2021</t>
  </si>
  <si>
    <t>2022</t>
  </si>
  <si>
    <t>Примечание*</t>
  </si>
  <si>
    <t>факт</t>
  </si>
  <si>
    <t>план утвержденный по состоянию на 01.01.2018</t>
  </si>
  <si>
    <t>абс. знач-ие (гр.12-гр.8)</t>
  </si>
  <si>
    <t>% (гр.12/гр.8)* 100</t>
  </si>
  <si>
    <t>стоим.</t>
  </si>
  <si>
    <t>аптечки</t>
  </si>
  <si>
    <t>медикаменты</t>
  </si>
  <si>
    <t>перевязочные средства</t>
  </si>
  <si>
    <t>другое (указать)</t>
  </si>
  <si>
    <t>* В примечании указываются причины отклонения от объемов (в случае наличия), утвержденных на 2019 год</t>
  </si>
  <si>
    <t>Обоснование расходов для формирования бюджета муниципального образования город Норильск на 2020-2022 годы на приобретение медикаментов, Доп.КР 982, МП "Развитие культуры"</t>
  </si>
  <si>
    <t>Наградная атрибутика</t>
  </si>
  <si>
    <t>Расходные материалы</t>
  </si>
  <si>
    <t>Приложение № 26</t>
  </si>
  <si>
    <t>от ____________№ ___________</t>
  </si>
  <si>
    <t>Фактические исполнение за отчетный  финансовый 2018 год</t>
  </si>
  <si>
    <t>Текущий финансовый 2019 год</t>
  </si>
  <si>
    <t>Уточненный план, тыс.руб. (с НДС)</t>
  </si>
  <si>
    <t>Тариф руб./ед.изм (без НДС)</t>
  </si>
  <si>
    <t>Итого тыс.руб. (с НДС)</t>
  </si>
  <si>
    <t>Изначально утвержденный план, тыс.руб. (с НДС)</t>
  </si>
  <si>
    <t>Тариф руб./ед.изм (без НДС)*</t>
  </si>
  <si>
    <t xml:space="preserve">за счет бюджета </t>
  </si>
  <si>
    <t>Обоснование расходов по прочим услугам, связанным с содержанием и техническим обслуживанием помещений, Доп.Кр.947, МП "Развитие культуры"</t>
  </si>
  <si>
    <t>Охрана техническая в том числе:</t>
  </si>
  <si>
    <t>1.1</t>
  </si>
  <si>
    <t>Тревожная сигнализация</t>
  </si>
  <si>
    <t>кол-во часов</t>
  </si>
  <si>
    <t>1.2</t>
  </si>
  <si>
    <t>Охранно-пожарная сигнализация</t>
  </si>
  <si>
    <t>1.3</t>
  </si>
  <si>
    <t>Охранно-пожарная сигнализация (Вывод сигнала срабатывания систем ПС на пульт, мониторинговые услуги)</t>
  </si>
  <si>
    <t>Охрана физическая</t>
  </si>
  <si>
    <t>ИТОГО по КОСГУ (Доп. КР) 226 (953)</t>
  </si>
  <si>
    <t>И.Н. Субочева</t>
  </si>
  <si>
    <t>Доп.КР</t>
  </si>
  <si>
    <t>2019 год**</t>
  </si>
  <si>
    <t>2020 год**</t>
  </si>
  <si>
    <t>Примечание***</t>
  </si>
  <si>
    <t>на 01.01.2019</t>
  </si>
  <si>
    <t>ожидаемое на 01.05.2019</t>
  </si>
  <si>
    <t>Цена товаров с учетом НДС, руб.</t>
  </si>
  <si>
    <t>в том числе по источникам, тыс.руб.</t>
  </si>
  <si>
    <t>абс. знач-ие (гр.18-гр.10)</t>
  </si>
  <si>
    <t>% (гр.18/гр.10)* 100</t>
  </si>
  <si>
    <t>местный бюджет ВСЕГО</t>
  </si>
  <si>
    <t>из них:</t>
  </si>
  <si>
    <t>внебюджетные источники</t>
  </si>
  <si>
    <t>местный бюджет</t>
  </si>
  <si>
    <t>расходы в рамках МП Развитие культуры и МП Разитие туризма (Стимулирование)</t>
  </si>
  <si>
    <t>18.1</t>
  </si>
  <si>
    <t>18.2</t>
  </si>
  <si>
    <t>Местный уровень, в т.ч.:</t>
  </si>
  <si>
    <t>2019 на 01.01.2019</t>
  </si>
  <si>
    <t>2019 ожидаемое на 01.05.2019</t>
  </si>
  <si>
    <t>ВБ</t>
  </si>
  <si>
    <t>Приложение № 1</t>
  </si>
  <si>
    <t>к постановлению Администрации города Норильска</t>
  </si>
  <si>
    <t>от "___" _________ 2019  №__________</t>
  </si>
  <si>
    <t>Приложение № 37</t>
  </si>
  <si>
    <t>от 30 июня 2015 № 337</t>
  </si>
  <si>
    <t>Наличие паспорта ТКО</t>
  </si>
  <si>
    <t>Установленные нормативы ТКО, куб. м/тонн</t>
  </si>
  <si>
    <t>Объем ТКО, куб. м.</t>
  </si>
  <si>
    <t>Тариф</t>
  </si>
  <si>
    <t>Расходы (тыс. руб.)</t>
  </si>
  <si>
    <t>Факт
(1 квартал)</t>
  </si>
  <si>
    <t>Планируемый период</t>
  </si>
  <si>
    <t>да</t>
  </si>
  <si>
    <t>Норматив образования отходов производства расчитан ООО "ЭкоГЕО", контейнер в собственности</t>
  </si>
  <si>
    <t>обращение с твердыми коммунальными отходами</t>
  </si>
  <si>
    <t>Дезинсекция</t>
  </si>
  <si>
    <t>Дератизация</t>
  </si>
  <si>
    <t>Мерзлотно-технический надзор</t>
  </si>
  <si>
    <t>АУТВР</t>
  </si>
  <si>
    <t>Эксп.услуги</t>
  </si>
  <si>
    <t>дерат</t>
  </si>
  <si>
    <t>мерзлот</t>
  </si>
  <si>
    <t>кровли</t>
  </si>
  <si>
    <t>зим.сод</t>
  </si>
  <si>
    <t>Обоснование (расчет) плановых показателей поступлений доходов по статье 120 "Доходы от собственности".</t>
  </si>
  <si>
    <t>За пределами планового периода</t>
  </si>
  <si>
    <t>Задолженность по доходам (дебиторская задолженность по доходам) на начало года</t>
  </si>
  <si>
    <t>Полученные предварительные платежи (авансы) по контрактам (договорам) (кредиторская задолженность по доходам) на начало года</t>
  </si>
  <si>
    <t>Доходы от собственности, всего</t>
  </si>
  <si>
    <t>доходы, получаемые в виде арендной либо иной платы за передачу в возмездное пользование муниципального имущества</t>
  </si>
  <si>
    <t>плата по соглашениям об установлении сервитута</t>
  </si>
  <si>
    <t>доходы в виде процентов по депозитам автономных учреждений в кредитных организациях</t>
  </si>
  <si>
    <t>доходы в виде процентов по остаткам средств на счетах автономных учреждений в кредитных организациях</t>
  </si>
  <si>
    <t>проценты, полученные от предоставления займов</t>
  </si>
  <si>
    <t>проценты по иным финансовым инструментам</t>
  </si>
  <si>
    <t>доходы в виде прибыли, приходящейся на доли в уставных (складочных) капиталах хозяйственных товариществ и обществ, или дивидендов по акциям, принадлежащим учреждению</t>
  </si>
  <si>
    <t>доходы от распоряжения правами на результаты интеллектуальной деятельности и средствами индивидуализации</t>
  </si>
  <si>
    <t>прочие поступления от использования имущества, находящегося в оперативном управлении учреждения</t>
  </si>
  <si>
    <t>Задолженность по доходам (дебиторская задолженность по доходам) на конец года</t>
  </si>
  <si>
    <t>Полученные предварительные платежи (авансы) по контрактам (договорам) (кредиторская задолженность по доходам) на конец года</t>
  </si>
  <si>
    <r>
      <t>Планируемые поступления доходов от собственности (</t>
    </r>
    <r>
      <rPr>
        <b/>
        <sz val="9"/>
        <color rgb="FF0000FF"/>
        <rFont val="Times New Roman"/>
        <family val="1"/>
        <charset val="204"/>
      </rPr>
      <t>с. 0100</t>
    </r>
    <r>
      <rPr>
        <b/>
        <sz val="9"/>
        <color theme="1"/>
        <rFont val="Times New Roman"/>
        <family val="1"/>
        <charset val="204"/>
      </rPr>
      <t xml:space="preserve"> - </t>
    </r>
    <r>
      <rPr>
        <b/>
        <sz val="9"/>
        <color rgb="FF0000FF"/>
        <rFont val="Times New Roman"/>
        <family val="1"/>
        <charset val="204"/>
      </rPr>
      <t>с. 0200</t>
    </r>
    <r>
      <rPr>
        <b/>
        <sz val="9"/>
        <color theme="1"/>
        <rFont val="Times New Roman"/>
        <family val="1"/>
        <charset val="204"/>
      </rPr>
      <t xml:space="preserve"> + </t>
    </r>
    <r>
      <rPr>
        <b/>
        <sz val="9"/>
        <color rgb="FF0000FF"/>
        <rFont val="Times New Roman"/>
        <family val="1"/>
        <charset val="204"/>
      </rPr>
      <t>с. 0300</t>
    </r>
    <r>
      <rPr>
        <b/>
        <sz val="9"/>
        <color theme="1"/>
        <rFont val="Times New Roman"/>
        <family val="1"/>
        <charset val="204"/>
      </rPr>
      <t xml:space="preserve"> - </t>
    </r>
    <r>
      <rPr>
        <b/>
        <sz val="9"/>
        <color rgb="FF0000FF"/>
        <rFont val="Times New Roman"/>
        <family val="1"/>
        <charset val="204"/>
      </rPr>
      <t>с. 0400</t>
    </r>
    <r>
      <rPr>
        <b/>
        <sz val="9"/>
        <color theme="1"/>
        <rFont val="Times New Roman"/>
        <family val="1"/>
        <charset val="204"/>
      </rPr>
      <t xml:space="preserve"> + </t>
    </r>
    <r>
      <rPr>
        <b/>
        <sz val="9"/>
        <color rgb="FF0000FF"/>
        <rFont val="Times New Roman"/>
        <family val="1"/>
        <charset val="204"/>
      </rPr>
      <t>с. 0500</t>
    </r>
    <r>
      <rPr>
        <b/>
        <sz val="9"/>
        <color theme="1"/>
        <rFont val="Times New Roman"/>
        <family val="1"/>
        <charset val="204"/>
      </rPr>
      <t>)</t>
    </r>
  </si>
  <si>
    <t>Расчет доходов в виде арендной либо иной платы за передачу в возмездное пользование муниципального имущества</t>
  </si>
  <si>
    <t>(наименование учреждения)</t>
  </si>
  <si>
    <t>Наименование объекта*</t>
  </si>
  <si>
    <t>Плата (тариф) арендной платы за единицу площади (объект), руб.</t>
  </si>
  <si>
    <t>Планируемый объем предоставления имущества в аренду (в натуральных показателях)</t>
  </si>
  <si>
    <t xml:space="preserve">Количество месяцев сдачи в аренду </t>
  </si>
  <si>
    <t>Объем планируемых поступлений, руб.</t>
  </si>
  <si>
    <t>Недвижимое имущество, всего</t>
  </si>
  <si>
    <t>х</t>
  </si>
  <si>
    <t>Обоснование (расчет) плановых показателей поступлений доходов по статье 130 "Доходы от оказания услуг, работ, компенсации затрат учреждений".</t>
  </si>
  <si>
    <t>Доходы от оказания услуг, работ, компенсации затрат учреждений, всего</t>
  </si>
  <si>
    <t>субсидии на финансовое обеспечение выполнения муниципального задания МП "Развитие культуры"</t>
  </si>
  <si>
    <t>субсидии на финансовое обеспечение выполнения муниципального задания МП "Развитие туризма"</t>
  </si>
  <si>
    <t>доходы от оказания услуг, выполнения работ в рамках установленного муниципального задания</t>
  </si>
  <si>
    <t>доходы от оказания услуг, выполнения работ за плату сверх установленного муниципального задания и иной приносящей доход деятельности, предусмотренной уставом учреждения</t>
  </si>
  <si>
    <t>доходы, поступающие в порядке возмещения расходов, понесенных в связи с эксплуатацией имущества, находящегося в оперативном управлении учреждения</t>
  </si>
  <si>
    <r>
      <t>Планируемые поступления доходов от оказания услуг, компенсации затрат учреждения (</t>
    </r>
    <r>
      <rPr>
        <b/>
        <sz val="12"/>
        <color rgb="FF0000FF"/>
        <rFont val="Times New Roman"/>
        <family val="1"/>
        <charset val="204"/>
      </rPr>
      <t>с. 0100</t>
    </r>
    <r>
      <rPr>
        <b/>
        <sz val="12"/>
        <color theme="1"/>
        <rFont val="Times New Roman"/>
        <family val="1"/>
        <charset val="204"/>
      </rPr>
      <t xml:space="preserve"> - </t>
    </r>
    <r>
      <rPr>
        <b/>
        <sz val="12"/>
        <color rgb="FF0000FF"/>
        <rFont val="Times New Roman"/>
        <family val="1"/>
        <charset val="204"/>
      </rPr>
      <t>с. 0200</t>
    </r>
    <r>
      <rPr>
        <b/>
        <sz val="12"/>
        <color theme="1"/>
        <rFont val="Times New Roman"/>
        <family val="1"/>
        <charset val="204"/>
      </rPr>
      <t xml:space="preserve"> + </t>
    </r>
    <r>
      <rPr>
        <b/>
        <sz val="12"/>
        <color rgb="FF0000FF"/>
        <rFont val="Times New Roman"/>
        <family val="1"/>
        <charset val="204"/>
      </rPr>
      <t>с. 0300</t>
    </r>
    <r>
      <rPr>
        <b/>
        <sz val="12"/>
        <color theme="1"/>
        <rFont val="Times New Roman"/>
        <family val="1"/>
        <charset val="204"/>
      </rPr>
      <t xml:space="preserve"> - </t>
    </r>
    <r>
      <rPr>
        <b/>
        <sz val="12"/>
        <color rgb="FF0000FF"/>
        <rFont val="Times New Roman"/>
        <family val="1"/>
        <charset val="204"/>
      </rPr>
      <t>с. 0400</t>
    </r>
    <r>
      <rPr>
        <b/>
        <sz val="12"/>
        <color theme="1"/>
        <rFont val="Times New Roman"/>
        <family val="1"/>
        <charset val="204"/>
      </rPr>
      <t xml:space="preserve"> + </t>
    </r>
    <r>
      <rPr>
        <b/>
        <sz val="12"/>
        <color rgb="FF0000FF"/>
        <rFont val="Times New Roman"/>
        <family val="1"/>
        <charset val="204"/>
      </rPr>
      <t>с. 0500</t>
    </r>
    <r>
      <rPr>
        <b/>
        <sz val="12"/>
        <color theme="1"/>
        <rFont val="Times New Roman"/>
        <family val="1"/>
        <charset val="204"/>
      </rPr>
      <t>)</t>
    </r>
  </si>
  <si>
    <t>Общий объем планируемых поступлений, руб.</t>
  </si>
  <si>
    <t>Количество, ед.</t>
  </si>
  <si>
    <t>Средняя стоимость, руб.ед.</t>
  </si>
  <si>
    <t>Доходы, тыс.руб.</t>
  </si>
  <si>
    <t>Всего по учреждению</t>
  </si>
  <si>
    <t>Фактическое поступление средств на возмещение расходов по комплексному техническому обслуживанию, коммунальным услугам, электроэнергии по возмездным договорам аренды имущества за период 2017-2019 годов.</t>
  </si>
  <si>
    <t>№ п.п.</t>
  </si>
  <si>
    <t>Реквизиты договора</t>
  </si>
  <si>
    <t xml:space="preserve">Период действия договора с.. по… </t>
  </si>
  <si>
    <t>Адрес объекта, сданного в аренду</t>
  </si>
  <si>
    <t>Площадь арендованного объекта, м2</t>
  </si>
  <si>
    <t>Сумма поступлений</t>
  </si>
  <si>
    <t xml:space="preserve">Выставлен счет к оплате на возмещение </t>
  </si>
  <si>
    <t>Среднемесячный платеж</t>
  </si>
  <si>
    <t>2017 год</t>
  </si>
  <si>
    <t>11 месяцев 2019 года</t>
  </si>
  <si>
    <t>Движимое имущество, всего</t>
  </si>
  <si>
    <t>Главный бухгалтер</t>
  </si>
  <si>
    <t>Исполнитель</t>
  </si>
  <si>
    <t>Обоснование (расчет) плановых показателей поступлений доходов по статье 140 "Доходы от штрафов, пеней, иных сумм принудительного изъятия".</t>
  </si>
  <si>
    <t>Излишне полученные либо взысканные платежи (кредиторская задолженность по доходам) на начало года</t>
  </si>
  <si>
    <t>Доходы от штрафов, пеней, иных сумм принудительного изъятия, всего</t>
  </si>
  <si>
    <t>штрафы</t>
  </si>
  <si>
    <t>пени</t>
  </si>
  <si>
    <t>суммы принудительного изъятия</t>
  </si>
  <si>
    <t>Излишне полученные либо взысканные платежи (кредиторская задолженность по доходам) на конец года</t>
  </si>
  <si>
    <r>
      <t>Планируемые поступления доходов от штрафов, пеней, иных сумм принудительного изъятия (</t>
    </r>
    <r>
      <rPr>
        <b/>
        <sz val="11"/>
        <color rgb="FF0000FF"/>
        <rFont val="Calibri"/>
        <family val="2"/>
        <charset val="204"/>
        <scheme val="minor"/>
      </rPr>
      <t>с. 0100</t>
    </r>
    <r>
      <rPr>
        <b/>
        <sz val="11"/>
        <color theme="1"/>
        <rFont val="Calibri"/>
        <family val="2"/>
        <charset val="204"/>
        <scheme val="minor"/>
      </rPr>
      <t xml:space="preserve"> - </t>
    </r>
    <r>
      <rPr>
        <b/>
        <sz val="11"/>
        <color rgb="FF0000FF"/>
        <rFont val="Calibri"/>
        <family val="2"/>
        <charset val="204"/>
        <scheme val="minor"/>
      </rPr>
      <t>с. 0200</t>
    </r>
    <r>
      <rPr>
        <b/>
        <sz val="11"/>
        <color theme="1"/>
        <rFont val="Calibri"/>
        <family val="2"/>
        <charset val="204"/>
        <scheme val="minor"/>
      </rPr>
      <t xml:space="preserve"> + </t>
    </r>
    <r>
      <rPr>
        <b/>
        <sz val="11"/>
        <color rgb="FF0000FF"/>
        <rFont val="Calibri"/>
        <family val="2"/>
        <charset val="204"/>
        <scheme val="minor"/>
      </rPr>
      <t>с. 0300</t>
    </r>
    <r>
      <rPr>
        <b/>
        <sz val="11"/>
        <color theme="1"/>
        <rFont val="Calibri"/>
        <family val="2"/>
        <charset val="204"/>
        <scheme val="minor"/>
      </rPr>
      <t xml:space="preserve"> - </t>
    </r>
    <r>
      <rPr>
        <b/>
        <sz val="11"/>
        <color rgb="FF0000FF"/>
        <rFont val="Calibri"/>
        <family val="2"/>
        <charset val="204"/>
        <scheme val="minor"/>
      </rPr>
      <t>с. 0400</t>
    </r>
    <r>
      <rPr>
        <b/>
        <sz val="11"/>
        <color theme="1"/>
        <rFont val="Calibri"/>
        <family val="2"/>
        <charset val="204"/>
        <scheme val="minor"/>
      </rPr>
      <t xml:space="preserve"> + </t>
    </r>
    <r>
      <rPr>
        <b/>
        <sz val="11"/>
        <color rgb="FF0000FF"/>
        <rFont val="Calibri"/>
        <family val="2"/>
        <charset val="204"/>
        <scheme val="minor"/>
      </rPr>
      <t>с. 0500</t>
    </r>
    <r>
      <rPr>
        <b/>
        <sz val="11"/>
        <color theme="1"/>
        <rFont val="Calibri"/>
        <family val="2"/>
        <charset val="204"/>
        <scheme val="minor"/>
      </rPr>
      <t>)</t>
    </r>
  </si>
  <si>
    <t>Безвозмездные денежные поступления, всего</t>
  </si>
  <si>
    <t>поступления текущего характера от других бюджетов бюджетной системы РФ</t>
  </si>
  <si>
    <t>поступления текущего характера бюджетным и автономным учреждениям от сектора государственного управления</t>
  </si>
  <si>
    <t>поступления текущего характера от организаций государственног сектора</t>
  </si>
  <si>
    <t>поступления текущего характера от иных резидентов (за исключением сектора государственного управления и организаций государственного сектора</t>
  </si>
  <si>
    <t>Наименование получателя грантов и пожертвований</t>
  </si>
  <si>
    <t>Наименование отправителя грантов и пожертвований</t>
  </si>
  <si>
    <t>Предмет договора</t>
  </si>
  <si>
    <t>Цели и мероприятия поступивших грантов и пожертвований</t>
  </si>
  <si>
    <t>Доходы прочие, всего</t>
  </si>
  <si>
    <t>целевые субсидии</t>
  </si>
  <si>
    <t>Субсидии, предоставляемые в соответствии с абзацем вторым пункта 1 статьи 78.1 Бюджетного кодекса Российской Федерации (Доп.Кр 911,917)</t>
  </si>
  <si>
    <t>МП "Социальная поддержка жителей…" (доп.ФК 81000)</t>
  </si>
  <si>
    <t>Субсидии, предоставляемые в соответствии с абзацем вторым пункта 1 статьи 78.1 Бюджетного кодекса Российской Федерации. (Поддержка талантливых детей и молодёжи)</t>
  </si>
  <si>
    <t>Организация и проведение торжественных мероприятий, посвященных 75-й годовщине Победы советского народа в Великой Отечественной войне 1941-1945 годов (доп.ФК 81000)</t>
  </si>
  <si>
    <t>Замена неэффективного осветительного оборудования внутреннего/наружного освещения на современное светодиодное (доп.ФК 81000)</t>
  </si>
  <si>
    <t>субсидии на осуществление капитальных вложений</t>
  </si>
  <si>
    <t>Субсидии, предоставляемые в соответствии с абзацем вторым пункта 1 статьи 78.1 Бюджетного кодекса Российской Федерации. Субсидии на увеличение стоимости основных средств</t>
  </si>
  <si>
    <r>
      <t>Планируемые поступления доходов от оказания услуг, компенсации затрат учреждения (</t>
    </r>
    <r>
      <rPr>
        <b/>
        <sz val="11"/>
        <color rgb="FF0000FF"/>
        <rFont val="Calibri"/>
        <family val="2"/>
        <charset val="204"/>
        <scheme val="minor"/>
      </rPr>
      <t>с. 0100</t>
    </r>
    <r>
      <rPr>
        <b/>
        <sz val="11"/>
        <color theme="1"/>
        <rFont val="Calibri"/>
        <family val="2"/>
        <charset val="204"/>
        <scheme val="minor"/>
      </rPr>
      <t xml:space="preserve"> - </t>
    </r>
    <r>
      <rPr>
        <b/>
        <sz val="11"/>
        <color rgb="FF0000FF"/>
        <rFont val="Calibri"/>
        <family val="2"/>
        <charset val="204"/>
        <scheme val="minor"/>
      </rPr>
      <t>с. 0200</t>
    </r>
    <r>
      <rPr>
        <b/>
        <sz val="11"/>
        <color theme="1"/>
        <rFont val="Calibri"/>
        <family val="2"/>
        <charset val="204"/>
        <scheme val="minor"/>
      </rPr>
      <t xml:space="preserve"> + </t>
    </r>
    <r>
      <rPr>
        <b/>
        <sz val="11"/>
        <color rgb="FF0000FF"/>
        <rFont val="Calibri"/>
        <family val="2"/>
        <charset val="204"/>
        <scheme val="minor"/>
      </rPr>
      <t>с. 0300</t>
    </r>
    <r>
      <rPr>
        <b/>
        <sz val="11"/>
        <color theme="1"/>
        <rFont val="Calibri"/>
        <family val="2"/>
        <charset val="204"/>
        <scheme val="minor"/>
      </rPr>
      <t xml:space="preserve"> - </t>
    </r>
    <r>
      <rPr>
        <b/>
        <sz val="11"/>
        <color rgb="FF0000FF"/>
        <rFont val="Calibri"/>
        <family val="2"/>
        <charset val="204"/>
        <scheme val="minor"/>
      </rPr>
      <t>с. 0400</t>
    </r>
    <r>
      <rPr>
        <b/>
        <sz val="11"/>
        <color theme="1"/>
        <rFont val="Calibri"/>
        <family val="2"/>
        <charset val="204"/>
        <scheme val="minor"/>
      </rPr>
      <t xml:space="preserve"> + </t>
    </r>
    <r>
      <rPr>
        <b/>
        <sz val="11"/>
        <color rgb="FF0000FF"/>
        <rFont val="Calibri"/>
        <family val="2"/>
        <charset val="204"/>
        <scheme val="minor"/>
      </rPr>
      <t>с. 0500</t>
    </r>
    <r>
      <rPr>
        <b/>
        <sz val="11"/>
        <color theme="1"/>
        <rFont val="Calibri"/>
        <family val="2"/>
        <charset val="204"/>
        <scheme val="minor"/>
      </rPr>
      <t>)</t>
    </r>
  </si>
  <si>
    <t>Увеличение остатков денежных средств за счет возврата дебиторской задолженности прошлых лет по статье 510 "Прочие поступления".</t>
  </si>
  <si>
    <t>Увеличение остатков денежных средств за счет возврата залоговых платежей, задатков, всего</t>
  </si>
  <si>
    <t>Увеличение остатков денежных средств за счет возврата ранее выплаченных авансов, всего</t>
  </si>
  <si>
    <t>Увеличение остатков дненежных средств за счет возврата сумм, ранее размещенных на депозитных счетах, всего</t>
  </si>
  <si>
    <t>Просие поступления денежных средств, всего</t>
  </si>
  <si>
    <t>проверка</t>
  </si>
  <si>
    <r>
      <t>Планируемые поступления доходов от оказания услуг, компенсации затрат учреждения (</t>
    </r>
    <r>
      <rPr>
        <b/>
        <sz val="10"/>
        <color rgb="FF0000FF"/>
        <rFont val="Times New Roman"/>
        <family val="1"/>
        <charset val="204"/>
      </rPr>
      <t>с. 0100</t>
    </r>
    <r>
      <rPr>
        <b/>
        <sz val="10"/>
        <color theme="1"/>
        <rFont val="Times New Roman"/>
        <family val="1"/>
        <charset val="204"/>
      </rPr>
      <t xml:space="preserve"> - </t>
    </r>
    <r>
      <rPr>
        <b/>
        <sz val="10"/>
        <color rgb="FF0000FF"/>
        <rFont val="Times New Roman"/>
        <family val="1"/>
        <charset val="204"/>
      </rPr>
      <t>с. 0200</t>
    </r>
    <r>
      <rPr>
        <b/>
        <sz val="10"/>
        <color theme="1"/>
        <rFont val="Times New Roman"/>
        <family val="1"/>
        <charset val="204"/>
      </rPr>
      <t xml:space="preserve"> + </t>
    </r>
    <r>
      <rPr>
        <b/>
        <sz val="10"/>
        <color rgb="FF0000FF"/>
        <rFont val="Times New Roman"/>
        <family val="1"/>
        <charset val="204"/>
      </rPr>
      <t>с. 0300</t>
    </r>
    <r>
      <rPr>
        <b/>
        <sz val="10"/>
        <color theme="1"/>
        <rFont val="Times New Roman"/>
        <family val="1"/>
        <charset val="204"/>
      </rPr>
      <t xml:space="preserve"> - </t>
    </r>
    <r>
      <rPr>
        <b/>
        <sz val="10"/>
        <color rgb="FF0000FF"/>
        <rFont val="Times New Roman"/>
        <family val="1"/>
        <charset val="204"/>
      </rPr>
      <t>с. 0400</t>
    </r>
    <r>
      <rPr>
        <b/>
        <sz val="10"/>
        <color theme="1"/>
        <rFont val="Times New Roman"/>
        <family val="1"/>
        <charset val="204"/>
      </rPr>
      <t xml:space="preserve"> + </t>
    </r>
    <r>
      <rPr>
        <b/>
        <sz val="10"/>
        <color rgb="FF0000FF"/>
        <rFont val="Times New Roman"/>
        <family val="1"/>
        <charset val="204"/>
      </rPr>
      <t>с. 0500</t>
    </r>
    <r>
      <rPr>
        <b/>
        <sz val="10"/>
        <color theme="1"/>
        <rFont val="Times New Roman"/>
        <family val="1"/>
        <charset val="204"/>
      </rPr>
      <t>)</t>
    </r>
  </si>
  <si>
    <t>Обоснование (расчет) плановых показателей по выплатам по элементу вида расходов классификации расходов бюджетов 112 "Иные выплаты персоналу учреждений, за исключением фонда оплаты труда", МП "Развитие культуры", субсидии на иные цели</t>
  </si>
  <si>
    <t>Обоснование (расчет) плановых показателей по выплатам по элементу вида расходов классификации расходов бюджетов 321 "Пособия, компенсации и иные социальные выплаты гражданам, кроме публичных нормативных обязательств", МП "Развитие культуры", субсидии на иные цели</t>
  </si>
  <si>
    <t xml:space="preserve">Обоснование (расчет) плановых показателей по выплатам по элементу вида расходов классификации расходов бюджетов 113 "Иные выплаты, за исключением фонда оплаты труда учреждений, лицам, привлекаемым согласно законодательству для выполнения отдельных полномочий", на организацию и проведение мероприятий к 75 летию Победы, МП "Развитие культуры" (Доп.Кр.966,963), субсидии на иные цели </t>
  </si>
  <si>
    <t>Расчет доходов финансового обеспечения</t>
  </si>
  <si>
    <t xml:space="preserve">Субсидия на выполнение муниципального задания, МП "Развитие культуры" </t>
  </si>
  <si>
    <t xml:space="preserve">Субсидия на выполнение муниципального задания, МП "Развитие туризма" </t>
  </si>
  <si>
    <t>Субсидия на иные цели:</t>
  </si>
  <si>
    <t>Оплата дороги в отпуск и выезд из РКС (доп.ФК 81000)</t>
  </si>
  <si>
    <t>Субсидии на увеличение стоимости основных средств (доп.ФК 81600)</t>
  </si>
  <si>
    <t>ИТОГО БЮДЖЕТ</t>
  </si>
  <si>
    <t>Поступления от приносящей доход деятельности</t>
  </si>
  <si>
    <t>Безвозмездные поступления</t>
  </si>
  <si>
    <t>Обоснование (расчет) плановых показателей по выплатам по элементу вида расходов классификации расходов бюджетов 112 "Иные выплаты персоналу учреждений, за исключением фонда оплаты труда", (источник финансирования -внебюджет)</t>
  </si>
  <si>
    <t xml:space="preserve">Обоснование (расчет) плановых показателей по выплатам по элементу вида расходов классификации расходов бюджетов 850 "Уплата налогов, сборов и иных платежей" </t>
  </si>
  <si>
    <t>Задолженность (дебиторская задолженность) на начало года</t>
  </si>
  <si>
    <t>уплата налогов, сборов и иных платежей</t>
  </si>
  <si>
    <t>Налоги, пошлины и сборы</t>
  </si>
  <si>
    <t>Штрафы за нарушение законодательства о налогах и сборах, законодательства о страховых взносах</t>
  </si>
  <si>
    <t>Другие экономические санкции</t>
  </si>
  <si>
    <t>Возмещение убытков и вреда</t>
  </si>
  <si>
    <t>Иные расходы</t>
  </si>
  <si>
    <r>
      <t>Планируемые уплаты налогов, сборов и иных платежей (</t>
    </r>
    <r>
      <rPr>
        <b/>
        <sz val="11"/>
        <color rgb="FF0000FF"/>
        <rFont val="Calibri"/>
        <family val="2"/>
        <charset val="204"/>
        <scheme val="minor"/>
      </rPr>
      <t>с. 0100</t>
    </r>
    <r>
      <rPr>
        <b/>
        <sz val="11"/>
        <color theme="1"/>
        <rFont val="Calibri"/>
        <family val="2"/>
        <charset val="204"/>
        <scheme val="minor"/>
      </rPr>
      <t xml:space="preserve"> - </t>
    </r>
    <r>
      <rPr>
        <b/>
        <sz val="11"/>
        <color rgb="FF0000FF"/>
        <rFont val="Calibri"/>
        <family val="2"/>
        <charset val="204"/>
        <scheme val="minor"/>
      </rPr>
      <t>с. 0200</t>
    </r>
    <r>
      <rPr>
        <b/>
        <sz val="11"/>
        <color theme="1"/>
        <rFont val="Calibri"/>
        <family val="2"/>
        <charset val="204"/>
        <scheme val="minor"/>
      </rPr>
      <t xml:space="preserve"> + </t>
    </r>
    <r>
      <rPr>
        <b/>
        <sz val="11"/>
        <color rgb="FF0000FF"/>
        <rFont val="Calibri"/>
        <family val="2"/>
        <charset val="204"/>
        <scheme val="minor"/>
      </rPr>
      <t>с. 0300</t>
    </r>
    <r>
      <rPr>
        <b/>
        <sz val="11"/>
        <color theme="1"/>
        <rFont val="Calibri"/>
        <family val="2"/>
        <charset val="204"/>
        <scheme val="minor"/>
      </rPr>
      <t xml:space="preserve"> - </t>
    </r>
    <r>
      <rPr>
        <b/>
        <sz val="11"/>
        <color rgb="FF0000FF"/>
        <rFont val="Calibri"/>
        <family val="2"/>
        <charset val="204"/>
        <scheme val="minor"/>
      </rPr>
      <t>с. 0400</t>
    </r>
    <r>
      <rPr>
        <b/>
        <sz val="11"/>
        <color theme="1"/>
        <rFont val="Calibri"/>
        <family val="2"/>
        <charset val="204"/>
        <scheme val="minor"/>
      </rPr>
      <t xml:space="preserve"> + </t>
    </r>
    <r>
      <rPr>
        <b/>
        <sz val="11"/>
        <color rgb="FF0000FF"/>
        <rFont val="Calibri"/>
        <family val="2"/>
        <charset val="204"/>
        <scheme val="minor"/>
      </rPr>
      <t>с. 0500</t>
    </r>
    <r>
      <rPr>
        <b/>
        <sz val="11"/>
        <color theme="1"/>
        <rFont val="Calibri"/>
        <family val="2"/>
        <charset val="204"/>
        <scheme val="minor"/>
      </rPr>
      <t>)</t>
    </r>
  </si>
  <si>
    <t>Утверждаю</t>
  </si>
  <si>
    <t>(наименование должности лица, утверждающего документ)</t>
  </si>
  <si>
    <t>(расшифровка подписи)</t>
  </si>
  <si>
    <t>ПЛАН</t>
  </si>
  <si>
    <t>Коды</t>
  </si>
  <si>
    <t>Орган, осуществляющий</t>
  </si>
  <si>
    <t>по Сводному реестру</t>
  </si>
  <si>
    <t>глава по БК</t>
  </si>
  <si>
    <t>ИНН</t>
  </si>
  <si>
    <t>Единица измерения: руб.</t>
  </si>
  <si>
    <t>КПП</t>
  </si>
  <si>
    <t>по ОКЕИ</t>
  </si>
  <si>
    <t>Раздел 1. Поступления и выплаты</t>
  </si>
  <si>
    <r>
      <t>Код по бюджетной классификации Российской Федерации</t>
    </r>
    <r>
      <rPr>
        <vertAlign val="superscript"/>
        <sz val="12"/>
        <rFont val="Times New Roman"/>
        <family val="1"/>
        <charset val="204"/>
      </rPr>
      <t xml:space="preserve"> 3</t>
    </r>
  </si>
  <si>
    <t>Сумма, руб. (с точностью до двух знаков после запятой-0,00)</t>
  </si>
  <si>
    <t>на 2020 год</t>
  </si>
  <si>
    <t>на 2021 год</t>
  </si>
  <si>
    <t>на 2022 год</t>
  </si>
  <si>
    <t>текущий финансовый год</t>
  </si>
  <si>
    <t xml:space="preserve">Субсидия на финансовое обеспечение выполнения муниципального задания МП "Развитие культуры" </t>
  </si>
  <si>
    <t xml:space="preserve">Субсидия на финансовое обеспечение выполнения муниципального задания МП "Развитие туризма" </t>
  </si>
  <si>
    <r>
      <t xml:space="preserve">Остаток средств на начало текущего финансового года </t>
    </r>
    <r>
      <rPr>
        <vertAlign val="superscript"/>
        <sz val="12"/>
        <rFont val="Times New Roman"/>
        <family val="1"/>
        <charset val="204"/>
      </rPr>
      <t>4</t>
    </r>
  </si>
  <si>
    <t>0001</t>
  </si>
  <si>
    <r>
      <t xml:space="preserve">Остаток средств на конец текущего финансового года </t>
    </r>
    <r>
      <rPr>
        <vertAlign val="superscript"/>
        <sz val="12"/>
        <rFont val="Times New Roman"/>
        <family val="1"/>
        <charset val="204"/>
      </rPr>
      <t>4</t>
    </r>
  </si>
  <si>
    <t>0002</t>
  </si>
  <si>
    <t>Доходы, всего:</t>
  </si>
  <si>
    <t>1000</t>
  </si>
  <si>
    <t>в том числе:
доходы от собственности, всего</t>
  </si>
  <si>
    <t>1100</t>
  </si>
  <si>
    <t>доходы от аренды</t>
  </si>
  <si>
    <t>1110</t>
  </si>
  <si>
    <t>доходы от оказания услуг, работ, компенсации затрат учреждений, всего</t>
  </si>
  <si>
    <t>130</t>
  </si>
  <si>
    <t>субсидии на финансовое обеспечение выполнения государственного (муниципального) задания за счет средств бюджета публично-правового образования, создавшего учреждение</t>
  </si>
  <si>
    <t>доходы от оказания платных услуг</t>
  </si>
  <si>
    <t>доходы по условным арендным платежам</t>
  </si>
  <si>
    <t>доходы бюджета от возврата дебиторской задолженности прошлых лет</t>
  </si>
  <si>
    <t>доходы от штрафов, пеней, иных сумм принудительного изъятия, всего</t>
  </si>
  <si>
    <t>безвозмездные денежные поступления, всего</t>
  </si>
  <si>
    <t>гранты</t>
  </si>
  <si>
    <t>прочие доходы, всего</t>
  </si>
  <si>
    <r>
      <t xml:space="preserve">прочие поступления, всего </t>
    </r>
    <r>
      <rPr>
        <b/>
        <vertAlign val="superscript"/>
        <sz val="12"/>
        <rFont val="Times New Roman"/>
        <family val="1"/>
        <charset val="204"/>
      </rPr>
      <t>5</t>
    </r>
  </si>
  <si>
    <t>увеличение остатков денежных средств за счет возврата дебиторской задолженности прошлых лет</t>
  </si>
  <si>
    <t>510</t>
  </si>
  <si>
    <t>Расходы, всего</t>
  </si>
  <si>
    <t>на выплаты персоналу, всего</t>
  </si>
  <si>
    <t>оплата труда</t>
  </si>
  <si>
    <t>прочие выплаты персоналу, в том числе компенсационного характера</t>
  </si>
  <si>
    <t>иные выплаты, за исключением фонда оплаты труда учреждения, для выполнения отдельных полномочий</t>
  </si>
  <si>
    <t>взносы по обязательному социальному страхованию на выплаты по оплате труда работников и иные выплаты работникам учреждений, всего</t>
  </si>
  <si>
    <t>на выплаты по оплате труда</t>
  </si>
  <si>
    <t>на иные выплаты работникам</t>
  </si>
  <si>
    <t>социальные и иные выплаты населению, всего</t>
  </si>
  <si>
    <t>социальные выплаты гражданам, кроме публичных нормативных социальных выплат</t>
  </si>
  <si>
    <t xml:space="preserve">из них:
пособия, компенсации и иные социальные выплаты гражданам, кроме публичных нормативных обязательств
</t>
  </si>
  <si>
    <t>уплата налогов, сборов и иных платежей, всего</t>
  </si>
  <si>
    <t>из них:
налог на имущество организаций и земельный налог</t>
  </si>
  <si>
    <t>иные налоги (включаемые в состав расходов) в бюджеты бюджетной системы Российской Федерации, а также государственная пошлина</t>
  </si>
  <si>
    <t>уплата штрафов (в том числе административных), пеней, иных платежей</t>
  </si>
  <si>
    <t>безвозмездные перечисления организациям и физическим лицам, всего</t>
  </si>
  <si>
    <t>из них:
гранты, предоставляемые другим организациям и физическим лицам</t>
  </si>
  <si>
    <t>взносы в международные организации</t>
  </si>
  <si>
    <t>прочие выплаты (кроме выплат на закупку товаров, работ, услуг)</t>
  </si>
  <si>
    <t>исполнение судебных актов Российской Федерации и мировых соглашений по возмещению вреда, причиненного в результате деятельности учреждения</t>
  </si>
  <si>
    <r>
      <t xml:space="preserve">расходы на закупку товаров, работ, услуг, всего </t>
    </r>
    <r>
      <rPr>
        <b/>
        <vertAlign val="superscript"/>
        <sz val="12"/>
        <rFont val="Times New Roman"/>
        <family val="1"/>
        <charset val="204"/>
      </rPr>
      <t>6</t>
    </r>
  </si>
  <si>
    <t>в том числе:
закупку научно-исследовательских и опытно-конструкторских работ</t>
  </si>
  <si>
    <t>закупку товаров, работ, услуг в сфере информационно-коммуникационных технологий</t>
  </si>
  <si>
    <t>закупку товаров, работ, услуг в целях капитального ремонта государственного (муниципального) имущества</t>
  </si>
  <si>
    <t>прочую закупку товаров, работ и услуг, всего</t>
  </si>
  <si>
    <t>капитальные вложения в объекты муниципальной собственности, всего</t>
  </si>
  <si>
    <t xml:space="preserve">в том числе:
приобретение объектов недвижимого имущества муниципальными учреждениями
</t>
  </si>
  <si>
    <t>строительство (реконструкция) объектов недвижимого имущества муниципальными учреждениями</t>
  </si>
  <si>
    <t>Выплаты, уменьшающие доход, всего 7</t>
  </si>
  <si>
    <r>
      <t xml:space="preserve">в том числе:
налог на прибыль </t>
    </r>
    <r>
      <rPr>
        <vertAlign val="superscript"/>
        <sz val="12"/>
        <rFont val="Times New Roman"/>
        <family val="1"/>
        <charset val="204"/>
      </rPr>
      <t>7</t>
    </r>
  </si>
  <si>
    <r>
      <t xml:space="preserve">налог на добавленную стоимость </t>
    </r>
    <r>
      <rPr>
        <vertAlign val="superscript"/>
        <sz val="12"/>
        <rFont val="Times New Roman"/>
        <family val="1"/>
        <charset val="204"/>
      </rPr>
      <t>7</t>
    </r>
  </si>
  <si>
    <r>
      <t xml:space="preserve">прочие налоги, уменьшающие доход </t>
    </r>
    <r>
      <rPr>
        <vertAlign val="superscript"/>
        <sz val="12"/>
        <rFont val="Times New Roman"/>
        <family val="1"/>
        <charset val="204"/>
      </rPr>
      <t>7</t>
    </r>
  </si>
  <si>
    <r>
      <t xml:space="preserve">Прочие выплаты, всего </t>
    </r>
    <r>
      <rPr>
        <b/>
        <vertAlign val="superscript"/>
        <sz val="12"/>
        <rFont val="Times New Roman"/>
        <family val="1"/>
        <charset val="204"/>
      </rPr>
      <t>8</t>
    </r>
  </si>
  <si>
    <t>из них:
возврат в бюджет средств субсидии</t>
  </si>
  <si>
    <t>_____1_В случае утверждения закона (решения) о бюджете на текущий финансовый год и плановый период.</t>
  </si>
  <si>
    <t>_____2_Указывается дата подписания Плана, а в случае утверждения Плана уполномоченным лицом учреждения - дата утверждения Плана.</t>
  </si>
  <si>
    <t>_____3_В графе 3 отражаются:</t>
  </si>
  <si>
    <t>_____по строкам 1100 - 1900 - коды аналитической группы подвида доходов бюджетов классификации доходов бюджетов;</t>
  </si>
  <si>
    <t>_____по строкам 1980 - 1990 - коды аналитической группы вида источников финансирования дефицитов бюджетов классификации источников финансирования дефицитов бюджетов;</t>
  </si>
  <si>
    <t>_____по строкам 2000 - 2652 - коды видов расходов бюджетов классификации расходов бюджетов;</t>
  </si>
  <si>
    <t>_____по строкам 3000 - 3030 - коды аналитической группы подвида доходов бюджетов классификации доходов бюджетов, по которым планируется уплата налогов, уменьшающих доход (в том числе налог на прибыль, налог на добавленную стоимость, единый налог на вмененный доход для отдельных видов деятельности);</t>
  </si>
  <si>
    <t>_____по строкам 4000 - 4040 - коды аналитической группы вида источников финансирования дефицитов бюджетов классификации источников финансирования дефицитов бюджетов.</t>
  </si>
  <si>
    <t>4. По строкам 0001 и 0002 указываются планируемые суммы остатков средств на начало и на конец планируемого года, если указанные показатели по решению органа, осуществляющего функции и полномочия учредителя, планируются на этапе формирования проекта Плана  либо указываются фактические остатки средств при внесении изменений в утвержденный План после завершения отчетного финансового года.</t>
  </si>
  <si>
    <t>5. 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 включая возврат предоставленных займов (микрозаймов), а также за счет возврата средств, размещенных на банковских депозитах. При формировании Плана (проекта Плана) обособленному(ым) подразделению(ям) показатель прочих поступлений включает показатель поступлений в рамках расчетов между головным учреждением и обособленным подразделением.</t>
  </si>
  <si>
    <t>6. Показатели выплат по расходам на закупки товаров, работ, услуг, отраженные в строке 2600 Раздела 1 "Поступления и выплаты" Плана, подлежат детализации в Разделе 2 "Сведения по выплатам на закупку товаров, работ, услуг" Плана.</t>
  </si>
  <si>
    <t>7. Показатель отражается со знаком "минус".</t>
  </si>
  <si>
    <t>8. оказатели прочих выплат включают в себя в том числе показатели уменьшения денежных средств за счет возврата средств субсидий, предоставленных до начала текущего финансового года, предоставления займов (микрозаймов), размещения автономными учреждениями денежных средств на банковских депозитах. При формировании Плана (проекта Плана) обособленному(ым) подразделению(ям) показатель прочих выплат включает показатель поступлений в рамках расчетов между головным учреждением и обособленным подразделением.</t>
  </si>
  <si>
    <r>
      <t>Раздел 2. Сведения по выплатам на закупки товаров, работ, услуг</t>
    </r>
    <r>
      <rPr>
        <b/>
        <vertAlign val="superscript"/>
        <sz val="8"/>
        <rFont val="Times New Roman"/>
        <family val="1"/>
        <charset val="204"/>
      </rPr>
      <t xml:space="preserve"> 9</t>
    </r>
  </si>
  <si>
    <t>№
п/п</t>
  </si>
  <si>
    <t>Коды
строк</t>
  </si>
  <si>
    <t>Год
начала закупки</t>
  </si>
  <si>
    <t>на 20</t>
  </si>
  <si>
    <t xml:space="preserve"> г.</t>
  </si>
  <si>
    <t>за пределами планового периода</t>
  </si>
  <si>
    <t>1</t>
  </si>
  <si>
    <t>2</t>
  </si>
  <si>
    <t>3</t>
  </si>
  <si>
    <t>4</t>
  </si>
  <si>
    <t>5</t>
  </si>
  <si>
    <t>6</t>
  </si>
  <si>
    <t>7</t>
  </si>
  <si>
    <t>8</t>
  </si>
  <si>
    <r>
      <t xml:space="preserve">Выплаты на закупку товаров, работ, услуг, всего </t>
    </r>
    <r>
      <rPr>
        <b/>
        <vertAlign val="superscript"/>
        <sz val="8"/>
        <rFont val="Times New Roman"/>
        <family val="1"/>
        <charset val="204"/>
      </rPr>
      <t>10</t>
    </r>
  </si>
  <si>
    <t>26000</t>
  </si>
  <si>
    <r>
      <t>в том числе:
по контрактам (договорам), заключенным до начала текущего финансового года без применения норм Федерального закона от 5 апреля 2013 г. № 44-ФЗ "О контрактной системе в сфере закупок товаров, работ, услуг для обеспечения государственных и муниципальных нужд" (Собрание законодательства Российской Федерации, 2013, № 14, ст. 1652; 2018, № 32, ст. 5104) (далее - Федеральный закон № 44-ФЗ) и Федерального закона от 18 июля 2011 г. № 223-ФЗ "О закупках товаров, работ, услуг отдельными видами юридических лиц" (Собрание законодательства Российской Федерации, 2011, № 30, ст. 4571; 2018, № 32,
ст. 5135) (далее - Федеральный закон № 223-ФЗ)</t>
    </r>
    <r>
      <rPr>
        <vertAlign val="superscript"/>
        <sz val="8"/>
        <rFont val="Times New Roman"/>
        <family val="1"/>
        <charset val="204"/>
      </rPr>
      <t>11</t>
    </r>
  </si>
  <si>
    <t>26100</t>
  </si>
  <si>
    <r>
      <t xml:space="preserve">по контрактам (договорам), планируемым к заключению в соответствующем финансовом году без применения норм Федерального закона № 44-ФЗ и Федерального закона № 223-ФЗ </t>
    </r>
    <r>
      <rPr>
        <vertAlign val="superscript"/>
        <sz val="8"/>
        <rFont val="Times New Roman"/>
        <family val="1"/>
        <charset val="204"/>
      </rPr>
      <t>11</t>
    </r>
  </si>
  <si>
    <t>26200</t>
  </si>
  <si>
    <t>26300</t>
  </si>
  <si>
    <t>1.4</t>
  </si>
  <si>
    <t>26400</t>
  </si>
  <si>
    <t>1.4.1</t>
  </si>
  <si>
    <t>в том числе:
за счет субсидий, предоставляемых на финансовое обеспечение выполнения государственного (муниципального) задания</t>
  </si>
  <si>
    <t>26410</t>
  </si>
  <si>
    <t>1.4.1.1</t>
  </si>
  <si>
    <t>в том числе:
в соответствии с Федеральным законом № 44-ФЗ</t>
  </si>
  <si>
    <t>26411</t>
  </si>
  <si>
    <t>1.4.1.2</t>
  </si>
  <si>
    <r>
      <t xml:space="preserve">в соответствии с Федеральным законом № 223-ФЗ </t>
    </r>
    <r>
      <rPr>
        <vertAlign val="superscript"/>
        <sz val="8"/>
        <rFont val="Times New Roman"/>
        <family val="1"/>
        <charset val="204"/>
      </rPr>
      <t>13</t>
    </r>
  </si>
  <si>
    <t>26412</t>
  </si>
  <si>
    <t>1.4.2</t>
  </si>
  <si>
    <t>за счет субсидий, предоставляемых в соответствии с абзацем вторым пункта 1 статьи 78.1 Бюджетного кодекса Российской Федерации</t>
  </si>
  <si>
    <t>26420</t>
  </si>
  <si>
    <t>1.4.2.1</t>
  </si>
  <si>
    <t>26421</t>
  </si>
  <si>
    <t>1.4.2.2</t>
  </si>
  <si>
    <t>26422</t>
  </si>
  <si>
    <t>1.4.3</t>
  </si>
  <si>
    <r>
      <t xml:space="preserve">за счет субсидий, предоставляемых на осуществление капитальных вложений </t>
    </r>
    <r>
      <rPr>
        <vertAlign val="superscript"/>
        <sz val="8"/>
        <rFont val="Times New Roman"/>
        <family val="1"/>
        <charset val="204"/>
      </rPr>
      <t>14</t>
    </r>
  </si>
  <si>
    <t>26430</t>
  </si>
  <si>
    <t>1.4.4</t>
  </si>
  <si>
    <t>за счет средств обязательного медицинского страхования</t>
  </si>
  <si>
    <t>26440</t>
  </si>
  <si>
    <t>1.4.4.1</t>
  </si>
  <si>
    <t>26441</t>
  </si>
  <si>
    <t>1.4.4.2</t>
  </si>
  <si>
    <r>
      <t xml:space="preserve">в соответствии с Федеральным законом № 223-ФЗ </t>
    </r>
    <r>
      <rPr>
        <vertAlign val="superscript"/>
        <sz val="8"/>
        <rFont val="Times New Roman"/>
        <family val="1"/>
        <charset val="204"/>
      </rPr>
      <t>14</t>
    </r>
  </si>
  <si>
    <t>26442</t>
  </si>
  <si>
    <t>за счет прочих источников финансового обеспечения</t>
  </si>
  <si>
    <t>26450</t>
  </si>
  <si>
    <t>26451</t>
  </si>
  <si>
    <t>в соответствии с Федеральным законом № 223-ФЗ</t>
  </si>
  <si>
    <t>26452</t>
  </si>
  <si>
    <r>
      <t xml:space="preserve">Итого по контрактам, планируемым к заключению в соответствующем финансовом году в соответствии с Федеральным законом № 44-ФЗ, по соответствующему году закупки </t>
    </r>
    <r>
      <rPr>
        <vertAlign val="superscript"/>
        <sz val="8"/>
        <rFont val="Times New Roman"/>
        <family val="1"/>
        <charset val="204"/>
      </rPr>
      <t>15</t>
    </r>
  </si>
  <si>
    <t>26500</t>
  </si>
  <si>
    <t>в том числе по году начала закупки:</t>
  </si>
  <si>
    <t>26510</t>
  </si>
  <si>
    <t>Итого по договорам, планируемым к заключению в соответствующем финансовом году в соответствии с Федеральным законом № 223-ФЗ, по соответствующему году закупки</t>
  </si>
  <si>
    <t>26600</t>
  </si>
  <si>
    <t>26610</t>
  </si>
  <si>
    <t>Руководитель учреждения</t>
  </si>
  <si>
    <t>(уполномоченное лицо учреждения)</t>
  </si>
  <si>
    <t>(должность)</t>
  </si>
  <si>
    <t>(фамилия, инициалы)</t>
  </si>
  <si>
    <t>(телефон)</t>
  </si>
  <si>
    <t>"</t>
  </si>
  <si>
    <t>СОГЛАСОВАНО</t>
  </si>
  <si>
    <t>(наименование должности уполномоченного лица органа-учредителя)</t>
  </si>
  <si>
    <t>9. В Разделе 2 "Сведения по выплатам на закупку товаров, работ, услуг" Плана детализируются показатели выплат по расходам на закупку товаров, работ, услуг, отраженные в строке 2600 Раздела 1 "Поступления и выплаты" Плана.</t>
  </si>
  <si>
    <t>11. Указывается сумма договоров (контрактов) о закупках товаров, работ, услуг, заключенных без учета требований Федерального закона № 44-ФЗ и Федерального закона № 223-ФЗ, в случаях, предусмотренных указанными федеральными законами.</t>
  </si>
  <si>
    <t>12. Указывается сумма закупок товаров, работ, услуг, осуществляемых в соответствии с Федеральным законом № 44-ФЗ и Федеральным законом № 223-ФЗ.</t>
  </si>
  <si>
    <t>13. Государственным (муниципальным) бюджетным учреждением показатель не формируется.</t>
  </si>
  <si>
    <t>14. Указывается сумма закупок товаров, работ, услуг, осуществляемых в соответствии с Федеральным законом № 44-ФЗ.</t>
  </si>
  <si>
    <t>15. Плановые показатели выплат на закупку товаров, работ, услуг по строке 26500 государственного (муниципального) бюджетного учреждения должен быть не менее суммы показателей строк 26410, 26420, 26430, 26440 по соответствующей графе, государственного (муниципального) автономного учреждения - не менее показателя строки 26430 по соответствующей графе.</t>
  </si>
  <si>
    <t>КВР</t>
  </si>
  <si>
    <t>Наименование КВР</t>
  </si>
  <si>
    <t>КОСГУ</t>
  </si>
  <si>
    <t>Наименование КОСГУ</t>
  </si>
  <si>
    <t>Наименование Доп.Кр</t>
  </si>
  <si>
    <t>Фонд оплаты труда учреждений</t>
  </si>
  <si>
    <t xml:space="preserve"> Социальные пособия и компенсации персоналу в денежной форме</t>
  </si>
  <si>
    <t>Прочие несоциальные выплаты персоналу в денежной форме</t>
  </si>
  <si>
    <t>Прочие несоциальные выплаты персоналу в натуральной форме</t>
  </si>
  <si>
    <t>Прочие работы, услуги</t>
  </si>
  <si>
    <t>обучение минимуму</t>
  </si>
  <si>
    <t>226</t>
  </si>
  <si>
    <t>Взносы по обязательному социальному страхованию на выплаты по оплате труда работников и иные выплаты работникам учреждений</t>
  </si>
  <si>
    <t>213</t>
  </si>
  <si>
    <t>Начисления на выплаты по оплате труда</t>
  </si>
  <si>
    <t>992</t>
  </si>
  <si>
    <t>995</t>
  </si>
  <si>
    <t>Медицинские услуги (в том числе диспансеризация, медицинский осмотр и освидетельствование работников (включая предрейсовые осмотры водителей), состоящих в штате учреждения, проведение медицинских анализов)</t>
  </si>
  <si>
    <t>оплата за счет ФСС по заявлению от учреждения как от налогоплательщика</t>
  </si>
  <si>
    <t>345</t>
  </si>
  <si>
    <t>Увеличение стоимости мягкого инвентаря</t>
  </si>
  <si>
    <t>985</t>
  </si>
  <si>
    <t>Приобретение мягкого инвентаря</t>
  </si>
  <si>
    <t>Пенсии, пособия, выплачиваемые работодателями, нанимателями бывшим работникам в денежной форме</t>
  </si>
  <si>
    <t>915</t>
  </si>
  <si>
    <t>264</t>
  </si>
  <si>
    <t>991</t>
  </si>
  <si>
    <t>оплата больничного листа в размере 2 календарных дня (за счет средств работодателя) после увольнения, то есть бывшему работнику</t>
  </si>
  <si>
    <t>994</t>
  </si>
  <si>
    <t>материальная помощь родственникам умершего работника</t>
  </si>
  <si>
    <t>265</t>
  </si>
  <si>
    <t>Пособия по социальной помощи, выплачиваемые работодателями, нанимателями бывшим работникам в натуральной форме</t>
  </si>
  <si>
    <t>917</t>
  </si>
  <si>
    <t>Уплата прочих налогов, сборов</t>
  </si>
  <si>
    <t>291</t>
  </si>
  <si>
    <t>967</t>
  </si>
  <si>
    <t>Уплата иных платежей</t>
  </si>
  <si>
    <t>292</t>
  </si>
  <si>
    <t>968</t>
  </si>
  <si>
    <t>295</t>
  </si>
  <si>
    <t>000</t>
  </si>
  <si>
    <t>НЕ УКАЗАНО</t>
  </si>
  <si>
    <t>296</t>
  </si>
  <si>
    <t>Иные выплаты текущего характера физическим лицам</t>
  </si>
  <si>
    <t>964</t>
  </si>
  <si>
    <t>297</t>
  </si>
  <si>
    <t>Иные выплаты текущего характера организациям</t>
  </si>
  <si>
    <t>965</t>
  </si>
  <si>
    <r>
      <t xml:space="preserve">расходы на закупку товаров, работ, услуг, всего </t>
    </r>
    <r>
      <rPr>
        <b/>
        <vertAlign val="superscript"/>
        <sz val="10"/>
        <rFont val="Times New Roman"/>
        <family val="1"/>
        <charset val="204"/>
      </rPr>
      <t>6</t>
    </r>
  </si>
  <si>
    <t>Закупка товаров, работ, услуг в целях капитального ремонта государственного (муниципального) имущества</t>
  </si>
  <si>
    <t>954</t>
  </si>
  <si>
    <t>Прочие услуги</t>
  </si>
  <si>
    <t>957</t>
  </si>
  <si>
    <t>Инженерные изыскания для подготовки проектной документации, строительства, реконструкции, капитального и текущего ремонта объектов; архитектурно-строительное проектирование; экспертиза в рамках строительно-ремонтных работ</t>
  </si>
  <si>
    <r>
      <t>(на 2020 год и плановый период 2021 и 2022 гг.)</t>
    </r>
    <r>
      <rPr>
        <b/>
        <vertAlign val="superscript"/>
        <sz val="12"/>
        <rFont val="Times New Roman"/>
        <family val="1"/>
        <charset val="204"/>
      </rPr>
      <t>1</t>
    </r>
  </si>
  <si>
    <t>План финансово-хозяйственной деятельности на 2020 г.</t>
  </si>
  <si>
    <t>20</t>
  </si>
  <si>
    <t>21</t>
  </si>
  <si>
    <t>22</t>
  </si>
  <si>
    <r>
      <t xml:space="preserve">по контрактам (договорам), заключенным </t>
    </r>
    <r>
      <rPr>
        <b/>
        <u/>
        <sz val="8"/>
        <rFont val="Times New Roman"/>
        <family val="1"/>
        <charset val="204"/>
      </rPr>
      <t>до начала</t>
    </r>
    <r>
      <rPr>
        <sz val="8"/>
        <rFont val="Times New Roman"/>
        <family val="1"/>
        <charset val="204"/>
      </rPr>
      <t xml:space="preserve"> текущего финансового года с учетом требований Федерального закона № 44-ФЗ и Федерального закона № 223-ФЗ </t>
    </r>
    <r>
      <rPr>
        <vertAlign val="superscript"/>
        <sz val="8"/>
        <rFont val="Times New Roman"/>
        <family val="1"/>
        <charset val="204"/>
      </rPr>
      <t>12</t>
    </r>
  </si>
  <si>
    <r>
      <t xml:space="preserve">по контрактам (договорам), планируемым к заключению </t>
    </r>
    <r>
      <rPr>
        <b/>
        <u/>
        <sz val="8"/>
        <rFont val="Times New Roman"/>
        <family val="1"/>
        <charset val="204"/>
      </rPr>
      <t>в соответствующем финансовом году</t>
    </r>
    <r>
      <rPr>
        <sz val="8"/>
        <rFont val="Times New Roman"/>
        <family val="1"/>
        <charset val="204"/>
      </rPr>
      <t xml:space="preserve"> с учетом требований Федерального закона № 44-ФЗ и Федерального закона № 223-ФЗ </t>
    </r>
    <r>
      <rPr>
        <vertAlign val="superscript"/>
        <sz val="8"/>
        <rFont val="Times New Roman"/>
        <family val="1"/>
        <charset val="204"/>
      </rPr>
      <t>12</t>
    </r>
  </si>
  <si>
    <r>
      <t xml:space="preserve">в соответствии с Федеральным законом № 223-ФЗ </t>
    </r>
    <r>
      <rPr>
        <vertAlign val="superscript"/>
        <sz val="8"/>
        <rFont val="Times New Roman"/>
        <family val="1"/>
        <charset val="204"/>
      </rPr>
      <t>13     (Не формируем!!!)</t>
    </r>
  </si>
  <si>
    <t>Расчет необходимого времени замены</t>
  </si>
  <si>
    <t xml:space="preserve"> для определения затрат на оплату договоров ГПХ (источник финансирования-внебюджет)*</t>
  </si>
  <si>
    <t>отклонения</t>
  </si>
  <si>
    <t>по состоянию на 01.01.2018**</t>
  </si>
  <si>
    <t>Факт 2016</t>
  </si>
  <si>
    <t>Краевой бюджет</t>
  </si>
  <si>
    <t>Приложение №8
к письму от "_____"_____________2019  №_________</t>
  </si>
  <si>
    <t xml:space="preserve">Очередной финансовый год (2020)
</t>
  </si>
  <si>
    <t>Очередной финансовый год (2021)</t>
  </si>
  <si>
    <t xml:space="preserve">Очередной финансовый год (2022)
</t>
  </si>
  <si>
    <t>Численность потребителей, чел.</t>
  </si>
  <si>
    <t>Физический объём, ед.изм.</t>
  </si>
  <si>
    <t xml:space="preserve">Тариф руб./ед.изм </t>
  </si>
  <si>
    <t>Приобретение продуктов питания</t>
  </si>
  <si>
    <t>изделия колбасные и копчености</t>
  </si>
  <si>
    <t>в том числе (указать):</t>
  </si>
  <si>
    <t>2.1</t>
  </si>
  <si>
    <t>продукция рыбная (без рыбных консервов)</t>
  </si>
  <si>
    <t>3.1</t>
  </si>
  <si>
    <t>3.2</t>
  </si>
  <si>
    <t>масла животные, сыры, маргариновая продукция</t>
  </si>
  <si>
    <t>*В данной табличной форме так же указывать расходы на приобретение продуктов питания, предусмотренные в рамках стимулирования</t>
  </si>
  <si>
    <t>Обоснование (расчет) плановых показателей по выплатам по элементу вида расходов классификации расходов бюджетов 113 "Иные выплаты, за исключением фонда оплаты труда учреждений, лицам, привлекаемым согласно законодательству для выполнения отдельных полномочий"</t>
  </si>
  <si>
    <t>2.2</t>
  </si>
  <si>
    <t>2.3</t>
  </si>
  <si>
    <t>Шары гелиевые</t>
  </si>
  <si>
    <t>Прочие (программы Контур-Экстерн и Клиент-Сбербанк)</t>
  </si>
  <si>
    <t>Утв</t>
  </si>
  <si>
    <t>Договор</t>
  </si>
  <si>
    <t>Фактическое исполнение за отчетный финансовый год</t>
  </si>
  <si>
    <t>План на текущий финансовый год</t>
  </si>
  <si>
    <t>Ожидаемое</t>
  </si>
  <si>
    <t>АЦК</t>
  </si>
  <si>
    <t>отклонен</t>
  </si>
  <si>
    <t>ОБСЛУЖИВАНИЮ ПОМЕЩЕНИЙ, Доп.Кр.927, МП "Развитие культуры"</t>
  </si>
  <si>
    <t>Сергеева Татьяна Петровна</t>
  </si>
  <si>
    <t>из АЦК</t>
  </si>
  <si>
    <t>ИТОГО по 941</t>
  </si>
  <si>
    <t>ОБСЛУЖИВАНИЮ ПОМЕЩЕНИЙ, Доп.Кр.941, МП "Развитие культуры"</t>
  </si>
  <si>
    <t>В соответствии с Постановлением Минтруда России, Минобразования России от 13.01.2003 N 1/29 "Об утверждении Порядка обучения по охране труда и проверки знаний требований охраны труда работников организаций" обучение необходимо проводить раз в 3 года</t>
  </si>
  <si>
    <t>Обоснование расходов по прочим работам и услугам, Доп.Кр.954, МП "Развитие культуры"</t>
  </si>
  <si>
    <t>СВОД 981</t>
  </si>
  <si>
    <t>Старикова Т.Н. (2861) (в части факта)</t>
  </si>
  <si>
    <t>Шикера И.А. (2822)</t>
  </si>
  <si>
    <t>Факт 2018 года</t>
  </si>
  <si>
    <t>Ожидаемое исполнение 2019 года</t>
  </si>
  <si>
    <t>Приложение 16/2</t>
  </si>
  <si>
    <t>Источник финансирования - бюджет</t>
  </si>
  <si>
    <t>Основание</t>
  </si>
  <si>
    <t>Наименование групп должностей в соответствии со штатным расписанием</t>
  </si>
  <si>
    <t>Периодичность медосмотров, осмотров в год</t>
  </si>
  <si>
    <t>План на 2020 год</t>
  </si>
  <si>
    <t>Примечания
(к отклонениям численности подлежащих осмотру в плановом году относительно ожидаемого текущего года)</t>
  </si>
  <si>
    <t>План на 2021 год</t>
  </si>
  <si>
    <t>План на 2022 год</t>
  </si>
  <si>
    <t>Численность</t>
  </si>
  <si>
    <t>Средняя стоимость медосмотра, тыс. руб.</t>
  </si>
  <si>
    <t>Расходы, тыс.руб.</t>
  </si>
  <si>
    <t>штатная, ед.</t>
  </si>
  <si>
    <t>списочная на 31.12.18, чел.</t>
  </si>
  <si>
    <t>подлежащие осмотру, чел.</t>
  </si>
  <si>
    <t>списочная на 31.05.19, чел.</t>
  </si>
  <si>
    <t>списочная, чел.</t>
  </si>
  <si>
    <t>Руководители</t>
  </si>
  <si>
    <t>Специалисты</t>
  </si>
  <si>
    <t>Служащие</t>
  </si>
  <si>
    <t>Рабочие (МОП)</t>
  </si>
  <si>
    <t>Обоснование расходов для формирования бюджета муниципального образования город Норильск на 2020-2022 годы
на прохождение обязательных периодических медицинских осмотров, ДопКР 995, МП "Развитие культуры"</t>
  </si>
  <si>
    <r>
      <t>Планируемые выплаты на закупку товаров, работ и услуг (</t>
    </r>
    <r>
      <rPr>
        <b/>
        <sz val="11"/>
        <color rgb="FF0000FF"/>
        <rFont val="Times New Roman"/>
        <family val="1"/>
        <charset val="204"/>
      </rPr>
      <t>с. 0100</t>
    </r>
    <r>
      <rPr>
        <b/>
        <sz val="11"/>
        <color theme="1"/>
        <rFont val="Times New Roman"/>
        <family val="1"/>
        <charset val="204"/>
      </rPr>
      <t xml:space="preserve"> - </t>
    </r>
    <r>
      <rPr>
        <b/>
        <sz val="11"/>
        <color rgb="FF0000FF"/>
        <rFont val="Times New Roman"/>
        <family val="1"/>
        <charset val="204"/>
      </rPr>
      <t>с. 0200</t>
    </r>
    <r>
      <rPr>
        <b/>
        <sz val="11"/>
        <color theme="1"/>
        <rFont val="Times New Roman"/>
        <family val="1"/>
        <charset val="204"/>
      </rPr>
      <t xml:space="preserve"> + </t>
    </r>
    <r>
      <rPr>
        <b/>
        <sz val="11"/>
        <color rgb="FF0000FF"/>
        <rFont val="Times New Roman"/>
        <family val="1"/>
        <charset val="204"/>
      </rPr>
      <t>с. 0300</t>
    </r>
    <r>
      <rPr>
        <b/>
        <sz val="11"/>
        <color theme="1"/>
        <rFont val="Times New Roman"/>
        <family val="1"/>
        <charset val="204"/>
      </rPr>
      <t xml:space="preserve"> - </t>
    </r>
    <r>
      <rPr>
        <b/>
        <sz val="11"/>
        <color rgb="FF0000FF"/>
        <rFont val="Times New Roman"/>
        <family val="1"/>
        <charset val="204"/>
      </rPr>
      <t>с. 0400</t>
    </r>
    <r>
      <rPr>
        <b/>
        <sz val="11"/>
        <color theme="1"/>
        <rFont val="Times New Roman"/>
        <family val="1"/>
        <charset val="204"/>
      </rPr>
      <t xml:space="preserve"> + </t>
    </r>
    <r>
      <rPr>
        <b/>
        <sz val="11"/>
        <color rgb="FF0000FF"/>
        <rFont val="Times New Roman"/>
        <family val="1"/>
        <charset val="204"/>
      </rPr>
      <t>с. 0500</t>
    </r>
    <r>
      <rPr>
        <b/>
        <sz val="11"/>
        <color theme="1"/>
        <rFont val="Times New Roman"/>
        <family val="1"/>
        <charset val="204"/>
      </rPr>
      <t>)</t>
    </r>
  </si>
  <si>
    <t>Обоснование (расчет) плановых показателей по выплатам по элементу вида расходов классификации расходов бюджетов 113 "Иные выплаты, за исключением фонда оплаты труда учреждений, лицам, привлекаемым согласно законодательству для выполнения отдельных полномочий", МП "Развитие туризма"</t>
  </si>
  <si>
    <t>Обоснование расходов для формирования бюджета муниципального образования город Норильск на 2020-2022 годы для замены неэффективного осветительного оборудования внутреннего освещения на современное светодиодное</t>
  </si>
  <si>
    <t>Адрес проведения мероприятия</t>
  </si>
  <si>
    <t>Тип (марка)</t>
  </si>
  <si>
    <t>Стоимость, тыс. руб.</t>
  </si>
  <si>
    <t>Экономический эффект от внедрения мероприятия</t>
  </si>
  <si>
    <t>Замена неэффективного осветительного оборудования внутреннего освещения на современное светодиодное</t>
  </si>
  <si>
    <t>г. Норильск, ул. Орджоникидзе, д.15</t>
  </si>
  <si>
    <t xml:space="preserve">Армстронг 4*18, НСП ЛПО  </t>
  </si>
  <si>
    <t>Начальник технического отдела</t>
  </si>
  <si>
    <t>МКУ "Обеспечивающий комплекс учреждений культуры"</t>
  </si>
  <si>
    <t>МБУ ДО "Норильская детская художественная школа"</t>
  </si>
  <si>
    <t>Расчет по командировочным расходам (источник финансирования -внебюджет)* (Доп.Кр.912,921,952)</t>
  </si>
  <si>
    <t>Муниципальное бюджетное учреждение дополнительного образования «Норильская детская художественная школа»</t>
  </si>
  <si>
    <t>МБУ ДО "НДХШ"</t>
  </si>
  <si>
    <t>Программа РОСПЛЕНЭР (июнь, г.Ярославль-Кострома-Плес)</t>
  </si>
  <si>
    <t xml:space="preserve">сопровождение учащихся по программе Стимулировании народного творчества </t>
  </si>
  <si>
    <t>Международная научно-практическая конференция «Художественное образование в новой образовательной реальности». (март, г.Москва)</t>
  </si>
  <si>
    <t>Традиционный краевой методический семинар преподавателей детских художественных школ и художественных отделений школ искусств (март, г.Красноярск)</t>
  </si>
  <si>
    <t>3.3</t>
  </si>
  <si>
    <t>Т.В.Мозговая</t>
  </si>
  <si>
    <t>Мозговая Т.В., 46-30-26</t>
  </si>
  <si>
    <t>Приложение N 8</t>
  </si>
  <si>
    <t>к Методике ценообразования на платные</t>
  </si>
  <si>
    <t>дополнительные образовательные услуги,</t>
  </si>
  <si>
    <t>оказываемые муниципальными</t>
  </si>
  <si>
    <t>образовательными учреждениями сверх</t>
  </si>
  <si>
    <t>утвержденного задания</t>
  </si>
  <si>
    <t>Расчет</t>
  </si>
  <si>
    <t>использования доходов, полученных от платных услуг</t>
  </si>
  <si>
    <t xml:space="preserve">самоокупаемых художественных студий </t>
  </si>
  <si>
    <t>Наименование затрат</t>
  </si>
  <si>
    <t>Ед. измер.</t>
  </si>
  <si>
    <t>Цена за 1 ед.</t>
  </si>
  <si>
    <t>Итого за 3 месяца 2019-2020 годов учебного года</t>
  </si>
  <si>
    <t>223/931</t>
  </si>
  <si>
    <t xml:space="preserve">Возмещение расходов на отопление и ГВС </t>
  </si>
  <si>
    <t>услуга</t>
  </si>
  <si>
    <t>223/932</t>
  </si>
  <si>
    <t xml:space="preserve">Возмещение расходов на потребление электроэнергии </t>
  </si>
  <si>
    <t>223/933</t>
  </si>
  <si>
    <t>Возмещение расходов на водоснабжение и водоотведение</t>
  </si>
  <si>
    <t>221/925</t>
  </si>
  <si>
    <t>Интернет</t>
  </si>
  <si>
    <t>225/942</t>
  </si>
  <si>
    <t>Ремонт оргтехники, КМА, бытовой техники</t>
  </si>
  <si>
    <t>225/947</t>
  </si>
  <si>
    <t>Заправка картриджей</t>
  </si>
  <si>
    <t>226/955</t>
  </si>
  <si>
    <t>Договора ГПХ с педагогическим персоналом</t>
  </si>
  <si>
    <t>226/954</t>
  </si>
  <si>
    <t>Услуги по обслуживанию ПО</t>
  </si>
  <si>
    <t>Гарант</t>
  </si>
  <si>
    <t>310/971</t>
  </si>
  <si>
    <t>Оргтехника (МФУ)</t>
  </si>
  <si>
    <t>340/981</t>
  </si>
  <si>
    <t>Методическая литература</t>
  </si>
  <si>
    <t>Расходные материалы для самоокупаемых групп</t>
  </si>
  <si>
    <t>Типографские расходы (свидетельства, журналы)</t>
  </si>
  <si>
    <t>Директор МБУ ДО "НДХШ"</t>
  </si>
  <si>
    <t>наименование учреждения</t>
  </si>
  <si>
    <t>Соединительной линии для выхода ведомственной станции или телефонных станций (других устройств коммутации) других операторов на сеть общего пользования</t>
  </si>
  <si>
    <t>Прямой канал: (факс)</t>
  </si>
  <si>
    <t>Прямой канал (указать тех.параметры)</t>
  </si>
  <si>
    <t xml:space="preserve">Прочие </t>
  </si>
  <si>
    <t>Прочие (цифровой канал)</t>
  </si>
  <si>
    <t>Директор _________ Т.В. Мозговая</t>
  </si>
  <si>
    <t>Исполнитель, тел:                                  Певнева Л.Э. 46-30-27</t>
  </si>
  <si>
    <t>внебюджет</t>
  </si>
  <si>
    <t>самоокупаемые группы</t>
  </si>
  <si>
    <t>самоокупаемые</t>
  </si>
  <si>
    <t>СВОД 931</t>
  </si>
  <si>
    <t>СВОД 932</t>
  </si>
  <si>
    <t>СВОД 933</t>
  </si>
  <si>
    <t>СВОД комм услуги</t>
  </si>
  <si>
    <t>ОБСЛУЖИВАНИЮ ПОМЕЩЕНИЙ Доп.Кр. 941 (источник финансирования-внебюджет)</t>
  </si>
  <si>
    <t>МБУ ДО "Норильская художественная школа"</t>
  </si>
  <si>
    <t>Тепловычислитель</t>
  </si>
  <si>
    <t>Вывоз ТБО (район Центральный, Снежногорск)</t>
  </si>
  <si>
    <t>Размещение ТБО</t>
  </si>
  <si>
    <t>14.1.</t>
  </si>
  <si>
    <t>полигон ООО «Стройбытсервис», в т.ч.:</t>
  </si>
  <si>
    <t>- с 01.01. по 30.06.</t>
  </si>
  <si>
    <t>- с 01.07. по 31.12.</t>
  </si>
  <si>
    <t>14.2.</t>
  </si>
  <si>
    <t>полигон ООО «Байкал-2000», в т.ч.</t>
  </si>
  <si>
    <t>Техническое обслуживание трансформаторных подстанций</t>
  </si>
  <si>
    <t>- ТП-607 «Бис»</t>
  </si>
  <si>
    <t>- ТП-64-1П</t>
  </si>
  <si>
    <t>- ТП-76</t>
  </si>
  <si>
    <t>- ТП-151</t>
  </si>
  <si>
    <t>- ТП-625</t>
  </si>
  <si>
    <t>- ТП-64 «БИС»</t>
  </si>
  <si>
    <t>ТП-405</t>
  </si>
  <si>
    <t>ТП-415</t>
  </si>
  <si>
    <t>ТП-1016П</t>
  </si>
  <si>
    <t>ТП-992П (6 кВ)</t>
  </si>
  <si>
    <t>ТП-973П (6 кВ)</t>
  </si>
  <si>
    <t>ТО кабельных линий трансф. подст.</t>
  </si>
  <si>
    <t>20.1.</t>
  </si>
  <si>
    <t xml:space="preserve"> - Кабельные линии до 1 кВ</t>
  </si>
  <si>
    <t>20.2.</t>
  </si>
  <si>
    <t xml:space="preserve"> - Кабельные линии более 1 кВ</t>
  </si>
  <si>
    <t>Т.В Мозговая</t>
  </si>
  <si>
    <t>МБУ ДО "НДХШ", Комсомольская, 52А</t>
  </si>
  <si>
    <t>расходы на заправку катриджей</t>
  </si>
  <si>
    <t>Обоснование расходов по прочим работам и услугам</t>
  </si>
  <si>
    <t>МБУ ДО  "Норильская детская художественная школа"</t>
  </si>
  <si>
    <t>МБУ ДО "НДХШ", ул. Комсомольская, 52-А</t>
  </si>
  <si>
    <t>мес</t>
  </si>
  <si>
    <t xml:space="preserve"> </t>
  </si>
  <si>
    <t>Обечение по пожарно-техническому минимуму</t>
  </si>
  <si>
    <t>Гигиеническое обучение</t>
  </si>
  <si>
    <t>Приказ Минздрава РФ от 29 июня 2000 г. N 229 "О профессиональной гигиенической подготовке и аттестации должностных лиц и работников организаций" профессиональная гигиеническая подготовка проводится при приеме на работу и в дальнейшем с периодичностью 1 раз в 2 года.</t>
  </si>
  <si>
    <t>Специальная оценка условий труда</t>
  </si>
  <si>
    <t>раб.места</t>
  </si>
  <si>
    <t>В соответствии со статьей 8 Федеральный закон от 28.12.2013 N 426-ФЗ "О специальной оценке условий труда"  специальная оценка условий труда на рабочем месте проводится не реже чем один раз в пять лет</t>
  </si>
  <si>
    <t>Утилизация ртутьсодержащих отходов</t>
  </si>
  <si>
    <t>Увеличение тарифов ООО НМУ ОАО "Северовостокэлектромонтаж"; НДС-20%</t>
  </si>
  <si>
    <t>Проведение лабораторно-инструментальных исследований согласно требованиям Санитарных норм</t>
  </si>
  <si>
    <t>кол-во исследований</t>
  </si>
  <si>
    <t>Постановление Главного государственного санитарного врача Российской Федерации от 4 июля 2014 г. N 41 г. Москва "Об утверждении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 (пункт IV. Требования к водоснабжению и канализации)</t>
  </si>
  <si>
    <t>Паспорт доступности ОСИ</t>
  </si>
  <si>
    <t>Паспорт БТИ</t>
  </si>
  <si>
    <t>В 2018 году осуществлен ремонт туалетов, изготовление пандуса, после перепланировки необходимо обновить паспорт БТИ</t>
  </si>
  <si>
    <t>Программное обеспечение и его обслуживание</t>
  </si>
  <si>
    <t>Энергетически паспорт и расчеты к нему</t>
  </si>
  <si>
    <t>Поддержка сайта учреждения</t>
  </si>
  <si>
    <t xml:space="preserve">Приказ Рособрнадзора от 29.05.2014 N 785
"Об утверждении требований к структуре официального сайта образовательной организации в информационно-телекоммуникационной сети "Интернет" и формату представления на нем информации"
(Зарегистрировано в Минюсте России 04.08.2014 N 33423)
</t>
  </si>
  <si>
    <t>Повышение квалификации</t>
  </si>
  <si>
    <t>На основании пункта 2.8 методических рекомедаций к Федеральному закону от 5 апреля 2013 г. N 44-ФЗ "О контрактной системе в сфере закупок товаров, работ, услуг для обеспечения государственных и муниципальных нужд": Обучение в сфере закупок рекомендуется проводить по мере необходимости, но не реже, чем каждые три года для всех категорий обучающихся. Обучение для заведующего хозяйством Певневой Л.Э.</t>
  </si>
  <si>
    <t>Расчет пожарного риска</t>
  </si>
  <si>
    <t>Мойка фасадного остекления (окна)</t>
  </si>
  <si>
    <t>окно</t>
  </si>
  <si>
    <t>пункт X Постановления Главного государственного санитарного врача РФ от 04.06.14г. №41 «Об утверждении СанПиН 2.4.4.3172-14 «Санитарно-эпидемиологические требования к устройству, содержанию и организации режима работы образовательных организаций дополнительного образования детей»</t>
  </si>
  <si>
    <t>Расчет тепловых нагрузок</t>
  </si>
  <si>
    <t>Начальник Управления</t>
  </si>
  <si>
    <t>Обслуживание ПО</t>
  </si>
  <si>
    <t>Гарант (Консультант плюс)</t>
  </si>
  <si>
    <t>Поддержка сайта</t>
  </si>
  <si>
    <t>Директор ______________ Т.В. Мозговая</t>
  </si>
  <si>
    <t>Исполнитель, тел.:                                Певнева Л.Э. 46-30-27</t>
  </si>
  <si>
    <t>СВОД 954</t>
  </si>
  <si>
    <t>руб.</t>
  </si>
  <si>
    <t>Итого по ГПХ 2020 г.</t>
  </si>
  <si>
    <t>2021 г.</t>
  </si>
  <si>
    <t>2022 г.</t>
  </si>
  <si>
    <t>Договоры ГПХ (ремонт косметич в классах)</t>
  </si>
  <si>
    <t>Мозговая Т.В.</t>
  </si>
  <si>
    <t>Исполнитель, тел.:                                           Певнева Л.Э. 46-30-27</t>
  </si>
  <si>
    <t>СВОД 955</t>
  </si>
  <si>
    <t>Канцелярские товары (скотч, карандаши, ручки и т.д.)</t>
  </si>
  <si>
    <t>Моющие товары</t>
  </si>
  <si>
    <t>Пистолеты для клея</t>
  </si>
  <si>
    <t>Прочие товары</t>
  </si>
  <si>
    <t>Межрегиональный конкурс работ детского художественного творчества "Северная палитра"</t>
  </si>
  <si>
    <t>Директор ___________ Т.В. Мозговая</t>
  </si>
  <si>
    <t>исп. Певнева Л.Э.</t>
  </si>
  <si>
    <t>МБУ ДО  "НДХШ"</t>
  </si>
  <si>
    <t>примечание</t>
  </si>
  <si>
    <t>1.1. Кресло офисное</t>
  </si>
  <si>
    <t>1.2. Табуреты</t>
  </si>
  <si>
    <t>1.3. Стеллажи</t>
  </si>
  <si>
    <t>1.4. Столы для учителей</t>
  </si>
  <si>
    <t>1.5. Мольберты</t>
  </si>
  <si>
    <t>1.6. Шкаф для одежды</t>
  </si>
  <si>
    <t xml:space="preserve">1.7. Школьные парты </t>
  </si>
  <si>
    <t>1.8. Многофункциональный стол для столярной мастерской</t>
  </si>
  <si>
    <t xml:space="preserve">2. Оргтехника и оборудование для связи (компьютерная и оргтехника, телефоны, факсы и т.д.)
</t>
  </si>
  <si>
    <t>2.1. МФУ Canon MF5940</t>
  </si>
  <si>
    <t>2.2. Факс Panasonic</t>
  </si>
  <si>
    <t>2.3. Подвесная система для картин</t>
  </si>
  <si>
    <t>2.4. Компьютерная техника</t>
  </si>
  <si>
    <t>3. Хозтовары и хозинвентарь (инструменты и принадлежности технического персонала и т.д.)</t>
  </si>
  <si>
    <t>3.1. Дрель Hitachi</t>
  </si>
  <si>
    <t>4. Бытовая техника (чайники, холодильники, компрессоры, подъемники и т.д.)</t>
  </si>
  <si>
    <t>4.1. Холодильник</t>
  </si>
  <si>
    <t>…</t>
  </si>
  <si>
    <t>5.1. Игровой набор</t>
  </si>
  <si>
    <t>6.1. Смеситель</t>
  </si>
  <si>
    <t>7.1. Кушетка медицинская детская</t>
  </si>
  <si>
    <t>8.1. Микрофон</t>
  </si>
  <si>
    <t>9.1. Ворота хоккейные</t>
  </si>
  <si>
    <t>10.1. Скрипка</t>
  </si>
  <si>
    <t>11.1. Костюм "Дед Мороз"</t>
  </si>
  <si>
    <t>13. Авто, мото и спец. техника, катера, лодки и т.д.</t>
  </si>
  <si>
    <t>13.1. Автомобиль УАЗ-3163</t>
  </si>
  <si>
    <t>14. Дорожное оборудование</t>
  </si>
  <si>
    <t>14.1. Дорожные знаки</t>
  </si>
  <si>
    <t>15. Оборудование для ТО и ТР подвижного состава</t>
  </si>
  <si>
    <t>15.1. Вагоноремонтная машина</t>
  </si>
  <si>
    <t>16. Пожарное оборудование и средства индивидуальной защиты</t>
  </si>
  <si>
    <t>16.1. Огнетушитель</t>
  </si>
  <si>
    <t xml:space="preserve">                                                                                                                                                                                                                                                                                                                                                                                                                                                                                                             </t>
  </si>
  <si>
    <t>17. Уличные малые архитектурные формы</t>
  </si>
  <si>
    <t>17.1. Скамейка уличная</t>
  </si>
  <si>
    <t>18. Измерительные приборы (манометры, термометры, тонометры, нивелиры и т.д.)</t>
  </si>
  <si>
    <t>18.1. Тонометр OMRON</t>
  </si>
  <si>
    <t>19. Технологическое оборудование</t>
  </si>
  <si>
    <t>19.1. Духовой шкаф</t>
  </si>
  <si>
    <t>20. Прочее (указать)</t>
  </si>
  <si>
    <t>20.1 Жалюзи</t>
  </si>
  <si>
    <t>….</t>
  </si>
  <si>
    <t>Исполнитель, тел.: Певнева Л.Э. 46-30-27</t>
  </si>
  <si>
    <t>СВОД 971</t>
  </si>
  <si>
    <t>Бумага Формат А-4</t>
  </si>
  <si>
    <t>…..</t>
  </si>
  <si>
    <t>Прочие (лампа компактная люминисцентная, знаки безопасности и пр.)</t>
  </si>
  <si>
    <t>Типографические расходы (свидетельства, журнаялы, плакаты и пр.)</t>
  </si>
  <si>
    <t>Межрегиональный конкурс работ десткого художественного творчества "Северная палитра"</t>
  </si>
  <si>
    <t>Исполнитель, тел.:                                                      Певнева Л.Э. 46-30-27</t>
  </si>
  <si>
    <t>Обоснование расходов для формирования бюджета муниципального образования город Норильск на 2020-2022 годы на приобретение медикаментов, (Доп.КР 982), (источник финансирования-внебюджет)</t>
  </si>
  <si>
    <t>Расходы всего, в том числе:</t>
  </si>
  <si>
    <t>Директор ________________ Т.В. Мозговая</t>
  </si>
  <si>
    <t>Обоснование расходов на приобретение продуктов питания, ДопКР 983* (источник финансирования-внебюджет)</t>
  </si>
  <si>
    <t>Мясо и птица</t>
  </si>
  <si>
    <t>Например: Указать , что запланировано в стимулировании</t>
  </si>
  <si>
    <t>консервы и пресервы рыбные, мясные, мясорастительные, молочные</t>
  </si>
  <si>
    <t>молоко питьевое, молочные коктейли, кефир, йогурты, сливки, сметана, творог и другие цельномолочные продукты</t>
  </si>
  <si>
    <t>яйцо птицы</t>
  </si>
  <si>
    <t>бакалейные товары (масла растительные, мука, крупа, макаронные изделия, сахар, соль, кофе, чай, сухое молоко цельное, сухие сливки и сухие смеси)</t>
  </si>
  <si>
    <t>кондитерские изделия, хлеб и хлебобулочные изделия</t>
  </si>
  <si>
    <t>картофель, овощи</t>
  </si>
  <si>
    <t>плоды, ягоды, виноград</t>
  </si>
  <si>
    <t>прочие продовольственные товары</t>
  </si>
  <si>
    <t>Питьевая вода для кулера</t>
  </si>
  <si>
    <t>Директор _________________ Т.В. Мозговая</t>
  </si>
  <si>
    <t>Исп Певнева Л.Э. 46-30-27</t>
  </si>
  <si>
    <t>Директор ___________ Т.В Мозговая</t>
  </si>
  <si>
    <t>Строительные материалы</t>
  </si>
  <si>
    <t>Директор __________ Т.В. Мозговая</t>
  </si>
  <si>
    <t>Т.В. Мозговая</t>
  </si>
  <si>
    <t>РАСЧЕТ ДОХОДОВ ОТ РОДИТЕЛЬСКОЙ ПЛАТЫ НА 2020-2022 ГОДЫ</t>
  </si>
  <si>
    <t xml:space="preserve">МБУ ДО "Норильская детская художественная школа" </t>
  </si>
  <si>
    <t>Специальность (инструменты)</t>
  </si>
  <si>
    <t>Стоимость обучения на 2020 г. с учетом повышения на 3,7% с 01.01.20</t>
  </si>
  <si>
    <t>Кол-во детей ВСЕГО</t>
  </si>
  <si>
    <t>Из них получающие льготы по оплате:</t>
  </si>
  <si>
    <t>Сумма родительской платы за 2020 г. (стоимость обучения х кол-во детей - (сумма всех льгот)) х 9 мес</t>
  </si>
  <si>
    <t>Сумма родительской платы за 2021 г. (2020+4,5%)</t>
  </si>
  <si>
    <t>Сумма родительской платы за 2022 г. (2021+4,4%)</t>
  </si>
  <si>
    <t xml:space="preserve">Дети-сироты и дети, оставшиеся без попечения родителей
</t>
  </si>
  <si>
    <t>Дети-инвалиды</t>
  </si>
  <si>
    <t>Дети из многодетных семей</t>
  </si>
  <si>
    <t xml:space="preserve"> Дети одиноких родителей</t>
  </si>
  <si>
    <t>Дети, из малообеспеченных семей (семьи со среднедушевым доходом ниже величины прожиточного минимума).</t>
  </si>
  <si>
    <t>Дети, обучающиеся на 2-х отделениях</t>
  </si>
  <si>
    <t xml:space="preserve">Один ребенок из семей, другие дети которых обучаются с ним
</t>
  </si>
  <si>
    <t>Кол-во детей</t>
  </si>
  <si>
    <t xml:space="preserve">Процент льготы </t>
  </si>
  <si>
    <t>Сумма льготы</t>
  </si>
  <si>
    <t>Процент льготы</t>
  </si>
  <si>
    <t>Живопись</t>
  </si>
  <si>
    <t>Дизайн</t>
  </si>
  <si>
    <t>Искусство/Профиль</t>
  </si>
  <si>
    <t>Творчество</t>
  </si>
  <si>
    <t>Компьютерная графика</t>
  </si>
  <si>
    <t>в том числе по программам:</t>
  </si>
  <si>
    <t>Реализация дополнительных общеобразовательных предпрофессиональных программ</t>
  </si>
  <si>
    <t>Реализация дополнительных общеобразовательных предпрофессиональных программ ФОРТЕПИАНО</t>
  </si>
  <si>
    <t>Реализация дополнительных общеобразовательных предпрофессиональных программ ДУХОВЫЕ И УДАРНЫЕ ИНСТРУМЕНТЫ</t>
  </si>
  <si>
    <t>Реализация дополнительных общеобразовательных предпрофессиональных программ  СТРУННЫЕ ИНСТРУМЕНТЫ</t>
  </si>
  <si>
    <t>Реализация дополнительных общеобразовательных предпрофессиональных программ НАРОДНЫЕ ИНСТРУМЕНТЫ</t>
  </si>
  <si>
    <t>Реализация дополнительных общеобразовательных предпрофессиональных программ ХОРЕОГРАФИЧЕСКОЕ ТВОРЧЕСТВО</t>
  </si>
  <si>
    <t>Реализация дополнительных общеобразовательных предпрофессиональных программ ЖИВОПИСЬ</t>
  </si>
  <si>
    <t>Реализация дополнительных общеобразовательных предпрофессиональных программ ДИЗАЙН</t>
  </si>
  <si>
    <t>Реализация дополнительных общеобразовательных предпрофессиональных программ ИНСТРУМЕНТЫ ЭСТРАДНОГО ОРКЕСТРА</t>
  </si>
  <si>
    <t>Реализация дополнительных общеобразовательных общеразвивающих программ</t>
  </si>
  <si>
    <t>ФОРТЕПИАНО</t>
  </si>
  <si>
    <t>ДУХОВЫЕ И УДАРНЫЕ ИНСТРУМЕНТЫ</t>
  </si>
  <si>
    <t>СТРУННЫЕ ИНСТРУМЕНТЫ</t>
  </si>
  <si>
    <t>НАРОДНЫЕ ИНСТРУМЕНТЫ</t>
  </si>
  <si>
    <t>ХОРЕОГРАФИЧЕСКОЕ ТВОРЧЕСТВО</t>
  </si>
  <si>
    <t>ИСКУССТВО/ПРОФИЛЬ</t>
  </si>
  <si>
    <t>ТВОРЧЕСТВО</t>
  </si>
  <si>
    <t>СОЛЬНОЕ ПЕНИЕ/АКАДЕМИЧЕСКИЙ ВОКАЛ</t>
  </si>
  <si>
    <t>ХОРОВОЕ ПЕНИЕ</t>
  </si>
  <si>
    <t>ФОЛЬКЛОРНОЕ ИСКУССТВО</t>
  </si>
  <si>
    <t>ЭЛЕКТРОННАЯ КОМПЬЮТЕРНАЯ МУЗЫКА</t>
  </si>
  <si>
    <t>РАННЕЕ ЭСТЕТИЧЕСКОЕ РАЗВИТИЕ</t>
  </si>
  <si>
    <t>КОМПЬЮТЕРНАЯ ГРАФИКА</t>
  </si>
  <si>
    <t>ТЕАТРАЛЬНОЕ ИСКУССТВО</t>
  </si>
  <si>
    <t>АДАПТИРОВАННЫЕ ПРОГРАММЫ ДЛЯ ДЕТЕЙ С ОВЗ</t>
  </si>
  <si>
    <t>исолнитель Шестакова Елизавета Владимировна 46-30-25</t>
  </si>
  <si>
    <t>Планируемые на очередной финансовый год доходы от оказания платных услуг на 2020-2022 годы</t>
  </si>
  <si>
    <t>Студии</t>
  </si>
  <si>
    <t>полная стоимость</t>
  </si>
  <si>
    <t xml:space="preserve"> чел.</t>
  </si>
  <si>
    <t>льготная стоимость</t>
  </si>
  <si>
    <t>безвозмездное оказание</t>
  </si>
  <si>
    <t>Шестакова Елизавета Владимировна</t>
  </si>
  <si>
    <t>тел</t>
  </si>
  <si>
    <t>46-30-25</t>
  </si>
  <si>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color indexed="8"/>
        <rFont val="Times New Roman"/>
        <family val="2"/>
        <charset val="204"/>
      </rPr>
      <t>МБУ ДО "Норильская детская художественная школа" на 2020 год</t>
    </r>
  </si>
  <si>
    <t>Количество штатных единиц</t>
  </si>
  <si>
    <t>Повышающий коэффициент</t>
  </si>
  <si>
    <t xml:space="preserve">Персональная надбавка   за работу в МО г. Норильска  </t>
  </si>
  <si>
    <t>Преподаватель (высшая категория)</t>
  </si>
  <si>
    <t>Преподаватель (1 категория)</t>
  </si>
  <si>
    <t>Преподаватель (без категории)</t>
  </si>
  <si>
    <t>Заведующий хозяйством</t>
  </si>
  <si>
    <t>Секретарь учебной части</t>
  </si>
  <si>
    <t>Уборщик служебных  помещений</t>
  </si>
  <si>
    <t>Дворник</t>
  </si>
  <si>
    <t>Вахтер</t>
  </si>
  <si>
    <t>Гардеробщик</t>
  </si>
  <si>
    <t>Столяр</t>
  </si>
  <si>
    <t>План препод состав</t>
  </si>
  <si>
    <t>План работники культуры</t>
  </si>
  <si>
    <t>остальной персонал</t>
  </si>
  <si>
    <t>дорога</t>
  </si>
  <si>
    <t>ДОПЫ</t>
  </si>
  <si>
    <t>допы</t>
  </si>
  <si>
    <t>пед персонал</t>
  </si>
  <si>
    <t>раб культ 20%</t>
  </si>
  <si>
    <t>прочие</t>
  </si>
  <si>
    <t>0</t>
  </si>
  <si>
    <t>Плановые значения на 2020 год</t>
  </si>
  <si>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color indexed="8"/>
        <rFont val="Times New Roman"/>
        <family val="2"/>
        <charset val="204"/>
      </rPr>
      <t>МБУ ДО "Норильская детская художественная школа" на 2021 год</t>
    </r>
  </si>
  <si>
    <r>
      <t xml:space="preserve">Расчет затрат на оплату труда, страховые взносы, на оплату стоимости проезда и провоза багажа к месту использования отпуска и обратно </t>
    </r>
    <r>
      <rPr>
        <u/>
        <sz val="16"/>
        <color indexed="8"/>
        <rFont val="Times New Roman"/>
        <family val="2"/>
        <charset val="204"/>
      </rPr>
      <t>МБУ ДО "Норильская детская художественная школа" на 2022 год</t>
    </r>
  </si>
  <si>
    <t>ндхш</t>
  </si>
  <si>
    <t>маркеры, магниты</t>
  </si>
  <si>
    <t>дипломы и благодарственные письма, призы</t>
  </si>
  <si>
    <t>подарочная продукция</t>
  </si>
  <si>
    <t xml:space="preserve">Конверты пластиковые </t>
  </si>
  <si>
    <t>Типографские расходы (каталог)</t>
  </si>
  <si>
    <t>Расходные материалы (художественные материалы)</t>
  </si>
  <si>
    <t>почтовые услуги</t>
  </si>
  <si>
    <t>Возмещение расходов, связанных с пребыванием председателя жюри</t>
  </si>
  <si>
    <t>Пленер и мастер-классы</t>
  </si>
  <si>
    <t>Возмещение расходов, связанных с приездом высококвалифицированных специалистов</t>
  </si>
  <si>
    <t>Услуги по организации участия жюри в конкурсе</t>
  </si>
  <si>
    <t>НДХШ</t>
  </si>
  <si>
    <t>Обоснование (расчет) на выплаты суточных,  денежных средств на питание , компенсация расходов на проезд и проживание  спортсменам и студентам при их направлении на различного рода мероприятия и приглашенным лицам на 2020-2022 годы , МП "Развитие культуры", Доп.Кр.966</t>
  </si>
  <si>
    <t xml:space="preserve">Увеличение расходов в связи с ожидаемым приемом новых специалистов на место сотрудников пенсионного возраста, планирующих выехать из РКС в 2020 году. </t>
  </si>
  <si>
    <t>Обоснование расходов для формирования бюджета муниципального образования город Норильск на 2020-2022 годы по услугам связи КОСГУ 221 (925)</t>
  </si>
  <si>
    <t>рост НДС с 18 до 20%</t>
  </si>
  <si>
    <r>
      <t xml:space="preserve">Оплата производится по факту оказанных услуг за счет </t>
    </r>
    <r>
      <rPr>
        <b/>
        <sz val="8"/>
        <rFont val="Times New Roman Cyr"/>
        <charset val="204"/>
      </rPr>
      <t>внебюджетных средств</t>
    </r>
    <r>
      <rPr>
        <sz val="8"/>
        <rFont val="Times New Roman Cyr"/>
        <charset val="204"/>
      </rPr>
      <t xml:space="preserve">.  Использование услуги по междугородней связи согласно производственной необходимости. </t>
    </r>
  </si>
  <si>
    <r>
      <t xml:space="preserve">Норильск - … </t>
    </r>
    <r>
      <rPr>
        <i/>
        <sz val="8"/>
        <rFont val="Times New Roman Cyr"/>
        <charset val="204"/>
      </rPr>
      <t>Город</t>
    </r>
  </si>
  <si>
    <t xml:space="preserve">Прямой канал (круглосуточный доступ к услугам передачи данных по протоколу IP; поддержка клиент-серверной пары адерсов для ораганизации связи с абонентом; предоставление до 2-х статических ip-адресов; гарантированная скорость передачи данных составляет 1 Мбит/сек; трафик, входящий в абонентскую плату не тарифицируется)мбит/с. </t>
  </si>
  <si>
    <r>
      <t xml:space="preserve">Оплата производится за счет </t>
    </r>
    <r>
      <rPr>
        <b/>
        <sz val="8"/>
        <rFont val="Times New Roman Cyr"/>
        <charset val="204"/>
      </rPr>
      <t>внебюджетных средст</t>
    </r>
    <r>
      <rPr>
        <sz val="8"/>
        <rFont val="Times New Roman Cyr"/>
        <charset val="204"/>
      </rPr>
      <t xml:space="preserve">в. В связи с переходом на ФГТ на учебные планы по предпрофессиональной программе «Дизайн» в 2020г. происходит увеличение учебных часов по предметам Информационные технологии и Компьютерная графика. В учреждении был оборудован дополнительный компьютерный класс (третий), что требует дополнительного трафика. В связи, с чем просим увеличить финансирование на данную статью расходов. Абон.плата за доступ в тех.сеть и Интернет по договору с ООО "РОСТинтел" БИ-63/2019 от 01.01.2019 составляет 20000 руб. </t>
    </r>
  </si>
  <si>
    <r>
      <t xml:space="preserve">Оплата производится за конверы и почтовые отправления за счет </t>
    </r>
    <r>
      <rPr>
        <b/>
        <sz val="8"/>
        <rFont val="Times New Roman Cyr"/>
        <charset val="204"/>
      </rPr>
      <t>внебюджетных средств.</t>
    </r>
  </si>
  <si>
    <r>
      <t xml:space="preserve">Оплата производится по факту оказанных услуг за счет </t>
    </r>
    <r>
      <rPr>
        <b/>
        <sz val="8"/>
        <rFont val="Times New Roman Cyr"/>
        <family val="1"/>
        <charset val="204"/>
      </rPr>
      <t>внебюджетных средств</t>
    </r>
    <r>
      <rPr>
        <sz val="8"/>
        <rFont val="Times New Roman Cyr"/>
        <family val="1"/>
        <charset val="204"/>
      </rPr>
      <t xml:space="preserve">.  Использование услуги по внутризоновой связи согласно производственной необходимости. </t>
    </r>
  </si>
  <si>
    <t>МБУ ДО "Норильская детская художественная школа", ул. Комсомольская, 52А</t>
  </si>
  <si>
    <t>Очередной финансовый год</t>
  </si>
  <si>
    <t>Очередной финансовый год + 1</t>
  </si>
  <si>
    <t>Очередной финансовый год + 2</t>
  </si>
  <si>
    <t>Изменение площади после инвентаризации БТИ</t>
  </si>
  <si>
    <t>Модернизация системы видеонаблюдения в 2018 году</t>
  </si>
  <si>
    <t>Обоснование (расчет) плановых показателей по расходам на коммунальные услуги МБУ ДО "Норильская детская художественная школа" на 2020-2022 годы, Доп.Кр.931,932,933, МП "Развитие культуры"</t>
  </si>
  <si>
    <t>Помещение библиотеки № 2 по адресу: ул. Югославская, 14 получено по договору оперативного управления 12.11.2015 году. До 2018 года не использовалось из-за отсутствия ремонта. Было законсервировано. В 2018-2019 году был выполнен капитальный ремонт помещения. При планировании на 2019 год учитывались расчетные нагрузки. Библиотека открыта для читателей с марта 2019 года. Фактические показатели 2019 года не являются показательными</t>
  </si>
  <si>
    <t>В помещении библиотеки № 3 по адресу: ул. Котульского, д. 15 располагается лаборатория "ФабЛаб", для которой после ремонта закуплено новое высокотехнологичное оборудование (мощностью 10 кВт), поэтому необходимо увеличение лимита на электроэнергию.</t>
  </si>
  <si>
    <t>В помещении библиотеки № 4 по адресу: Солнеченый пр, 2 проводятся специализированные мероприятия для детей, увеличилось количество сотрудников, в связи с этим необходимо увеличение лимита на холодную воду.</t>
  </si>
  <si>
    <t>Обоснование расходов по услугам по обращению с твердыми коммунальными отходами</t>
  </si>
  <si>
    <t>МБУ ДО "Норильская детская художественная школа", (ул. Комсомольская, 52а )</t>
  </si>
  <si>
    <t>43,2/10,8</t>
  </si>
  <si>
    <t>43 72 74 *2899</t>
  </si>
  <si>
    <t>Приложение № 27</t>
  </si>
  <si>
    <t>к письму от "_____"_____________2019  №_________</t>
  </si>
  <si>
    <t>Текущий 2019 год (по состоянию на 01.01.2019)</t>
  </si>
  <si>
    <t>Ожидаемое исполнение 2019 год</t>
  </si>
  <si>
    <t>Физический объем /периодичность ремонтов</t>
  </si>
  <si>
    <t>ремонт оргтехники (техническое обслуживание компьютерного оборудования)</t>
  </si>
  <si>
    <t>ремонт КМТ</t>
  </si>
  <si>
    <t>ремонт бытовой техники, оборудования</t>
  </si>
  <si>
    <t>обслуживание системы видеонаблюдения</t>
  </si>
  <si>
    <t>В связи  с приведением в соответствие кодов бюджетной классификации данная услуга отражается по Доп КР 942. в 2018 году - Доп КР 941.</t>
  </si>
  <si>
    <t>техническое обслуживание электрооборудования (сплитсистемы, тепловые завесы, дренажные насосы, системы ПС)</t>
  </si>
  <si>
    <t>ремонт оборудования (мебели, кресел офисных)</t>
  </si>
  <si>
    <t>Обоснование расходов для формирования бюджета муниципального образования город Норильск на 2020-2022 годы на ремонт оборудования КОСГУ 225(942), МП "Развитие культуры"</t>
  </si>
  <si>
    <t>Обслуживание системы видеонаблюдения</t>
  </si>
  <si>
    <t xml:space="preserve">ИТОГО по КОСГУ (Доп.КР) 225(942) </t>
  </si>
  <si>
    <t>Обоснование расходов на вневедомственную охрану, охранную и пожарную сигнализацию, Доп.Кр.953, МП "Развитие культуры"</t>
  </si>
  <si>
    <t>Обоснование расходов по прочим работам и услугам, Доп.Кр.954, МП "Развитие культуры", Стимулирование</t>
  </si>
  <si>
    <t>текущее финансирование</t>
  </si>
  <si>
    <t>стимулирования</t>
  </si>
  <si>
    <t>Обоснование расходов для формирования бюджета муниципального образования город Норильск на 2020-2022 годы на приобретение расходных материалов и предметов снабжения, Доп.Кр.(981), МП "Развитие культуры", Стимулирование</t>
  </si>
  <si>
    <t>Термометр</t>
  </si>
  <si>
    <t>маска медицинская 3-слойная</t>
  </si>
  <si>
    <t xml:space="preserve">маска медицинская </t>
  </si>
  <si>
    <t>Приказ Минздравсоцразвития от 12.04.2011 N 302н (2.18)</t>
  </si>
  <si>
    <t>директор</t>
  </si>
  <si>
    <t>заместитель директора</t>
  </si>
  <si>
    <t>заведующий хозяйством</t>
  </si>
  <si>
    <t>преподаватель</t>
  </si>
  <si>
    <t>прием преподавателей</t>
  </si>
  <si>
    <t>секретарь учебной части</t>
  </si>
  <si>
    <t>МОП</t>
  </si>
  <si>
    <t>вахтер</t>
  </si>
  <si>
    <t>гардеробщик</t>
  </si>
  <si>
    <t xml:space="preserve">столяр </t>
  </si>
  <si>
    <t>дворник</t>
  </si>
  <si>
    <t>уборщик служебных помещений</t>
  </si>
  <si>
    <t xml:space="preserve">ООО "Оптима" ИНН/ОГРН 2466211473/1082468034615, г. Красноярск, 2016-все, кроме заведующего хозяйством
ООО "Центр - качества"ИНН/ОГРН 1660242914/1151690036882 ,Республика Татарстан г. Казань, 2018 год -заведующий хозяством, карта СОУТ № 1;
</t>
  </si>
  <si>
    <t>ООО "Оптима" ИНН/ОГРН 2466211473/1082468034615, г. Красноярск, 2016</t>
  </si>
  <si>
    <t>ООО "Оптима"ИНН/ОГРН 2466211473/1082468034615, г. Красноярск, 2016- все кроме столяра;
ООО "Оптима" ИНН/ОГРН 2466211473/1082468034615, г. Красноярск, 2018 год - столяр, карта СОУТ № 19</t>
  </si>
  <si>
    <t>Шестакова Е.В.</t>
  </si>
  <si>
    <t>Приложение № 30</t>
  </si>
  <si>
    <t>ФИО</t>
  </si>
  <si>
    <t>отклонение (гр.14-гр.4)</t>
  </si>
  <si>
    <t xml:space="preserve">уточненный план </t>
  </si>
  <si>
    <t>должность</t>
  </si>
  <si>
    <t>место выбытия</t>
  </si>
  <si>
    <t>кол-во членов семьи (за исключением работника)</t>
  </si>
  <si>
    <t>стаж работы</t>
  </si>
  <si>
    <t>оплата стоимости проезда</t>
  </si>
  <si>
    <t>оплата провоза багажа</t>
  </si>
  <si>
    <t>оплата контейнера</t>
  </si>
  <si>
    <t>Итого  ((гр.9 + 1 работник)*гр.11)+гр.12</t>
  </si>
  <si>
    <t>МБУ ДО "Норильская  детская художественная школа"</t>
  </si>
  <si>
    <t>Царикевич В.Я.</t>
  </si>
  <si>
    <t>столяр</t>
  </si>
  <si>
    <t>Сочи</t>
  </si>
  <si>
    <t>СПРАВОЧНО:</t>
  </si>
  <si>
    <t>оплата стоимости проезда до нового места жительства по территории РФ работнику учреждения, в случае его переезда и переезда членов его семьи расчитывается согласно доведенным тарифам на проезд УЭПиЭР (тариф приведен в одну сторону)
Красноярск 21,6 тыс.руб.; 
Москва 23,1 тыс.руб.;
Санкт-Петербург 26,3 тыс. руб.;
Новосибирск 21,0тыс. руб.;
Сочи (и др.южные направления) 42,5 тыс. руб.;
Абакан 27,3 тыс. руб.</t>
  </si>
  <si>
    <t>Тариф в одну сторону, тыс. руб.</t>
  </si>
  <si>
    <t xml:space="preserve">В соответствии с Постановлением Администрации г. Норильска Красноярского края от 27.02.2007 № 302  "О Порядке предоставления компенсации расходов, связанных с переездом"оплата провоза багажа по территории РФ воздушным, водным, железнодорожным и автомобильным транспортом производится по фактическим расходам в зависимости от стажа работы в учреждениях: 
- при стаже работы работника в учреждениях до 10 лет - в размере не более 45 000 рублей; 
- при стаже работы работника в учреждениях 10 лет и более - в размере не более 65 000 рублей.                       "Учреждение" - организации и учреждения, фонды (учредителем которых является Администрация города Норильска), полностью или частично финансируемые из бюджета муниципального образования город Норильск;
</t>
  </si>
  <si>
    <t>Смирнова Н.Л.(2823)</t>
  </si>
  <si>
    <t>Обоснование расходов, связанных с выездом из районов Крайнего Севера, Доп.Кр.917, субсидии на иные цели</t>
  </si>
  <si>
    <t xml:space="preserve">п.4.3.МП "Развитие культуры" (Одаренные дети) </t>
  </si>
  <si>
    <t>бывшее ДМЦП "Одаренные дети"</t>
  </si>
  <si>
    <t>Организация участия одаренных детей в международных, российских и краевых фестивалях и конкурсах</t>
  </si>
  <si>
    <t>необходимо дополнительное финансирование.</t>
  </si>
  <si>
    <t>Международный Арт-кампус Международный конкурс-плэнер 01.05.-11.05.(г.Феодосия, Крым)</t>
  </si>
  <si>
    <t xml:space="preserve">Увеличение финансирования на 21,0 тыс.руб. произошло из-за удорожания стоимости авиабилетов.
Мероприятие является профильным для учреждения. Для участников Международного Арт-кампуса организованы очные конкурсы и программы, а так же Международная стажировка для педагогов-художников.
Организаторами конкурса является Международный союз педагогов-художников. Цель конкурса-пленэра: поддержка творчества учеников членов Международного союза педагогов-художников; сохранение и развитие традиций отечественной школы художественной педагогики в России и за рубежом; создание необходимых условий для творческой деятельности членов Международного союза педагогов-художников; расширение профессиональных и культурных связей членов Международного союза педагогов-художников; укрепление сотрудничества, солидарности и взаимопомощи российских и иностранных педагогов-художников.
</t>
  </si>
  <si>
    <t>проезд Норильск - Феодосия -Норильск учащихся</t>
  </si>
  <si>
    <t>Проживание детей</t>
  </si>
  <si>
    <t>Обеспечение участия в мероприятии (орг.взнос)</t>
  </si>
  <si>
    <t>Обоснование (расчет) на выплаты суточных,  денежных средств на питание , компенсация расходов на проезд и проживание  спортсменам и студентам при их направлении на различного рода мероприятия и приглашенным лицам на 2020-2022 годы , Доп.Кр.966, МП "Развитие культуры"</t>
  </si>
  <si>
    <t xml:space="preserve">Зав. хозяйством </t>
  </si>
  <si>
    <t>Певнева Л.Э.</t>
  </si>
  <si>
    <t>46-30-27</t>
  </si>
  <si>
    <t>Учреждение: МБУ ДО "Норильская детская художественная школа"</t>
  </si>
  <si>
    <t>функции и полномочия учредителя: Управление по делам культуры и искусства Администрации города Норильска</t>
  </si>
  <si>
    <t>первый год планового периода</t>
  </si>
  <si>
    <t>второй год планового периода</t>
  </si>
  <si>
    <t>Расчет доходов финансового обеспечения (субсидия на выполнение муниципального задания)</t>
  </si>
  <si>
    <t>Обоснование (расчет) плановых показателей по выплатам по элементу вида расходов классификации расходов бюджетов 119 «взносы по обязательному социальному страхованию на выплаты по оплате труда работников и иные выплаты работникам учреждений» (источник финансирования-внебюджет)</t>
  </si>
  <si>
    <t>Обоснование (расчет) плановых показателей по выплатам по элементу вида расходов классификации расходов бюджетов 244 «Прочая закупка товаров, работ и услуг»</t>
  </si>
  <si>
    <t xml:space="preserve">Обоснование (расчет) плановых показателей по выплатам по элементу вида расходов классификации расходов бюджетов 244 «Прочая закупка товаров, работ и услуг» на организацию и проведение мероприятий к 75 летию Победы, МП "Развитие культуры" (Доп.Кр.966,963), субсидии на иные цели </t>
  </si>
  <si>
    <t xml:space="preserve">Обоснование (расчет) плановых показателей по выплатам по элементу вида расходов классификации расходов бюджетов 244 «Прочая закупка товаров, работ и услуг» по замене неэффективного осветительного оборудования внутреннего освещения на современное светодиодное (Доп.Кр.947), субсидии на иные цели </t>
  </si>
  <si>
    <t>Обоснование (расчет) плановых показателей по выплатам по элементу вида расходов классификации расходов бюджетов 244 «Прочая закупка товаров, работ и услуг», МП "Развитие культуры" (Доп.Кр.971), субсидии на иные цели (Доп.ФК 81600)</t>
  </si>
  <si>
    <t>Обоснование (расчет) плановых показателей по выплатам по элементу вида расходов классификации расходов бюджетов 244 «Прочая закупка товаров, работ и услуг», МП "Развитие туризма"</t>
  </si>
  <si>
    <t>Обоснование (расчет) плановых показателей по выплатам по элементу вида расходов классификации расходов бюджетов 244 «Прочая закупка товаров, работ и услуг», МП "Развитие культуры"</t>
  </si>
  <si>
    <t>Обоснование (расчет) плановых показателей по выплатам по элементу вида расходов классификации расходов бюджетов 119 «взносы по обязательному социальному страхованию на выплаты по оплате труда работников и иные выплаты работникам учреждений», МП "Развитие культуры"</t>
  </si>
  <si>
    <t>30.12.2019 г.</t>
  </si>
  <si>
    <t>30.12.2019 г. тыс.руб.</t>
  </si>
  <si>
    <t>30.12.2019</t>
  </si>
  <si>
    <t>Начальник Управления по делам культуры и искусства Администрации города Норильска</t>
  </si>
  <si>
    <t>КПК (курсы повышения квалификации</t>
  </si>
  <si>
    <t>Обоснование расходов по прочим услугам, связанным с содержанием и техническим обслуживанием помещений (Доп.Кр.947) (источник финансирования-внебюджет)</t>
  </si>
  <si>
    <t>Тариф руб./ед.изм</t>
  </si>
  <si>
    <t>Итого тыс.руб.</t>
  </si>
  <si>
    <t>Наименование учреждения МБУ ДО "НДХШ"</t>
  </si>
  <si>
    <t xml:space="preserve">Программа РОСПЛЕНЭР (июнь, г.Ярославль-Кострома-Плес) </t>
  </si>
  <si>
    <t>Программа РОСПЛЕНЭР (июнь, г.Ярославль-Кострома-Плес) г. Новосибирск</t>
  </si>
  <si>
    <t>Программа РОСПЛЕНЭР (июнь, г.Ярославль-Кострома-Плес) г. Ярославль</t>
  </si>
  <si>
    <t>Программа РОСПЛЕНЭР (июнь, г.Ярославль-Кострома-Плес) г. Ярославль авиа</t>
  </si>
  <si>
    <t>Программа РОСПЛЕНЭР (июнь, г.Ярославль-Кострома-Плес) г. Ярославль ж/д</t>
  </si>
  <si>
    <t>21.02.2019 г.</t>
  </si>
  <si>
    <t>1.5</t>
  </si>
  <si>
    <t>1.6</t>
  </si>
  <si>
    <t>2.4</t>
  </si>
  <si>
    <t>2.5</t>
  </si>
  <si>
    <t>2.6</t>
  </si>
  <si>
    <t>2.7</t>
  </si>
  <si>
    <t>3.4</t>
  </si>
  <si>
    <t>3.5</t>
  </si>
  <si>
    <t>3.6</t>
  </si>
  <si>
    <t xml:space="preserve">Программа "РОСПЛЕНЕР" с 01.06.2020г. по 09.09.2020г. </t>
  </si>
  <si>
    <t>Проезд учащихся</t>
  </si>
  <si>
    <t>Целевой взнос</t>
  </si>
  <si>
    <t>Сибирская межрегиональная олимпиадашкольников "Архитектурно-дизайнерское творчество"</t>
  </si>
  <si>
    <t>Рамки для фотографий</t>
  </si>
  <si>
    <t>ЗАПОЛЯРНЫЙ ФИЛИАЛ ПУБЛИЧНОГО АКЦИОНЕРНОГО ОБЩЕСТВА "ГОРНО-МЕТАЛЛУРГИЧЕСКАЯ КОМПАНИЯ "НОРИЛЬСКИЙ НИКЕЛЬ"</t>
  </si>
  <si>
    <r>
      <t>Обоснование расходов  по безвозмездным поступлениям  на 2020г.</t>
    </r>
    <r>
      <rPr>
        <b/>
        <sz val="12"/>
        <color theme="1"/>
        <rFont val="Times New Roman"/>
        <family val="1"/>
        <charset val="204"/>
      </rPr>
      <t xml:space="preserve">                                                  </t>
    </r>
  </si>
  <si>
    <t>№
 п/п</t>
  </si>
  <si>
    <t>КОСГУ/
ДопКР</t>
  </si>
  <si>
    <t>Ед.
 изм.</t>
  </si>
  <si>
    <t>Цена,
 руб.</t>
  </si>
  <si>
    <t>Стоимость, 
руб.</t>
  </si>
  <si>
    <t>Обоснование (расчет) плановых показателей по выплатам по элементу вида расходов классификации расходов бюджетов 244 «Прочая закупка товаров, работ и услуг», внебюджет</t>
  </si>
  <si>
    <t>981,982,983,984,985,986,987</t>
  </si>
  <si>
    <r>
      <rPr>
        <b/>
        <sz val="12"/>
        <color theme="1"/>
        <rFont val="Times New Roman"/>
        <family val="1"/>
        <charset val="204"/>
      </rPr>
      <t xml:space="preserve">Источник финансирования </t>
    </r>
    <r>
      <rPr>
        <sz val="12"/>
        <color theme="1"/>
        <rFont val="Times New Roman"/>
        <family val="1"/>
        <charset val="204"/>
      </rPr>
      <t>- безвозмездные поступления (Благотворительное пожертвование для реализации социально значимого проекта "квАРТирник" по договоруN 88-225/20 от 31.01.2020 НДС не облагается)</t>
    </r>
  </si>
  <si>
    <t>О.С. Орлова</t>
  </si>
  <si>
    <t>И.о. директора МБУ ДО "Норильская детская художественная школа"</t>
  </si>
  <si>
    <t>31</t>
  </si>
  <si>
    <t>марта</t>
  </si>
  <si>
    <t xml:space="preserve">И.о. начальника ПЭО               </t>
  </si>
  <si>
    <t>155</t>
  </si>
  <si>
    <t>Фактические поступления доходов по статье 155 "Поступления текущего характера от иных резидентов (за исключением сектора государственного управления и организаций государственного сектора)" -гранты, пожертвования</t>
  </si>
  <si>
    <t>Оплата услуг транспортной компании для доставки оборудования, аренда автомобиля</t>
  </si>
  <si>
    <t>Авиабилеты для приглашенных специалистов (подотчет)</t>
  </si>
  <si>
    <t>Оборудование для организации работы</t>
  </si>
  <si>
    <t>Расходные материалы для работы по проекту</t>
  </si>
  <si>
    <t>Услуги сторонних организаций</t>
  </si>
  <si>
    <t>Текущий ремонт</t>
  </si>
  <si>
    <t>941,942,943,947</t>
  </si>
  <si>
    <t>121</t>
  </si>
  <si>
    <t>131</t>
  </si>
  <si>
    <t>150</t>
  </si>
  <si>
    <t>4.1</t>
  </si>
  <si>
    <t>1.3.1</t>
  </si>
  <si>
    <t xml:space="preserve">    в том числе:                                                                                                                                                                                                                                                                                                            в соответствии с Федеральным законом № 223-ФЗ</t>
  </si>
  <si>
    <t>26310</t>
  </si>
  <si>
    <r>
      <t xml:space="preserve">     из них</t>
    </r>
    <r>
      <rPr>
        <vertAlign val="superscript"/>
        <sz val="8"/>
        <rFont val="Times New Roman"/>
        <family val="1"/>
        <charset val="204"/>
      </rPr>
      <t xml:space="preserve"> 10.1</t>
    </r>
    <r>
      <rPr>
        <sz val="8"/>
        <rFont val="Times New Roman"/>
        <family val="1"/>
        <charset val="204"/>
      </rPr>
      <t>:</t>
    </r>
  </si>
  <si>
    <t>26310.1</t>
  </si>
  <si>
    <t>1.3.2</t>
  </si>
  <si>
    <t xml:space="preserve">  в соответствии с Федеральным законом № 223-ФЗ</t>
  </si>
  <si>
    <t>26320</t>
  </si>
  <si>
    <r>
      <t xml:space="preserve">        из них </t>
    </r>
    <r>
      <rPr>
        <vertAlign val="superscript"/>
        <sz val="8"/>
        <rFont val="Times New Roman"/>
        <family val="1"/>
        <charset val="204"/>
      </rPr>
      <t>10.1</t>
    </r>
    <r>
      <rPr>
        <sz val="8"/>
        <rFont val="Times New Roman"/>
        <family val="1"/>
        <charset val="204"/>
      </rPr>
      <t>:</t>
    </r>
  </si>
  <si>
    <t>26421.1</t>
  </si>
  <si>
    <t>26430.1</t>
  </si>
  <si>
    <r>
      <t xml:space="preserve">         из них </t>
    </r>
    <r>
      <rPr>
        <vertAlign val="superscript"/>
        <sz val="8"/>
        <rFont val="Times New Roman"/>
        <family val="1"/>
        <charset val="204"/>
      </rPr>
      <t>10.1</t>
    </r>
    <r>
      <rPr>
        <sz val="8"/>
        <rFont val="Times New Roman"/>
        <family val="1"/>
        <charset val="204"/>
      </rPr>
      <t>:</t>
    </r>
  </si>
  <si>
    <t>26451.1</t>
  </si>
  <si>
    <t>Код бюджетной классификации РФ</t>
  </si>
  <si>
    <t>10. Плановые показатели выплат на закупку товаров, работ, услуг отраженные по соответствующим строкам Раздела 2 "Сведения по выплатам на закупку товаров, работ, услуг" Плана распределяются на выплаты по контрактам (договорам), заключенным (планируемым к заключению) в соответствии с гражданским законодательством Российской Федерации (строки 26100 и 26200), а также по контрактам (договорам), заключаемым в соответствии с требованиями законодательства Российской Федерации и иных нормативных правовых актов о контрактной системе в сфере закупок товаров, работ, услуг для государственных и муниципальных нужд, с детализацией указанных выплат по контрактам (договорам), заключенным до начала текущего финансового года (строка 26300) и планируемым к заключению в соответствующем финансовом году (строка 26400) и должны соответствовать показателям соответствующих граф по строке 2600 Раздела 1 "Поступления и выплаты" Плана.</t>
  </si>
  <si>
    <t xml:space="preserve">10.1 В случаях, если учреждению предоставляются субсидия на иные цели, субсидия на осуществление капитальных вложений или грант в форме субсидии в соответствии с абзацем первым пункта 4 статьи 78.1 Бюджетного кодекса Российской Федерации в целях достижения результатов федерального проекта, в том числе входящего в состав соответствующего национального проекта (программы), определенного Указом Президента Российской Федерации от 7 мая 2018 г. N 204 "О национальных целях и стратегических задачах развития Российской Федерации на период до 2024 года" (Собрание законодательства Российской Федерации, 2018, N 20, ст. 2817; N 30, ст. 4717), или регионального проекта, обеспечивающего достижение целей, показателей и результатов федерального проекта (далее - региональный проект), показатели строк 26310, 26421, 26430 и 26451 Раздела 2 "Сведения по выплатам на закупку товаров, работ, услуг" детализируются по коду целевой статьи (8-17 разряды кода ассификации расходов бюджетов, при этом в рамках реализации регионального проекта в 8 - 10 разрядах могут указываться нули).".
</t>
  </si>
  <si>
    <t>180</t>
  </si>
  <si>
    <t xml:space="preserve">из них:                                                                                                гранты, предоставляемые бюджетным учреждениям
</t>
  </si>
  <si>
    <t>гранты, предоставляемые автономным учреждениям</t>
  </si>
  <si>
    <t>Фактические поступления доходов по статье 155 "Безвозмездные денежные поступления" (гранты)</t>
  </si>
  <si>
    <t>Обоснование (расчет) плановых показателей поступлений доходов по статье 150 "Безвозмездные денежные поступления".</t>
  </si>
  <si>
    <t>Создание условий для занятия различными видами творчества, создание новой формы досуга для жителей МО город Норильск (договор 88-225/20 от 31.01.2020).</t>
  </si>
  <si>
    <t xml:space="preserve"> Презентация проекта, проведение мастер-классов, выставки лучших работ участников мастер классов.</t>
  </si>
  <si>
    <t>Обоснование (расчет) плановых показателей по выплатам по элементу вида расходов классификации расходов бюджетов 244 «Прочая закупка товаров, работ и услуг», п.4.3.МП "Развитие культуры" (Одаренные дети)</t>
  </si>
  <si>
    <t>МБУ ДО "Норильская детская музыкальная школа"</t>
  </si>
  <si>
    <t>113</t>
  </si>
  <si>
    <t>244</t>
  </si>
  <si>
    <t>Вознаграждение по договорам ГПХ</t>
  </si>
  <si>
    <t>Приобретение (изготовление) подарочной и сувенирной продукции</t>
  </si>
  <si>
    <t xml:space="preserve">от " 31  марта   " 2020 г. </t>
  </si>
  <si>
    <t>"_27___"   _апреля__________ 2020   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</si>
</sst>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4" formatCode="_-* #,##0_р_._-;\-* #,##0_р_._-;_-* &quot;-&quot;_р_._-;_-@_-"/>
    <numFmt numFmtId="165" formatCode="_-* #,##0.00&quot;р.&quot;_-;\-* #,##0.00&quot;р.&quot;_-;_-* &quot;-&quot;??&quot;р.&quot;_-;_-@_-"/>
    <numFmt numFmtId="166" formatCode="_-* #,##0.00_р_._-;\-* #,##0.00_р_._-;_-* &quot;-&quot;??_р_._-;_-@_-"/>
    <numFmt numFmtId="167" formatCode="#,##0.0"/>
    <numFmt numFmtId="168" formatCode="0.000"/>
    <numFmt numFmtId="169" formatCode="0.0"/>
    <numFmt numFmtId="170" formatCode="#,##0.000"/>
    <numFmt numFmtId="171" formatCode="#,##0.00_ ;[Red]\-#,##0.00\ "/>
    <numFmt numFmtId="172" formatCode="#,##0.0_ ;[Red]\-#,##0.0\ "/>
    <numFmt numFmtId="173" formatCode="#,##0.000_ ;[Red]\-#,##0.000\ "/>
    <numFmt numFmtId="174" formatCode="#,##0_ ;\-#,##0\ "/>
    <numFmt numFmtId="175" formatCode="_-* #,##0_р_._-;\-* #,##0_р_._-;_-* &quot;-&quot;??_р_._-;_-@_-"/>
    <numFmt numFmtId="176" formatCode="_-* #,##0.00_р_._-;\-* #,##0.00_р_._-;_-* &quot;-&quot;_р_._-;_-@_-"/>
    <numFmt numFmtId="177" formatCode="_(* #,##0.00_);_(* \(#,##0.00\);_(* &quot;-&quot;??_);_(@_)"/>
    <numFmt numFmtId="178" formatCode="#,##0.00000"/>
    <numFmt numFmtId="179" formatCode="_(&quot;$&quot;* #,##0.00_);_(&quot;$&quot;* \(#,##0.00\);_(&quot;$&quot;* &quot;-&quot;??_);_(@_)"/>
    <numFmt numFmtId="180" formatCode="#,##0.00;[Red]#,##0.00"/>
    <numFmt numFmtId="181" formatCode="0.0000"/>
    <numFmt numFmtId="182" formatCode="#,##0.0000"/>
    <numFmt numFmtId="183" formatCode="0.00000"/>
    <numFmt numFmtId="184" formatCode="_(* #,##0_);_(* \(#,##0\);_(* &quot;-&quot;??_);_(@_)"/>
    <numFmt numFmtId="185" formatCode="_-* #,##0.0_р_._-;\-* #,##0.0_р_._-;_-* &quot;-&quot;??_р_._-;_-@_-"/>
    <numFmt numFmtId="186" formatCode="#,##0_ ;[Red]\-#,##0\ "/>
    <numFmt numFmtId="187" formatCode="_-* #,##0.0_ _р_._-;\-* #,##0.0_ _р_._-;_-* &quot;-&quot;?_ _р_._-;_-@_-"/>
  </numFmts>
  <fonts count="189" x14ac:knownFonts="1">
    <font>
      <sz val="10"/>
      <color theme="1"/>
      <name val="Times New Roman"/>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color indexed="8"/>
      <name val="Times New Roman"/>
      <family val="2"/>
      <charset val="204"/>
    </font>
    <font>
      <sz val="14"/>
      <color indexed="8"/>
      <name val="Times New Roman"/>
      <family val="2"/>
      <charset val="204"/>
    </font>
    <font>
      <sz val="10"/>
      <name val="Arial Cyr"/>
      <charset val="204"/>
    </font>
    <font>
      <sz val="10"/>
      <name val="Times New Roman"/>
      <family val="1"/>
      <charset val="204"/>
    </font>
    <font>
      <b/>
      <sz val="10"/>
      <name val="Times New Roman"/>
      <family val="1"/>
      <charset val="204"/>
    </font>
    <font>
      <sz val="10"/>
      <color indexed="8"/>
      <name val="Times New Roman"/>
      <family val="1"/>
      <charset val="204"/>
    </font>
    <font>
      <sz val="13"/>
      <name val="Times New Roman"/>
      <family val="1"/>
    </font>
    <font>
      <sz val="16"/>
      <color indexed="8"/>
      <name val="Times New Roman"/>
      <family val="2"/>
      <charset val="204"/>
    </font>
    <font>
      <u/>
      <sz val="16"/>
      <color indexed="8"/>
      <name val="Times New Roman"/>
      <family val="1"/>
      <charset val="204"/>
    </font>
    <font>
      <sz val="10"/>
      <name val="Times New Roman"/>
      <family val="2"/>
      <charset val="204"/>
    </font>
    <font>
      <sz val="11"/>
      <color indexed="8"/>
      <name val="Calibri"/>
      <family val="2"/>
      <charset val="204"/>
    </font>
    <font>
      <sz val="10"/>
      <name val="Arial"/>
      <family val="2"/>
      <charset val="204"/>
    </font>
    <font>
      <sz val="12"/>
      <name val="Times New Roman CYR"/>
      <charset val="204"/>
    </font>
    <font>
      <b/>
      <sz val="11"/>
      <color indexed="8"/>
      <name val="Times New Roman"/>
      <family val="1"/>
      <charset val="204"/>
    </font>
    <font>
      <sz val="12"/>
      <name val="Times New Roman"/>
      <family val="1"/>
    </font>
    <font>
      <sz val="9"/>
      <color indexed="81"/>
      <name val="Tahoma"/>
      <family val="2"/>
      <charset val="204"/>
    </font>
    <font>
      <sz val="13"/>
      <name val="Times New Roman"/>
      <family val="2"/>
      <charset val="204"/>
    </font>
    <font>
      <sz val="16"/>
      <name val="Times New Roman"/>
      <family val="2"/>
      <charset val="204"/>
    </font>
    <font>
      <u/>
      <sz val="16"/>
      <name val="Times New Roman"/>
      <family val="2"/>
      <charset val="204"/>
    </font>
    <font>
      <sz val="14"/>
      <name val="Times New Roman"/>
      <family val="2"/>
      <charset val="204"/>
    </font>
    <font>
      <sz val="12"/>
      <name val="Times New Roman"/>
      <family val="2"/>
      <charset val="204"/>
    </font>
    <font>
      <b/>
      <sz val="11"/>
      <name val="Times New Roman"/>
      <family val="2"/>
      <charset val="204"/>
    </font>
    <font>
      <sz val="11"/>
      <name val="Times New Roman"/>
      <family val="2"/>
      <charset val="204"/>
    </font>
    <font>
      <sz val="8"/>
      <name val="Arial Cyr"/>
    </font>
    <font>
      <b/>
      <sz val="11"/>
      <name val="Times New Roman"/>
      <family val="1"/>
      <charset val="204"/>
    </font>
    <font>
      <sz val="11"/>
      <name val="Times New Roman"/>
      <family val="1"/>
      <charset val="204"/>
    </font>
    <font>
      <sz val="12"/>
      <name val="Times New Roman"/>
      <family val="1"/>
      <charset val="204"/>
    </font>
    <font>
      <sz val="10"/>
      <color theme="1"/>
      <name val="Times New Roman"/>
      <family val="2"/>
      <charset val="204"/>
    </font>
    <font>
      <sz val="10"/>
      <color theme="0"/>
      <name val="Times New Roman"/>
      <family val="2"/>
      <charset val="204"/>
    </font>
    <font>
      <sz val="11"/>
      <color theme="1"/>
      <name val="Calibri"/>
      <family val="2"/>
      <charset val="204"/>
      <scheme val="minor"/>
    </font>
    <font>
      <sz val="10"/>
      <color theme="1"/>
      <name val="Times New Roman"/>
      <family val="1"/>
      <charset val="204"/>
    </font>
    <font>
      <b/>
      <sz val="10"/>
      <color theme="1"/>
      <name val="Times New Roman"/>
      <family val="1"/>
      <charset val="204"/>
    </font>
    <font>
      <b/>
      <sz val="11"/>
      <color theme="1"/>
      <name val="Times New Roman"/>
      <family val="1"/>
      <charset val="204"/>
    </font>
    <font>
      <sz val="13"/>
      <color theme="1"/>
      <name val="Times New Roman"/>
      <family val="2"/>
      <charset val="204"/>
    </font>
    <font>
      <sz val="12"/>
      <color theme="1"/>
      <name val="Times New Roman"/>
      <family val="1"/>
      <charset val="204"/>
    </font>
    <font>
      <sz val="11"/>
      <color theme="1"/>
      <name val="Times New Roman"/>
      <family val="1"/>
      <charset val="204"/>
    </font>
    <font>
      <sz val="16"/>
      <color theme="1"/>
      <name val="Times New Roman"/>
      <family val="1"/>
      <charset val="204"/>
    </font>
    <font>
      <sz val="10"/>
      <color rgb="FFC00000"/>
      <name val="Times New Roman"/>
      <family val="2"/>
      <charset val="204"/>
    </font>
    <font>
      <sz val="11"/>
      <color rgb="FFC00000"/>
      <name val="Times New Roman"/>
      <family val="2"/>
      <charset val="204"/>
    </font>
    <font>
      <b/>
      <sz val="10"/>
      <name val="Times New Roman"/>
      <family val="2"/>
      <charset val="204"/>
    </font>
    <font>
      <b/>
      <sz val="11"/>
      <color theme="1"/>
      <name val="Calibri"/>
      <family val="2"/>
      <charset val="204"/>
      <scheme val="minor"/>
    </font>
    <font>
      <u/>
      <sz val="14"/>
      <name val="Times New Roman"/>
      <family val="1"/>
      <charset val="204"/>
    </font>
    <font>
      <b/>
      <sz val="12"/>
      <name val="Times New Roman"/>
      <family val="1"/>
      <charset val="204"/>
    </font>
    <font>
      <b/>
      <i/>
      <sz val="10"/>
      <name val="Times New Roman"/>
      <family val="1"/>
      <charset val="204"/>
    </font>
    <font>
      <i/>
      <sz val="10"/>
      <name val="Times New Roman"/>
      <family val="1"/>
      <charset val="204"/>
    </font>
    <font>
      <sz val="14"/>
      <color indexed="8"/>
      <name val="Times New Roman"/>
      <family val="1"/>
      <charset val="204"/>
    </font>
    <font>
      <sz val="9"/>
      <color indexed="8"/>
      <name val="Times New Roman"/>
      <family val="1"/>
      <charset val="204"/>
    </font>
    <font>
      <sz val="12"/>
      <color indexed="8"/>
      <name val="Times New Roman"/>
      <family val="1"/>
      <charset val="204"/>
    </font>
    <font>
      <b/>
      <sz val="12"/>
      <color theme="1"/>
      <name val="Times New Roman"/>
      <family val="1"/>
      <charset val="204"/>
    </font>
    <font>
      <sz val="10"/>
      <name val="Times New Roman CYR"/>
      <charset val="204"/>
    </font>
    <font>
      <sz val="14"/>
      <color theme="1"/>
      <name val="Times New Roman"/>
      <family val="1"/>
      <charset val="204"/>
    </font>
    <font>
      <b/>
      <sz val="14"/>
      <color theme="1"/>
      <name val="Times New Roman"/>
      <family val="1"/>
      <charset val="204"/>
    </font>
    <font>
      <b/>
      <sz val="12"/>
      <name val="Times New Roman Cyr"/>
      <family val="1"/>
      <charset val="204"/>
    </font>
    <font>
      <sz val="8"/>
      <name val="Times New Roman Cyr"/>
      <family val="1"/>
      <charset val="204"/>
    </font>
    <font>
      <sz val="11"/>
      <name val="Arial Cyr"/>
      <charset val="204"/>
    </font>
    <font>
      <sz val="13"/>
      <name val="Times New Roman Cyr"/>
      <family val="1"/>
      <charset val="204"/>
    </font>
    <font>
      <b/>
      <sz val="10"/>
      <name val="Times New Roman Cyr"/>
      <family val="1"/>
      <charset val="204"/>
    </font>
    <font>
      <sz val="12"/>
      <name val="Times New Roman Cyr"/>
      <family val="1"/>
      <charset val="204"/>
    </font>
    <font>
      <b/>
      <sz val="8"/>
      <name val="Times New Roman Cyr"/>
      <family val="1"/>
      <charset val="204"/>
    </font>
    <font>
      <vertAlign val="superscript"/>
      <sz val="10"/>
      <name val="Times New Roman"/>
      <family val="1"/>
      <charset val="204"/>
    </font>
    <font>
      <sz val="11"/>
      <color theme="1"/>
      <name val="Calibri"/>
      <family val="2"/>
      <scheme val="minor"/>
    </font>
    <font>
      <sz val="10"/>
      <name val="Calibri"/>
      <family val="2"/>
      <charset val="204"/>
      <scheme val="minor"/>
    </font>
    <font>
      <sz val="9"/>
      <color theme="1"/>
      <name val="Arial"/>
      <family val="2"/>
      <charset val="204"/>
    </font>
    <font>
      <sz val="10"/>
      <color theme="1"/>
      <name val="Calibri"/>
      <family val="2"/>
      <charset val="204"/>
      <scheme val="minor"/>
    </font>
    <font>
      <b/>
      <sz val="10"/>
      <name val="Calibri"/>
      <family val="2"/>
      <charset val="204"/>
      <scheme val="minor"/>
    </font>
    <font>
      <b/>
      <sz val="9"/>
      <color theme="1"/>
      <name val="Arial"/>
      <family val="2"/>
      <charset val="204"/>
    </font>
    <font>
      <sz val="15"/>
      <color theme="1"/>
      <name val="Times New Roman"/>
      <family val="1"/>
      <charset val="204"/>
    </font>
    <font>
      <b/>
      <sz val="12"/>
      <color indexed="8"/>
      <name val="Times New Roman"/>
      <family val="1"/>
      <charset val="204"/>
    </font>
    <font>
      <b/>
      <i/>
      <u/>
      <sz val="12"/>
      <color indexed="8"/>
      <name val="Times New Roman"/>
      <family val="1"/>
      <charset val="204"/>
    </font>
    <font>
      <b/>
      <sz val="10"/>
      <color indexed="8"/>
      <name val="Times New Roman"/>
      <family val="1"/>
      <charset val="204"/>
    </font>
    <font>
      <sz val="11"/>
      <color indexed="8"/>
      <name val="Times New Roman"/>
      <family val="1"/>
      <charset val="204"/>
    </font>
    <font>
      <sz val="13"/>
      <name val="Times New Roman"/>
      <family val="1"/>
      <charset val="204"/>
    </font>
    <font>
      <b/>
      <sz val="14"/>
      <color indexed="8"/>
      <name val="Times New Roman"/>
      <family val="1"/>
      <charset val="204"/>
    </font>
    <font>
      <b/>
      <sz val="12"/>
      <name val="Times New Roman CYR"/>
      <charset val="204"/>
    </font>
    <font>
      <b/>
      <sz val="11"/>
      <color rgb="FF0000FF"/>
      <name val="Calibri"/>
      <family val="2"/>
      <charset val="204"/>
      <scheme val="minor"/>
    </font>
    <font>
      <sz val="11"/>
      <name val="Times New Roman Cyr"/>
      <family val="1"/>
      <charset val="204"/>
    </font>
    <font>
      <b/>
      <sz val="14"/>
      <name val="Times New Roman"/>
      <family val="1"/>
      <charset val="204"/>
    </font>
    <font>
      <sz val="13"/>
      <color theme="1"/>
      <name val="Times New Roman"/>
      <family val="1"/>
      <charset val="204"/>
    </font>
    <font>
      <b/>
      <i/>
      <sz val="10"/>
      <name val="Calibri"/>
      <family val="2"/>
      <charset val="204"/>
      <scheme val="minor"/>
    </font>
    <font>
      <b/>
      <sz val="9"/>
      <color indexed="81"/>
      <name val="Tahoma"/>
      <family val="2"/>
      <charset val="204"/>
    </font>
    <font>
      <b/>
      <sz val="15"/>
      <name val="Times New Roman"/>
      <family val="1"/>
      <charset val="204"/>
    </font>
    <font>
      <b/>
      <u/>
      <sz val="14"/>
      <name val="Times New Roman"/>
      <family val="1"/>
      <charset val="204"/>
    </font>
    <font>
      <b/>
      <sz val="13"/>
      <name val="Times New Roman"/>
      <family val="1"/>
      <charset val="204"/>
    </font>
    <font>
      <sz val="10"/>
      <name val="Arial Cyr"/>
      <family val="2"/>
      <charset val="204"/>
    </font>
    <font>
      <sz val="10"/>
      <name val="Arial"/>
      <family val="2"/>
    </font>
    <font>
      <b/>
      <sz val="11"/>
      <color rgb="FF0000FF"/>
      <name val="Times New Roman"/>
      <family val="1"/>
      <charset val="204"/>
    </font>
    <font>
      <sz val="10"/>
      <name val="Times New Roman"/>
      <family val="1"/>
    </font>
    <font>
      <b/>
      <sz val="10"/>
      <name val="Times New Roman"/>
      <family val="1"/>
    </font>
    <font>
      <b/>
      <vertAlign val="superscript"/>
      <sz val="10"/>
      <name val="Times New Roman"/>
      <family val="1"/>
    </font>
    <font>
      <b/>
      <sz val="10"/>
      <name val="Arial Cyr"/>
      <charset val="204"/>
    </font>
    <font>
      <sz val="10"/>
      <color rgb="FFFF0000"/>
      <name val="Times New Roman"/>
      <family val="1"/>
    </font>
    <font>
      <sz val="10"/>
      <color rgb="FFFF0000"/>
      <name val="Times New Roman"/>
      <family val="1"/>
      <charset val="204"/>
    </font>
    <font>
      <sz val="10"/>
      <color theme="1"/>
      <name val="Arial Cyr"/>
      <charset val="204"/>
    </font>
    <font>
      <b/>
      <sz val="10"/>
      <color theme="1"/>
      <name val="Arial Cyr"/>
      <charset val="204"/>
    </font>
    <font>
      <b/>
      <sz val="18"/>
      <name val="Times New Roman Cyr"/>
      <family val="1"/>
      <charset val="204"/>
    </font>
    <font>
      <b/>
      <sz val="20"/>
      <name val="Times New Roman Cyr"/>
      <family val="1"/>
      <charset val="204"/>
    </font>
    <font>
      <sz val="10"/>
      <name val="Times New Roman Cyr"/>
      <family val="1"/>
      <charset val="204"/>
    </font>
    <font>
      <sz val="9"/>
      <name val="Times New Roman Cyr"/>
      <family val="1"/>
      <charset val="204"/>
    </font>
    <font>
      <b/>
      <sz val="11"/>
      <name val="Times New Roman Cyr"/>
      <charset val="204"/>
    </font>
    <font>
      <b/>
      <i/>
      <sz val="11"/>
      <name val="Times New Roman Cyr"/>
      <charset val="204"/>
    </font>
    <font>
      <sz val="8"/>
      <name val="Times New Roman Cyr"/>
      <charset val="204"/>
    </font>
    <font>
      <i/>
      <sz val="8"/>
      <name val="Times New Roman Cyr"/>
      <charset val="204"/>
    </font>
    <font>
      <b/>
      <i/>
      <sz val="8"/>
      <name val="Times New Roman Cyr"/>
      <family val="1"/>
      <charset val="204"/>
    </font>
    <font>
      <i/>
      <sz val="8"/>
      <name val="Times New Roman Cyr"/>
      <family val="1"/>
      <charset val="204"/>
    </font>
    <font>
      <b/>
      <sz val="8"/>
      <name val="Times New Roman Cyr"/>
      <charset val="204"/>
    </font>
    <font>
      <b/>
      <sz val="11"/>
      <name val="Times New Roman Cyr"/>
      <family val="1"/>
      <charset val="204"/>
    </font>
    <font>
      <b/>
      <sz val="13"/>
      <name val="Times New Roman Cyr"/>
      <charset val="204"/>
    </font>
    <font>
      <b/>
      <sz val="9"/>
      <name val="Times New Roman Cyr"/>
      <charset val="204"/>
    </font>
    <font>
      <b/>
      <i/>
      <u/>
      <sz val="12"/>
      <name val="Times New Roman"/>
      <family val="1"/>
      <charset val="204"/>
    </font>
    <font>
      <sz val="16"/>
      <name val="Times New Roman"/>
      <family val="1"/>
      <charset val="204"/>
    </font>
    <font>
      <sz val="14"/>
      <name val="Times New Roman"/>
      <family val="1"/>
      <charset val="204"/>
    </font>
    <font>
      <sz val="12"/>
      <color rgb="FFFF0000"/>
      <name val="Times New Roman"/>
      <family val="1"/>
      <charset val="204"/>
    </font>
    <font>
      <sz val="12"/>
      <color theme="0"/>
      <name val="Times New Roman"/>
      <family val="1"/>
      <charset val="204"/>
    </font>
    <font>
      <sz val="9"/>
      <color theme="1"/>
      <name val="Times New Roman"/>
      <family val="1"/>
      <charset val="204"/>
    </font>
    <font>
      <b/>
      <sz val="13"/>
      <name val="Times New Roman Cyr"/>
      <family val="1"/>
      <charset val="204"/>
    </font>
    <font>
      <sz val="9"/>
      <name val="Times New Roman Cyr"/>
      <charset val="204"/>
    </font>
    <font>
      <b/>
      <sz val="15"/>
      <color theme="1"/>
      <name val="Times New Roman"/>
      <family val="1"/>
      <charset val="204"/>
    </font>
    <font>
      <b/>
      <sz val="13"/>
      <color theme="1"/>
      <name val="Times New Roman"/>
      <family val="1"/>
      <charset val="204"/>
    </font>
    <font>
      <sz val="15"/>
      <name val="Times New Roman"/>
      <family val="1"/>
      <charset val="204"/>
    </font>
    <font>
      <b/>
      <sz val="10"/>
      <color rgb="FFFF0000"/>
      <name val="Times New Roman"/>
      <family val="1"/>
      <charset val="204"/>
    </font>
    <font>
      <sz val="8"/>
      <name val="Times New Roman"/>
      <family val="1"/>
      <charset val="204"/>
    </font>
    <font>
      <sz val="11"/>
      <color rgb="FFFF0000"/>
      <name val="Times New Roman"/>
      <family val="1"/>
      <charset val="204"/>
    </font>
    <font>
      <b/>
      <i/>
      <sz val="18"/>
      <name val="Times New Roman"/>
      <family val="1"/>
      <charset val="204"/>
    </font>
    <font>
      <sz val="8"/>
      <color theme="1"/>
      <name val="Times New Roman"/>
      <family val="1"/>
      <charset val="204"/>
    </font>
    <font>
      <sz val="8"/>
      <color theme="1"/>
      <name val="Calibri"/>
      <family val="2"/>
      <charset val="204"/>
      <scheme val="minor"/>
    </font>
    <font>
      <sz val="10"/>
      <color rgb="FFFF0000"/>
      <name val="Calibri"/>
      <family val="2"/>
      <charset val="204"/>
      <scheme val="minor"/>
    </font>
    <font>
      <b/>
      <sz val="9"/>
      <color theme="1"/>
      <name val="Times New Roman"/>
      <family val="1"/>
      <charset val="204"/>
    </font>
    <font>
      <b/>
      <sz val="9"/>
      <color rgb="FF0000FF"/>
      <name val="Times New Roman"/>
      <family val="1"/>
      <charset val="204"/>
    </font>
    <font>
      <b/>
      <sz val="12"/>
      <color rgb="FF0000FF"/>
      <name val="Times New Roman"/>
      <family val="1"/>
      <charset val="204"/>
    </font>
    <font>
      <b/>
      <sz val="10"/>
      <color rgb="FF0000FF"/>
      <name val="Times New Roman"/>
      <family val="1"/>
      <charset val="204"/>
    </font>
    <font>
      <b/>
      <vertAlign val="superscript"/>
      <sz val="12"/>
      <name val="Times New Roman"/>
      <family val="1"/>
      <charset val="204"/>
    </font>
    <font>
      <vertAlign val="superscript"/>
      <sz val="12"/>
      <name val="Times New Roman"/>
      <family val="1"/>
      <charset val="204"/>
    </font>
    <font>
      <sz val="13"/>
      <name val="Calibri"/>
      <family val="2"/>
      <charset val="204"/>
    </font>
    <font>
      <b/>
      <i/>
      <sz val="12"/>
      <name val="Times New Roman"/>
      <family val="1"/>
      <charset val="204"/>
    </font>
    <font>
      <u/>
      <sz val="10"/>
      <color theme="10"/>
      <name val="Arial"/>
      <family val="2"/>
      <charset val="204"/>
    </font>
    <font>
      <u/>
      <sz val="10"/>
      <name val="Arial"/>
      <family val="2"/>
      <charset val="204"/>
    </font>
    <font>
      <b/>
      <sz val="8"/>
      <name val="Times New Roman"/>
      <family val="1"/>
      <charset val="204"/>
    </font>
    <font>
      <b/>
      <vertAlign val="superscript"/>
      <sz val="8"/>
      <name val="Times New Roman"/>
      <family val="1"/>
      <charset val="204"/>
    </font>
    <font>
      <vertAlign val="superscript"/>
      <sz val="8"/>
      <name val="Times New Roman"/>
      <family val="1"/>
      <charset val="204"/>
    </font>
    <font>
      <sz val="6"/>
      <name val="Times New Roman"/>
      <family val="1"/>
      <charset val="204"/>
    </font>
    <font>
      <sz val="7"/>
      <name val="Times New Roman"/>
      <family val="1"/>
      <charset val="204"/>
    </font>
    <font>
      <sz val="7"/>
      <color indexed="9"/>
      <name val="Times New Roman"/>
      <family val="1"/>
      <charset val="204"/>
    </font>
    <font>
      <b/>
      <vertAlign val="superscript"/>
      <sz val="10"/>
      <name val="Times New Roman"/>
      <family val="1"/>
      <charset val="204"/>
    </font>
    <font>
      <b/>
      <u/>
      <sz val="8"/>
      <name val="Times New Roman"/>
      <family val="1"/>
      <charset val="204"/>
    </font>
    <font>
      <u/>
      <sz val="10"/>
      <name val="Times New Roman"/>
      <family val="1"/>
      <charset val="204"/>
    </font>
    <font>
      <b/>
      <sz val="11"/>
      <name val="Calibri"/>
      <family val="2"/>
      <scheme val="minor"/>
    </font>
    <font>
      <b/>
      <sz val="10"/>
      <color theme="1"/>
      <name val="Calibri"/>
      <family val="2"/>
      <charset val="204"/>
      <scheme val="minor"/>
    </font>
    <font>
      <sz val="10"/>
      <color theme="1"/>
      <name val="Times New Roman"/>
      <family val="1"/>
    </font>
    <font>
      <b/>
      <sz val="10"/>
      <color theme="1"/>
      <name val="Times New Roman"/>
      <family val="1"/>
    </font>
    <font>
      <sz val="10"/>
      <color rgb="FF0070C0"/>
      <name val="Calibri"/>
      <family val="2"/>
      <charset val="204"/>
      <scheme val="minor"/>
    </font>
    <font>
      <b/>
      <sz val="10"/>
      <color rgb="FFFF0000"/>
      <name val="Calibri"/>
      <family val="2"/>
      <charset val="204"/>
      <scheme val="minor"/>
    </font>
    <font>
      <b/>
      <sz val="11"/>
      <color rgb="FFFF0000"/>
      <name val="Times New Roman"/>
      <family val="1"/>
      <charset val="204"/>
    </font>
    <font>
      <sz val="10"/>
      <color indexed="10"/>
      <name val="Times New Roman"/>
      <family val="1"/>
      <charset val="204"/>
    </font>
    <font>
      <sz val="11"/>
      <color rgb="FF000000"/>
      <name val="Times New Roman"/>
      <family val="1"/>
      <charset val="204"/>
    </font>
    <font>
      <b/>
      <sz val="11"/>
      <color theme="0"/>
      <name val="Times New Roman"/>
      <family val="1"/>
      <charset val="204"/>
    </font>
    <font>
      <b/>
      <sz val="14"/>
      <name val="Times New Roman Cyr"/>
      <family val="1"/>
      <charset val="204"/>
    </font>
    <font>
      <sz val="8"/>
      <name val="Calibri"/>
      <family val="2"/>
      <charset val="204"/>
      <scheme val="minor"/>
    </font>
    <font>
      <sz val="26"/>
      <color theme="1"/>
      <name val="Times New Roman"/>
      <family val="1"/>
      <charset val="204"/>
    </font>
    <font>
      <sz val="18"/>
      <color theme="1"/>
      <name val="Times New Roman"/>
      <family val="1"/>
      <charset val="204"/>
    </font>
    <font>
      <sz val="22"/>
      <color rgb="FFFF0000"/>
      <name val="Times New Roman"/>
      <family val="1"/>
      <charset val="204"/>
    </font>
    <font>
      <b/>
      <sz val="20"/>
      <name val="Times New Roman"/>
      <family val="1"/>
      <charset val="204"/>
    </font>
    <font>
      <sz val="14"/>
      <color theme="1"/>
      <name val="Calibri"/>
      <family val="2"/>
      <scheme val="minor"/>
    </font>
    <font>
      <b/>
      <sz val="14"/>
      <color theme="1"/>
      <name val="Calibri"/>
      <family val="2"/>
      <charset val="204"/>
      <scheme val="minor"/>
    </font>
    <font>
      <sz val="11"/>
      <color rgb="FFFFFF00"/>
      <name val="Calibri"/>
      <family val="2"/>
      <scheme val="minor"/>
    </font>
    <font>
      <u/>
      <sz val="16"/>
      <color indexed="8"/>
      <name val="Times New Roman"/>
      <family val="2"/>
      <charset val="204"/>
    </font>
    <font>
      <sz val="12"/>
      <color theme="0"/>
      <name val="Times New Roman"/>
      <family val="2"/>
      <charset val="204"/>
    </font>
    <font>
      <sz val="11"/>
      <color theme="1"/>
      <name val="Times New Roman"/>
      <family val="2"/>
      <charset val="204"/>
    </font>
    <font>
      <sz val="12"/>
      <color theme="1"/>
      <name val="Times New Roman"/>
      <family val="2"/>
      <charset val="204"/>
    </font>
    <font>
      <sz val="11"/>
      <name val="Arial Cyr"/>
    </font>
    <font>
      <sz val="9"/>
      <name val="Arial"/>
      <family val="2"/>
      <charset val="204"/>
    </font>
    <font>
      <sz val="10"/>
      <color rgb="FF0070C0"/>
      <name val="Times New Roman"/>
      <family val="1"/>
    </font>
    <font>
      <sz val="10"/>
      <color rgb="FFFF0000"/>
      <name val="Arial Cyr"/>
      <charset val="204"/>
    </font>
    <font>
      <b/>
      <sz val="10"/>
      <color rgb="FFFF0000"/>
      <name val="Times New Roman"/>
      <family val="1"/>
    </font>
    <font>
      <b/>
      <u/>
      <sz val="11"/>
      <color theme="1"/>
      <name val="Times New Roman"/>
      <family val="1"/>
      <charset val="204"/>
    </font>
    <font>
      <b/>
      <u/>
      <sz val="12"/>
      <color theme="1"/>
      <name val="Times New Roman"/>
      <family val="1"/>
      <charset val="204"/>
    </font>
    <font>
      <sz val="12"/>
      <color rgb="FF000000"/>
      <name val="Times New Roman"/>
      <family val="1"/>
      <charset val="204"/>
    </font>
  </fonts>
  <fills count="22">
    <fill>
      <patternFill patternType="none"/>
    </fill>
    <fill>
      <patternFill patternType="gray125"/>
    </fill>
    <fill>
      <patternFill patternType="solid">
        <fgColor theme="0"/>
        <bgColor indexed="64"/>
      </patternFill>
    </fill>
    <fill>
      <patternFill patternType="solid">
        <fgColor rgb="FFCCFFCC"/>
        <bgColor indexed="64"/>
      </patternFill>
    </fill>
    <fill>
      <patternFill patternType="solid">
        <fgColor theme="9" tint="0.59999389629810485"/>
        <bgColor indexed="64"/>
      </patternFill>
    </fill>
    <fill>
      <patternFill patternType="solid">
        <fgColor rgb="FFFFFFCC"/>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CCFFFF"/>
        <bgColor indexed="64"/>
      </patternFill>
    </fill>
    <fill>
      <patternFill patternType="solid">
        <fgColor rgb="FFFFCCFF"/>
        <bgColor indexed="64"/>
      </patternFill>
    </fill>
    <fill>
      <patternFill patternType="solid">
        <fgColor rgb="FF92D050"/>
        <bgColor indexed="64"/>
      </patternFill>
    </fill>
    <fill>
      <patternFill patternType="solid">
        <fgColor rgb="FF66FFFF"/>
        <bgColor indexed="64"/>
      </patternFill>
    </fill>
    <fill>
      <patternFill patternType="solid">
        <fgColor rgb="FF00FFFF"/>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theme="9" tint="0.39997558519241921"/>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bottom style="medium">
        <color indexed="64"/>
      </bottom>
      <diagonal/>
    </border>
    <border>
      <left/>
      <right/>
      <top/>
      <bottom style="medium">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bottom/>
      <diagonal/>
    </border>
    <border>
      <left/>
      <right style="mediumDashDot">
        <color indexed="64"/>
      </right>
      <top/>
      <bottom/>
      <diagonal/>
    </border>
    <border>
      <left style="mediumDashDot">
        <color indexed="64"/>
      </left>
      <right/>
      <top/>
      <bottom style="thin">
        <color indexed="64"/>
      </bottom>
      <diagonal/>
    </border>
    <border>
      <left/>
      <right style="mediumDashDot">
        <color indexed="64"/>
      </right>
      <top/>
      <bottom style="thin">
        <color indexed="64"/>
      </bottom>
      <diagonal/>
    </border>
    <border>
      <left style="mediumDashDot">
        <color indexed="64"/>
      </left>
      <right/>
      <top style="thin">
        <color indexed="64"/>
      </top>
      <bottom/>
      <diagonal/>
    </border>
    <border>
      <left/>
      <right style="mediumDashDot">
        <color indexed="64"/>
      </right>
      <top style="thin">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right/>
      <top style="mediumDashDot">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thin">
        <color indexed="64"/>
      </bottom>
      <diagonal/>
    </border>
  </borders>
  <cellStyleXfs count="80">
    <xf numFmtId="0" fontId="0" fillId="0" borderId="0"/>
    <xf numFmtId="165" fontId="15" fillId="0" borderId="0" applyFont="0" applyFill="0" applyBorder="0" applyAlignment="0" applyProtection="0"/>
    <xf numFmtId="165" fontId="23" fillId="0" borderId="0" applyFont="0" applyFill="0" applyBorder="0" applyAlignment="0" applyProtection="0"/>
    <xf numFmtId="0" fontId="15" fillId="0" borderId="0"/>
    <xf numFmtId="0" fontId="25" fillId="0" borderId="0"/>
    <xf numFmtId="0" fontId="25" fillId="0" borderId="0"/>
    <xf numFmtId="0" fontId="15" fillId="0" borderId="0"/>
    <xf numFmtId="0" fontId="15" fillId="0" borderId="0"/>
    <xf numFmtId="0" fontId="40" fillId="0" borderId="0"/>
    <xf numFmtId="0" fontId="24" fillId="0" borderId="0"/>
    <xf numFmtId="0" fontId="40" fillId="0" borderId="0"/>
    <xf numFmtId="0" fontId="13" fillId="0" borderId="0"/>
    <xf numFmtId="0" fontId="42" fillId="0" borderId="0"/>
    <xf numFmtId="0" fontId="24" fillId="0" borderId="0"/>
    <xf numFmtId="0" fontId="23" fillId="0" borderId="0"/>
    <xf numFmtId="0" fontId="24" fillId="0" borderId="0"/>
    <xf numFmtId="0" fontId="15" fillId="0" borderId="0"/>
    <xf numFmtId="9" fontId="24" fillId="0" borderId="0" applyFont="0" applyFill="0" applyBorder="0" applyAlignment="0" applyProtection="0"/>
    <xf numFmtId="9" fontId="24" fillId="0" borderId="0" applyFont="0" applyFill="0" applyBorder="0" applyAlignment="0" applyProtection="0"/>
    <xf numFmtId="0" fontId="24" fillId="0" borderId="0" applyFont="0" applyFill="0" applyBorder="0" applyAlignment="0" applyProtection="0"/>
    <xf numFmtId="166" fontId="42" fillId="0" borderId="0" applyFont="0" applyFill="0" applyBorder="0" applyAlignment="0" applyProtection="0"/>
    <xf numFmtId="0" fontId="12" fillId="0" borderId="0"/>
    <xf numFmtId="166" fontId="12" fillId="0" borderId="0" applyFont="0" applyFill="0" applyBorder="0" applyAlignment="0" applyProtection="0"/>
    <xf numFmtId="0" fontId="62" fillId="0" borderId="0"/>
    <xf numFmtId="0" fontId="67" fillId="0" borderId="0"/>
    <xf numFmtId="0" fontId="73" fillId="0" borderId="0"/>
    <xf numFmtId="0" fontId="24" fillId="0" borderId="0"/>
    <xf numFmtId="177" fontId="24" fillId="0" borderId="0" applyFont="0" applyFill="0" applyBorder="0" applyAlignment="0" applyProtection="0"/>
    <xf numFmtId="0" fontId="12" fillId="0" borderId="0"/>
    <xf numFmtId="0" fontId="73" fillId="0" borderId="0"/>
    <xf numFmtId="0" fontId="11" fillId="0" borderId="0"/>
    <xf numFmtId="0" fontId="24" fillId="0" borderId="0"/>
    <xf numFmtId="177" fontId="24" fillId="0" borderId="0" applyFont="0" applyFill="0" applyBorder="0" applyAlignment="0" applyProtection="0"/>
    <xf numFmtId="0" fontId="11" fillId="0" borderId="0"/>
    <xf numFmtId="0" fontId="10" fillId="0" borderId="0"/>
    <xf numFmtId="0" fontId="24" fillId="0" borderId="0"/>
    <xf numFmtId="0" fontId="96" fillId="0" borderId="0"/>
    <xf numFmtId="0" fontId="97" fillId="0" borderId="0"/>
    <xf numFmtId="0" fontId="24" fillId="0" borderId="0"/>
    <xf numFmtId="0" fontId="10" fillId="0" borderId="0"/>
    <xf numFmtId="0" fontId="9" fillId="0" borderId="0"/>
    <xf numFmtId="166" fontId="9" fillId="0" borderId="0" applyFont="0" applyFill="0" applyBorder="0" applyAlignment="0" applyProtection="0"/>
    <xf numFmtId="0" fontId="24" fillId="0" borderId="0"/>
    <xf numFmtId="179" fontId="24" fillId="0" borderId="0" applyFont="0" applyFill="0" applyBorder="0" applyAlignment="0" applyProtection="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15" fillId="0" borderId="0"/>
    <xf numFmtId="166" fontId="24" fillId="0" borderId="0" applyFont="0" applyFill="0" applyBorder="0" applyAlignment="0" applyProtection="0"/>
    <xf numFmtId="0" fontId="147" fillId="0" borderId="0" applyNumberFormat="0" applyFill="0" applyBorder="0" applyAlignment="0" applyProtection="0"/>
    <xf numFmtId="0" fontId="15" fillId="0" borderId="0"/>
    <xf numFmtId="0" fontId="7" fillId="0" borderId="0"/>
    <xf numFmtId="166" fontId="7" fillId="0" borderId="0" applyFont="0" applyFill="0" applyBorder="0" applyAlignment="0" applyProtection="0"/>
    <xf numFmtId="0" fontId="7" fillId="0" borderId="0"/>
    <xf numFmtId="0" fontId="7" fillId="0" borderId="0"/>
    <xf numFmtId="0" fontId="23" fillId="0" borderId="0"/>
    <xf numFmtId="166" fontId="7" fillId="0" borderId="0" applyFont="0" applyFill="0" applyBorder="0" applyAlignment="0" applyProtection="0"/>
    <xf numFmtId="0" fontId="15" fillId="0" borderId="0"/>
    <xf numFmtId="0" fontId="15" fillId="0" borderId="0"/>
    <xf numFmtId="0" fontId="6" fillId="0" borderId="0"/>
    <xf numFmtId="166" fontId="15" fillId="0" borderId="0" applyFont="0" applyFill="0" applyBorder="0" applyAlignment="0" applyProtection="0"/>
    <xf numFmtId="0" fontId="6" fillId="0" borderId="0"/>
    <xf numFmtId="166" fontId="6" fillId="0" borderId="0" applyFont="0" applyFill="0" applyBorder="0" applyAlignment="0" applyProtection="0"/>
    <xf numFmtId="0" fontId="73" fillId="0" borderId="0"/>
    <xf numFmtId="0" fontId="5" fillId="0" borderId="0"/>
    <xf numFmtId="166" fontId="5" fillId="0" borderId="0" applyFont="0" applyFill="0" applyBorder="0" applyAlignment="0" applyProtection="0"/>
    <xf numFmtId="0" fontId="4" fillId="0" borderId="0"/>
    <xf numFmtId="0" fontId="3" fillId="0" borderId="0"/>
    <xf numFmtId="166" fontId="3" fillId="0" borderId="0" applyFont="0" applyFill="0" applyBorder="0" applyAlignment="0" applyProtection="0"/>
    <xf numFmtId="0" fontId="3" fillId="0" borderId="0"/>
    <xf numFmtId="0" fontId="40" fillId="0" borderId="0"/>
    <xf numFmtId="166" fontId="13" fillId="0" borderId="0" applyFont="0" applyFill="0" applyBorder="0" applyAlignment="0" applyProtection="0"/>
    <xf numFmtId="0" fontId="2" fillId="0" borderId="0"/>
    <xf numFmtId="0" fontId="1" fillId="0" borderId="0"/>
    <xf numFmtId="0" fontId="23" fillId="0" borderId="0"/>
    <xf numFmtId="0" fontId="1" fillId="0" borderId="0"/>
  </cellStyleXfs>
  <cellXfs count="2926">
    <xf numFmtId="0" fontId="0" fillId="0" borderId="0" xfId="0"/>
    <xf numFmtId="0" fontId="30" fillId="0" borderId="0" xfId="0" applyFont="1" applyFill="1" applyBorder="1" applyAlignment="1">
      <alignment horizontal="center" vertical="center"/>
    </xf>
    <xf numFmtId="4" fontId="30" fillId="0" borderId="0" xfId="0" applyNumberFormat="1" applyFont="1" applyFill="1" applyBorder="1" applyAlignment="1">
      <alignment horizontal="left" vertical="center" wrapText="1"/>
    </xf>
    <xf numFmtId="4" fontId="30" fillId="0" borderId="0" xfId="0" applyNumberFormat="1" applyFont="1" applyFill="1" applyBorder="1" applyAlignment="1">
      <alignment horizontal="right" vertical="center" wrapText="1"/>
    </xf>
    <xf numFmtId="4" fontId="30" fillId="0" borderId="0" xfId="0" applyNumberFormat="1" applyFont="1" applyFill="1" applyBorder="1" applyAlignment="1">
      <alignment horizontal="center" vertical="center" wrapText="1"/>
    </xf>
    <xf numFmtId="172" fontId="30" fillId="0" borderId="0" xfId="0" applyNumberFormat="1" applyFont="1" applyFill="1" applyBorder="1" applyAlignment="1">
      <alignment vertical="center" wrapText="1"/>
    </xf>
    <xf numFmtId="4" fontId="30" fillId="0" borderId="0" xfId="0" applyNumberFormat="1" applyFont="1" applyFill="1" applyBorder="1" applyAlignment="1">
      <alignment horizontal="left" vertical="center"/>
    </xf>
    <xf numFmtId="0" fontId="48" fillId="0" borderId="0" xfId="12" applyFont="1"/>
    <xf numFmtId="2" fontId="48" fillId="2" borderId="1" xfId="12" applyNumberFormat="1" applyFont="1" applyFill="1" applyBorder="1" applyAlignment="1">
      <alignment horizontal="center" vertical="center" wrapText="1"/>
    </xf>
    <xf numFmtId="4" fontId="48" fillId="2" borderId="1" xfId="12" applyNumberFormat="1" applyFont="1" applyFill="1" applyBorder="1" applyAlignment="1">
      <alignment horizontal="center" vertical="center" wrapText="1"/>
    </xf>
    <xf numFmtId="172" fontId="48" fillId="2" borderId="1" xfId="12" applyNumberFormat="1" applyFont="1" applyFill="1" applyBorder="1" applyAlignment="1">
      <alignment horizontal="center" vertical="center"/>
    </xf>
    <xf numFmtId="4" fontId="48" fillId="0" borderId="0" xfId="12" applyNumberFormat="1" applyFont="1"/>
    <xf numFmtId="4" fontId="48" fillId="2" borderId="0" xfId="12" applyNumberFormat="1" applyFont="1" applyFill="1"/>
    <xf numFmtId="0" fontId="48" fillId="2" borderId="0" xfId="12" applyFont="1" applyFill="1"/>
    <xf numFmtId="0" fontId="45" fillId="0" borderId="1" xfId="12" applyFont="1" applyBorder="1" applyAlignment="1">
      <alignment horizontal="center" vertical="center"/>
    </xf>
    <xf numFmtId="0" fontId="45" fillId="2" borderId="1" xfId="12" applyFont="1" applyFill="1" applyBorder="1" applyAlignment="1">
      <alignment horizontal="center" vertical="center"/>
    </xf>
    <xf numFmtId="0" fontId="45" fillId="3" borderId="1" xfId="12" applyFont="1" applyFill="1" applyBorder="1" applyAlignment="1">
      <alignment horizontal="center" vertical="center" wrapText="1"/>
    </xf>
    <xf numFmtId="4" fontId="45" fillId="3" borderId="1" xfId="12" applyNumberFormat="1" applyFont="1" applyFill="1" applyBorder="1" applyAlignment="1">
      <alignment horizontal="center"/>
    </xf>
    <xf numFmtId="172" fontId="45" fillId="3" borderId="1" xfId="12" applyNumberFormat="1" applyFont="1" applyFill="1" applyBorder="1" applyAlignment="1">
      <alignment horizontal="center"/>
    </xf>
    <xf numFmtId="0" fontId="45" fillId="0" borderId="1" xfId="12" applyFont="1" applyBorder="1" applyAlignment="1">
      <alignment horizontal="center" vertical="center"/>
    </xf>
    <xf numFmtId="0" fontId="49" fillId="0" borderId="0" xfId="12" applyFont="1"/>
    <xf numFmtId="0" fontId="45" fillId="0" borderId="1" xfId="12" applyFont="1" applyBorder="1" applyAlignment="1">
      <alignment horizontal="center" vertical="center"/>
    </xf>
    <xf numFmtId="0" fontId="22" fillId="2" borderId="0" xfId="0" applyFont="1" applyFill="1" applyAlignment="1">
      <alignment vertical="center" wrapText="1"/>
    </xf>
    <xf numFmtId="0" fontId="22" fillId="2" borderId="1" xfId="0" applyFont="1" applyFill="1" applyBorder="1" applyAlignment="1">
      <alignment horizontal="center" vertical="center" wrapText="1"/>
    </xf>
    <xf numFmtId="169" fontId="22" fillId="2" borderId="1" xfId="0" applyNumberFormat="1" applyFont="1" applyFill="1" applyBorder="1" applyAlignment="1">
      <alignment horizontal="center" vertical="center" wrapText="1"/>
    </xf>
    <xf numFmtId="167" fontId="34" fillId="2" borderId="1" xfId="8" applyNumberFormat="1" applyFont="1" applyFill="1" applyBorder="1" applyAlignment="1">
      <alignment horizontal="center" vertical="center" wrapText="1"/>
    </xf>
    <xf numFmtId="4" fontId="34" fillId="2" borderId="0" xfId="8" applyNumberFormat="1" applyFont="1" applyFill="1" applyBorder="1" applyAlignment="1">
      <alignment vertical="center" wrapText="1"/>
    </xf>
    <xf numFmtId="4" fontId="35" fillId="2" borderId="0" xfId="0" applyNumberFormat="1" applyFont="1" applyFill="1" applyBorder="1" applyAlignment="1">
      <alignment horizontal="center" vertical="center" wrapText="1"/>
    </xf>
    <xf numFmtId="0" fontId="34" fillId="2" borderId="1" xfId="0" applyFont="1" applyFill="1" applyBorder="1" applyAlignment="1">
      <alignment horizontal="center" vertical="center" wrapText="1"/>
    </xf>
    <xf numFmtId="172" fontId="35" fillId="2" borderId="1" xfId="0" applyNumberFormat="1" applyFont="1" applyFill="1" applyBorder="1" applyAlignment="1">
      <alignment horizontal="center" vertical="center" wrapText="1"/>
    </xf>
    <xf numFmtId="4" fontId="30" fillId="2" borderId="0" xfId="0" applyNumberFormat="1" applyFont="1" applyFill="1" applyBorder="1" applyAlignment="1">
      <alignment horizontal="left" vertical="center"/>
    </xf>
    <xf numFmtId="4" fontId="33" fillId="2" borderId="0" xfId="0" applyNumberFormat="1" applyFont="1" applyFill="1" applyBorder="1" applyAlignment="1">
      <alignment horizontal="left" vertical="center"/>
    </xf>
    <xf numFmtId="4" fontId="33" fillId="2" borderId="0" xfId="0" applyNumberFormat="1" applyFont="1" applyFill="1" applyBorder="1" applyAlignment="1">
      <alignment horizontal="center" vertical="center" wrapText="1"/>
    </xf>
    <xf numFmtId="0" fontId="22" fillId="2" borderId="0" xfId="0" applyFont="1" applyFill="1" applyAlignment="1">
      <alignment horizontal="center" vertical="center" wrapText="1"/>
    </xf>
    <xf numFmtId="167" fontId="22" fillId="2" borderId="0" xfId="0" applyNumberFormat="1" applyFont="1" applyFill="1" applyAlignment="1">
      <alignment vertical="center" wrapText="1"/>
    </xf>
    <xf numFmtId="0" fontId="30" fillId="2" borderId="0" xfId="0" applyFont="1" applyFill="1" applyAlignment="1">
      <alignment horizontal="center" vertical="center" wrapText="1"/>
    </xf>
    <xf numFmtId="167" fontId="32" fillId="2" borderId="0" xfId="0" applyNumberFormat="1" applyFont="1" applyFill="1" applyAlignment="1">
      <alignment vertical="center" wrapText="1"/>
    </xf>
    <xf numFmtId="0" fontId="32" fillId="2" borderId="0" xfId="0" applyFont="1" applyFill="1" applyAlignment="1">
      <alignment horizontal="center" vertical="center" wrapText="1"/>
    </xf>
    <xf numFmtId="0" fontId="41" fillId="2" borderId="0" xfId="0" applyFont="1" applyFill="1" applyAlignment="1">
      <alignment vertical="center" wrapText="1"/>
    </xf>
    <xf numFmtId="4" fontId="22" fillId="2" borderId="0" xfId="0" applyNumberFormat="1" applyFont="1" applyFill="1" applyAlignment="1">
      <alignment vertical="center" wrapText="1"/>
    </xf>
    <xf numFmtId="0" fontId="22" fillId="2" borderId="1" xfId="0" applyFont="1" applyFill="1" applyBorder="1" applyAlignment="1">
      <alignment horizontal="center" vertical="center" wrapText="1"/>
    </xf>
    <xf numFmtId="0" fontId="22" fillId="2" borderId="1" xfId="8" applyFont="1" applyFill="1" applyBorder="1" applyAlignment="1">
      <alignment horizontal="center" vertical="center" textRotation="90" wrapText="1"/>
    </xf>
    <xf numFmtId="0" fontId="22" fillId="2" borderId="1" xfId="0" applyFont="1" applyFill="1" applyBorder="1" applyAlignment="1">
      <alignment horizontal="center" vertical="center" textRotation="90" wrapText="1"/>
    </xf>
    <xf numFmtId="0" fontId="22" fillId="2" borderId="0" xfId="3" applyFont="1" applyFill="1" applyAlignment="1">
      <alignment horizontal="center" vertical="center" wrapText="1"/>
    </xf>
    <xf numFmtId="0" fontId="22" fillId="2" borderId="1" xfId="16" applyFont="1" applyFill="1" applyBorder="1" applyAlignment="1">
      <alignment horizontal="left" vertical="center" wrapText="1"/>
    </xf>
    <xf numFmtId="168" fontId="22" fillId="2" borderId="1" xfId="16" applyNumberFormat="1" applyFont="1" applyFill="1" applyBorder="1" applyAlignment="1">
      <alignment horizontal="center" vertical="center"/>
    </xf>
    <xf numFmtId="4" fontId="22" fillId="2" borderId="1" xfId="16" applyNumberFormat="1" applyFont="1" applyFill="1" applyBorder="1" applyAlignment="1">
      <alignment horizontal="center" vertical="center"/>
    </xf>
    <xf numFmtId="169" fontId="22" fillId="2" borderId="1" xfId="16" applyNumberFormat="1" applyFont="1" applyFill="1" applyBorder="1" applyAlignment="1">
      <alignment horizontal="center" vertical="center"/>
    </xf>
    <xf numFmtId="4" fontId="22" fillId="2" borderId="1" xfId="0" applyNumberFormat="1" applyFont="1" applyFill="1" applyBorder="1" applyAlignment="1">
      <alignment horizontal="center" vertical="center" wrapText="1"/>
    </xf>
    <xf numFmtId="167" fontId="22" fillId="2" borderId="1" xfId="0" applyNumberFormat="1" applyFont="1" applyFill="1" applyBorder="1" applyAlignment="1">
      <alignment horizontal="center" vertical="center" wrapText="1"/>
    </xf>
    <xf numFmtId="167" fontId="35" fillId="2" borderId="0" xfId="3" applyNumberFormat="1" applyFont="1" applyFill="1" applyAlignment="1">
      <alignment vertical="center" wrapText="1"/>
    </xf>
    <xf numFmtId="168" fontId="22" fillId="2" borderId="0" xfId="0" applyNumberFormat="1" applyFont="1" applyFill="1" applyAlignment="1">
      <alignment vertical="center" wrapText="1"/>
    </xf>
    <xf numFmtId="0" fontId="22" fillId="2" borderId="1" xfId="0" applyFont="1" applyFill="1" applyBorder="1" applyAlignment="1">
      <alignment horizontal="left" vertical="center" wrapText="1"/>
    </xf>
    <xf numFmtId="168" fontId="22" fillId="2" borderId="1" xfId="0" applyNumberFormat="1" applyFont="1" applyFill="1" applyBorder="1" applyAlignment="1">
      <alignment horizontal="center" vertical="center" wrapText="1"/>
    </xf>
    <xf numFmtId="1" fontId="22" fillId="2" borderId="1" xfId="0" applyNumberFormat="1" applyFont="1" applyFill="1" applyBorder="1" applyAlignment="1">
      <alignment horizontal="center" vertical="center" wrapText="1"/>
    </xf>
    <xf numFmtId="0" fontId="22" fillId="2" borderId="1" xfId="0" applyFont="1" applyFill="1" applyBorder="1" applyAlignment="1">
      <alignment horizontal="left" vertical="center"/>
    </xf>
    <xf numFmtId="3" fontId="22" fillId="2" borderId="1" xfId="16" applyNumberFormat="1" applyFont="1" applyFill="1" applyBorder="1" applyAlignment="1">
      <alignment horizontal="center" vertical="center"/>
    </xf>
    <xf numFmtId="1" fontId="22" fillId="2" borderId="1" xfId="16" applyNumberFormat="1" applyFont="1" applyFill="1" applyBorder="1" applyAlignment="1">
      <alignment horizontal="center" vertical="center"/>
    </xf>
    <xf numFmtId="3" fontId="22" fillId="2" borderId="1" xfId="0" applyNumberFormat="1" applyFont="1" applyFill="1" applyBorder="1" applyAlignment="1">
      <alignment horizontal="center" vertical="center" wrapText="1"/>
    </xf>
    <xf numFmtId="4" fontId="34" fillId="2" borderId="1" xfId="8" applyNumberFormat="1" applyFont="1" applyFill="1" applyBorder="1" applyAlignment="1">
      <alignment horizontal="center" vertical="center" wrapText="1"/>
    </xf>
    <xf numFmtId="167" fontId="34" fillId="2" borderId="0" xfId="0" applyNumberFormat="1" applyFont="1" applyFill="1" applyAlignment="1">
      <alignment horizontal="center" vertical="center" wrapText="1"/>
    </xf>
    <xf numFmtId="166" fontId="34" fillId="2" borderId="0" xfId="0" applyNumberFormat="1" applyFont="1" applyFill="1" applyAlignment="1">
      <alignment horizontal="center" vertical="center" wrapText="1"/>
    </xf>
    <xf numFmtId="0" fontId="34" fillId="2" borderId="0" xfId="0" applyFont="1" applyFill="1" applyAlignment="1">
      <alignment horizontal="center" vertical="center" wrapText="1"/>
    </xf>
    <xf numFmtId="0" fontId="34" fillId="2" borderId="0" xfId="0" applyFont="1" applyFill="1" applyBorder="1" applyAlignment="1">
      <alignment horizontal="center" vertical="top"/>
    </xf>
    <xf numFmtId="0" fontId="34" fillId="2" borderId="0" xfId="0" applyFont="1" applyFill="1" applyBorder="1"/>
    <xf numFmtId="4" fontId="34" fillId="2" borderId="0" xfId="0" applyNumberFormat="1" applyFont="1" applyFill="1" applyBorder="1"/>
    <xf numFmtId="170" fontId="22" fillId="2" borderId="0" xfId="0" applyNumberFormat="1" applyFont="1" applyFill="1" applyAlignment="1">
      <alignment vertical="center" wrapText="1"/>
    </xf>
    <xf numFmtId="167" fontId="34" fillId="2" borderId="0" xfId="0" applyNumberFormat="1" applyFont="1" applyFill="1" applyAlignment="1">
      <alignment vertical="center" wrapText="1"/>
    </xf>
    <xf numFmtId="0" fontId="34" fillId="2" borderId="0" xfId="0" applyFont="1" applyFill="1" applyBorder="1" applyAlignment="1">
      <alignment vertical="top"/>
    </xf>
    <xf numFmtId="167" fontId="34" fillId="2" borderId="0" xfId="0" applyNumberFormat="1" applyFont="1" applyFill="1" applyBorder="1"/>
    <xf numFmtId="0" fontId="35" fillId="2" borderId="0" xfId="0" applyFont="1" applyFill="1" applyBorder="1" applyAlignment="1">
      <alignment horizontal="center" vertical="center" wrapText="1"/>
    </xf>
    <xf numFmtId="4" fontId="35" fillId="2" borderId="0" xfId="0" applyNumberFormat="1" applyFont="1" applyFill="1" applyBorder="1" applyAlignment="1">
      <alignment horizontal="left" vertical="center" wrapText="1"/>
    </xf>
    <xf numFmtId="172" fontId="35" fillId="2" borderId="0" xfId="0" applyNumberFormat="1" applyFont="1" applyFill="1" applyBorder="1" applyAlignment="1">
      <alignment horizontal="right" vertical="center" wrapText="1"/>
    </xf>
    <xf numFmtId="172" fontId="35" fillId="2" borderId="0" xfId="0" applyNumberFormat="1" applyFont="1" applyFill="1" applyBorder="1" applyAlignment="1">
      <alignment vertical="center" wrapText="1"/>
    </xf>
    <xf numFmtId="171" fontId="35" fillId="2" borderId="0" xfId="0" applyNumberFormat="1" applyFont="1" applyFill="1" applyBorder="1" applyAlignment="1">
      <alignment horizontal="center" vertical="center" wrapText="1"/>
    </xf>
    <xf numFmtId="0" fontId="35" fillId="2" borderId="0" xfId="0" applyFont="1" applyFill="1" applyAlignment="1">
      <alignment horizontal="center" vertical="center" wrapText="1"/>
    </xf>
    <xf numFmtId="4" fontId="35" fillId="2" borderId="0" xfId="0" applyNumberFormat="1" applyFont="1" applyFill="1" applyAlignment="1">
      <alignment horizontal="center" vertical="center" wrapText="1"/>
    </xf>
    <xf numFmtId="4" fontId="35" fillId="2" borderId="0" xfId="0" applyNumberFormat="1" applyFont="1" applyFill="1" applyBorder="1" applyAlignment="1">
      <alignment horizontal="right" vertical="center" wrapText="1"/>
    </xf>
    <xf numFmtId="0" fontId="34" fillId="2" borderId="1" xfId="0" applyFont="1" applyFill="1" applyBorder="1" applyAlignment="1">
      <alignment horizontal="center" vertical="center" wrapText="1"/>
    </xf>
    <xf numFmtId="0" fontId="34" fillId="2" borderId="0" xfId="0" applyFont="1" applyFill="1" applyBorder="1" applyAlignment="1">
      <alignment horizontal="center" vertical="center" wrapText="1"/>
    </xf>
    <xf numFmtId="172" fontId="35" fillId="2" borderId="0" xfId="0" applyNumberFormat="1" applyFont="1" applyFill="1" applyBorder="1" applyAlignment="1">
      <alignment horizontal="center" vertical="center" wrapText="1"/>
    </xf>
    <xf numFmtId="0" fontId="30" fillId="2" borderId="0" xfId="0" applyFont="1" applyFill="1" applyBorder="1" applyAlignment="1">
      <alignment horizontal="center" vertical="center" wrapText="1"/>
    </xf>
    <xf numFmtId="0" fontId="30" fillId="2" borderId="0" xfId="0" applyFont="1" applyFill="1" applyBorder="1" applyAlignment="1">
      <alignment horizontal="center" vertical="center"/>
    </xf>
    <xf numFmtId="4" fontId="30" fillId="2" borderId="0" xfId="0" applyNumberFormat="1" applyFont="1" applyFill="1" applyBorder="1" applyAlignment="1">
      <alignment horizontal="left" vertical="center" wrapText="1"/>
    </xf>
    <xf numFmtId="4" fontId="30" fillId="2" borderId="0" xfId="0" applyNumberFormat="1" applyFont="1" applyFill="1" applyBorder="1" applyAlignment="1">
      <alignment horizontal="right" vertical="center" wrapText="1"/>
    </xf>
    <xf numFmtId="4" fontId="30" fillId="2" borderId="0" xfId="0" applyNumberFormat="1" applyFont="1" applyFill="1" applyBorder="1" applyAlignment="1">
      <alignment horizontal="center" vertical="center" wrapText="1"/>
    </xf>
    <xf numFmtId="172" fontId="30" fillId="2" borderId="0" xfId="0" applyNumberFormat="1" applyFont="1" applyFill="1" applyBorder="1" applyAlignment="1">
      <alignment vertical="center" wrapText="1"/>
    </xf>
    <xf numFmtId="171" fontId="30" fillId="2" borderId="0" xfId="0" applyNumberFormat="1" applyFont="1" applyFill="1" applyBorder="1" applyAlignment="1">
      <alignment horizontal="center" vertical="center" wrapText="1"/>
    </xf>
    <xf numFmtId="4" fontId="30" fillId="2" borderId="0" xfId="0" applyNumberFormat="1" applyFont="1" applyFill="1" applyAlignment="1">
      <alignment horizontal="center" vertical="center" wrapText="1"/>
    </xf>
    <xf numFmtId="0" fontId="33" fillId="2" borderId="0" xfId="0" applyFont="1" applyFill="1" applyBorder="1" applyAlignment="1">
      <alignment horizontal="left" vertical="center"/>
    </xf>
    <xf numFmtId="4" fontId="34" fillId="2" borderId="0" xfId="0" applyNumberFormat="1" applyFont="1" applyFill="1" applyBorder="1" applyAlignment="1">
      <alignment horizontal="center" vertical="center" wrapText="1"/>
    </xf>
    <xf numFmtId="171" fontId="34" fillId="2" borderId="0" xfId="0" applyNumberFormat="1" applyFont="1" applyFill="1" applyBorder="1" applyAlignment="1">
      <alignment horizontal="center" vertical="center" wrapText="1"/>
    </xf>
    <xf numFmtId="0" fontId="33" fillId="2" borderId="0" xfId="0" applyFont="1" applyFill="1" applyBorder="1" applyAlignment="1">
      <alignment horizontal="center" vertical="center" wrapText="1"/>
    </xf>
    <xf numFmtId="170" fontId="33" fillId="2" borderId="0" xfId="0" applyNumberFormat="1" applyFont="1" applyFill="1" applyBorder="1" applyAlignment="1">
      <alignment horizontal="center" vertical="center" wrapText="1"/>
    </xf>
    <xf numFmtId="0" fontId="0" fillId="2" borderId="1" xfId="0" applyFill="1" applyBorder="1" applyAlignment="1">
      <alignment horizontal="center" vertical="center" wrapText="1"/>
    </xf>
    <xf numFmtId="167" fontId="0" fillId="2" borderId="1" xfId="0" applyNumberFormat="1" applyFill="1" applyBorder="1" applyAlignment="1">
      <alignment horizontal="right" vertical="center" wrapText="1"/>
    </xf>
    <xf numFmtId="167" fontId="18" fillId="2" borderId="1" xfId="0" applyNumberFormat="1" applyFont="1" applyFill="1" applyBorder="1" applyAlignment="1">
      <alignment horizontal="right" vertical="center" wrapText="1"/>
    </xf>
    <xf numFmtId="167" fontId="26" fillId="2" borderId="1" xfId="0" applyNumberFormat="1" applyFont="1" applyFill="1" applyBorder="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vertical="center" wrapText="1"/>
    </xf>
    <xf numFmtId="0" fontId="0" fillId="2" borderId="0" xfId="0" applyFill="1" applyAlignment="1">
      <alignment horizontal="right" vertical="center" wrapText="1"/>
    </xf>
    <xf numFmtId="0" fontId="14" fillId="2" borderId="0" xfId="0" applyFont="1" applyFill="1" applyAlignment="1">
      <alignment horizontal="center" vertical="center" wrapText="1"/>
    </xf>
    <xf numFmtId="0" fontId="41" fillId="2" borderId="0" xfId="0" applyFont="1" applyFill="1" applyAlignment="1">
      <alignment horizontal="right" vertical="center" wrapText="1"/>
    </xf>
    <xf numFmtId="0" fontId="0" fillId="2" borderId="1" xfId="0" applyFill="1" applyBorder="1" applyAlignment="1">
      <alignment horizontal="center" vertical="center" wrapText="1"/>
    </xf>
    <xf numFmtId="0" fontId="43" fillId="2" borderId="1" xfId="8" applyFont="1" applyFill="1" applyBorder="1" applyAlignment="1">
      <alignment horizontal="center" vertical="center" textRotation="90" wrapText="1"/>
    </xf>
    <xf numFmtId="0" fontId="0" fillId="2" borderId="1" xfId="0" applyFill="1" applyBorder="1" applyAlignment="1">
      <alignment horizontal="center" vertical="center" textRotation="90" wrapText="1"/>
    </xf>
    <xf numFmtId="0" fontId="16" fillId="2" borderId="1" xfId="16" applyFont="1" applyFill="1" applyBorder="1" applyAlignment="1">
      <alignment vertical="center" wrapText="1"/>
    </xf>
    <xf numFmtId="170" fontId="16" fillId="2" borderId="1" xfId="0" applyNumberFormat="1" applyFont="1" applyFill="1" applyBorder="1" applyAlignment="1">
      <alignment vertical="center"/>
    </xf>
    <xf numFmtId="4" fontId="16" fillId="2" borderId="1" xfId="16" applyNumberFormat="1" applyFont="1" applyFill="1" applyBorder="1" applyAlignment="1">
      <alignment vertical="center"/>
    </xf>
    <xf numFmtId="167" fontId="16" fillId="2" borderId="1" xfId="16" applyNumberFormat="1" applyFont="1" applyFill="1" applyBorder="1" applyAlignment="1">
      <alignment vertical="center"/>
    </xf>
    <xf numFmtId="167" fontId="0" fillId="2" borderId="1" xfId="0" applyNumberFormat="1" applyFill="1" applyBorder="1" applyAlignment="1">
      <alignment vertical="center" wrapText="1"/>
    </xf>
    <xf numFmtId="4" fontId="0" fillId="2" borderId="1" xfId="0" applyNumberFormat="1" applyFill="1" applyBorder="1" applyAlignment="1">
      <alignment horizontal="right" vertical="center" wrapText="1"/>
    </xf>
    <xf numFmtId="169" fontId="0" fillId="2" borderId="1" xfId="0" applyNumberFormat="1" applyFill="1" applyBorder="1" applyAlignment="1">
      <alignment horizontal="center" vertical="center" wrapText="1"/>
    </xf>
    <xf numFmtId="4" fontId="0" fillId="2" borderId="1" xfId="0" applyNumberFormat="1" applyFill="1" applyBorder="1" applyAlignment="1">
      <alignment horizontal="center" vertical="center" wrapText="1"/>
    </xf>
    <xf numFmtId="167" fontId="0" fillId="2" borderId="0" xfId="0" applyNumberFormat="1" applyFill="1" applyAlignment="1">
      <alignment vertical="center" wrapText="1"/>
    </xf>
    <xf numFmtId="168" fontId="0" fillId="2" borderId="0" xfId="0" applyNumberFormat="1" applyFill="1" applyAlignment="1">
      <alignment vertical="center" wrapText="1"/>
    </xf>
    <xf numFmtId="167" fontId="38" fillId="2" borderId="0" xfId="3" applyNumberFormat="1" applyFont="1" applyFill="1" applyAlignment="1">
      <alignment vertical="center" wrapText="1"/>
    </xf>
    <xf numFmtId="0" fontId="16" fillId="2" borderId="1" xfId="0" applyFont="1" applyFill="1" applyBorder="1" applyAlignment="1">
      <alignment wrapText="1"/>
    </xf>
    <xf numFmtId="0" fontId="18" fillId="2" borderId="1" xfId="0" applyFont="1" applyFill="1" applyBorder="1" applyAlignment="1">
      <alignment horizontal="center" vertical="center" wrapText="1"/>
    </xf>
    <xf numFmtId="4" fontId="0" fillId="2" borderId="1" xfId="0" applyNumberFormat="1" applyFill="1" applyBorder="1" applyAlignment="1">
      <alignment vertical="center" wrapText="1"/>
    </xf>
    <xf numFmtId="1" fontId="18" fillId="2" borderId="1" xfId="0" applyNumberFormat="1" applyFont="1" applyFill="1" applyBorder="1" applyAlignment="1">
      <alignment horizontal="center" vertical="center" wrapText="1"/>
    </xf>
    <xf numFmtId="3" fontId="16" fillId="2" borderId="1" xfId="0" applyNumberFormat="1" applyFont="1" applyFill="1" applyBorder="1" applyAlignment="1">
      <alignment horizontal="left" wrapText="1"/>
    </xf>
    <xf numFmtId="3" fontId="18" fillId="2" borderId="1" xfId="0" applyNumberFormat="1" applyFont="1" applyFill="1" applyBorder="1" applyAlignment="1">
      <alignment horizontal="center" vertical="center" wrapText="1"/>
    </xf>
    <xf numFmtId="4" fontId="18" fillId="2" borderId="1" xfId="0" applyNumberFormat="1" applyFont="1" applyFill="1" applyBorder="1" applyAlignment="1">
      <alignment vertical="center" wrapText="1"/>
    </xf>
    <xf numFmtId="167" fontId="18" fillId="2" borderId="1" xfId="0" applyNumberFormat="1" applyFont="1" applyFill="1" applyBorder="1" applyAlignment="1">
      <alignment vertical="center" wrapText="1"/>
    </xf>
    <xf numFmtId="167" fontId="18" fillId="2" borderId="1" xfId="0" applyNumberFormat="1" applyFont="1" applyFill="1" applyBorder="1" applyAlignment="1">
      <alignment horizontal="center" vertical="center" wrapText="1"/>
    </xf>
    <xf numFmtId="0" fontId="18" fillId="2" borderId="0" xfId="0" applyFont="1" applyFill="1" applyAlignment="1">
      <alignment horizontal="center" vertical="center" wrapText="1"/>
    </xf>
    <xf numFmtId="1" fontId="0" fillId="2" borderId="1" xfId="0" applyNumberFormat="1" applyFill="1" applyBorder="1" applyAlignment="1">
      <alignment horizontal="center" vertical="center" wrapText="1"/>
    </xf>
    <xf numFmtId="1" fontId="16" fillId="2" borderId="1" xfId="16" applyNumberFormat="1" applyFont="1" applyFill="1" applyBorder="1" applyAlignment="1">
      <alignment horizontal="center" vertical="center"/>
    </xf>
    <xf numFmtId="0" fontId="16" fillId="2" borderId="1" xfId="0" applyFont="1" applyFill="1" applyBorder="1" applyAlignment="1">
      <alignment horizontal="left" wrapText="1"/>
    </xf>
    <xf numFmtId="0" fontId="50" fillId="2" borderId="0" xfId="0" applyFont="1" applyFill="1" applyAlignment="1">
      <alignment vertical="center" wrapText="1"/>
    </xf>
    <xf numFmtId="4" fontId="0" fillId="2" borderId="0" xfId="0" applyNumberFormat="1" applyFill="1" applyAlignment="1">
      <alignment vertical="center" wrapText="1"/>
    </xf>
    <xf numFmtId="4" fontId="0" fillId="2" borderId="3" xfId="0" applyNumberFormat="1" applyFill="1" applyBorder="1" applyAlignment="1">
      <alignment vertical="center" wrapText="1"/>
    </xf>
    <xf numFmtId="4" fontId="0" fillId="2" borderId="0" xfId="0" applyNumberFormat="1" applyFill="1" applyBorder="1" applyAlignment="1">
      <alignment vertical="center" wrapText="1"/>
    </xf>
    <xf numFmtId="168"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0" fontId="48" fillId="2" borderId="0" xfId="0" applyFont="1" applyFill="1" applyBorder="1" applyAlignment="1">
      <alignment horizontal="center" vertical="center" wrapText="1"/>
    </xf>
    <xf numFmtId="4" fontId="48" fillId="2" borderId="0" xfId="0" applyNumberFormat="1" applyFont="1" applyFill="1" applyBorder="1" applyAlignment="1">
      <alignment horizontal="left" vertical="center" wrapText="1"/>
    </xf>
    <xf numFmtId="172" fontId="48" fillId="2" borderId="0" xfId="0" applyNumberFormat="1" applyFont="1" applyFill="1" applyBorder="1" applyAlignment="1">
      <alignment horizontal="right" vertical="center" wrapText="1"/>
    </xf>
    <xf numFmtId="172" fontId="48" fillId="2" borderId="0" xfId="0" applyNumberFormat="1" applyFont="1" applyFill="1" applyBorder="1" applyAlignment="1">
      <alignment vertical="center" wrapText="1"/>
    </xf>
    <xf numFmtId="4" fontId="48" fillId="2" borderId="0" xfId="0" applyNumberFormat="1" applyFont="1" applyFill="1" applyBorder="1" applyAlignment="1">
      <alignment horizontal="center" vertical="center" wrapText="1"/>
    </xf>
    <xf numFmtId="171" fontId="48" fillId="2" borderId="0" xfId="0" applyNumberFormat="1" applyFont="1" applyFill="1" applyBorder="1" applyAlignment="1">
      <alignment horizontal="center" vertical="center" wrapText="1"/>
    </xf>
    <xf numFmtId="4" fontId="48" fillId="2" borderId="0" xfId="0" applyNumberFormat="1" applyFont="1" applyFill="1" applyAlignment="1">
      <alignment horizontal="center" vertical="center" wrapText="1"/>
    </xf>
    <xf numFmtId="0" fontId="48" fillId="2" borderId="0" xfId="0" applyFont="1" applyFill="1" applyAlignment="1">
      <alignment horizontal="center" vertical="center" wrapText="1"/>
    </xf>
    <xf numFmtId="4" fontId="48" fillId="2" borderId="0" xfId="0" applyNumberFormat="1" applyFont="1" applyFill="1" applyBorder="1" applyAlignment="1">
      <alignment horizontal="right" vertical="center" wrapText="1"/>
    </xf>
    <xf numFmtId="0" fontId="47" fillId="2" borderId="0" xfId="0" applyFont="1" applyFill="1" applyBorder="1" applyAlignment="1">
      <alignment horizontal="left" vertical="center"/>
    </xf>
    <xf numFmtId="4" fontId="47" fillId="2" borderId="0" xfId="0" applyNumberFormat="1" applyFont="1" applyFill="1" applyBorder="1" applyAlignment="1">
      <alignment horizontal="left" vertical="center"/>
    </xf>
    <xf numFmtId="4" fontId="45" fillId="2" borderId="0" xfId="0" applyNumberFormat="1" applyFont="1" applyFill="1" applyBorder="1" applyAlignment="1">
      <alignment horizontal="center" vertical="center" wrapText="1"/>
    </xf>
    <xf numFmtId="171" fontId="45" fillId="2" borderId="0" xfId="0" applyNumberFormat="1" applyFont="1" applyFill="1" applyBorder="1" applyAlignment="1">
      <alignment horizontal="center" vertical="center" wrapText="1"/>
    </xf>
    <xf numFmtId="0" fontId="47" fillId="2" borderId="0" xfId="0" applyFont="1" applyFill="1" applyBorder="1" applyAlignment="1">
      <alignment horizontal="center" vertical="center" wrapText="1"/>
    </xf>
    <xf numFmtId="170" fontId="47" fillId="2" borderId="0" xfId="0" applyNumberFormat="1" applyFont="1" applyFill="1" applyBorder="1" applyAlignment="1">
      <alignment horizontal="center" vertical="center" wrapText="1"/>
    </xf>
    <xf numFmtId="4" fontId="47" fillId="2" borderId="0" xfId="0" applyNumberFormat="1" applyFont="1" applyFill="1" applyBorder="1" applyAlignment="1">
      <alignment horizontal="center" vertical="center" wrapText="1"/>
    </xf>
    <xf numFmtId="0" fontId="46" fillId="2" borderId="0" xfId="0" applyFont="1" applyFill="1" applyAlignment="1">
      <alignment horizontal="center" vertical="center"/>
    </xf>
    <xf numFmtId="171" fontId="0" fillId="2" borderId="0" xfId="0" applyNumberFormat="1" applyFill="1" applyAlignment="1">
      <alignment vertical="center" wrapText="1"/>
    </xf>
    <xf numFmtId="167" fontId="22" fillId="2" borderId="1" xfId="0" applyNumberFormat="1" applyFont="1" applyFill="1" applyBorder="1" applyAlignment="1">
      <alignment horizontal="right" vertical="center" wrapText="1"/>
    </xf>
    <xf numFmtId="167" fontId="22" fillId="2" borderId="1" xfId="0" applyNumberFormat="1" applyFont="1" applyFill="1" applyBorder="1" applyAlignment="1">
      <alignment vertical="center" wrapText="1"/>
    </xf>
    <xf numFmtId="167" fontId="37" fillId="2" borderId="1" xfId="0" applyNumberFormat="1" applyFont="1" applyFill="1" applyBorder="1" applyAlignment="1">
      <alignment horizontal="center" vertical="center" wrapText="1"/>
    </xf>
    <xf numFmtId="4" fontId="22" fillId="2" borderId="0" xfId="0" applyNumberFormat="1" applyFont="1" applyFill="1" applyBorder="1" applyAlignment="1">
      <alignment vertical="center" wrapText="1"/>
    </xf>
    <xf numFmtId="0" fontId="17" fillId="2" borderId="0" xfId="0" applyFont="1" applyFill="1" applyBorder="1" applyAlignment="1">
      <alignment horizontal="center" vertical="center" wrapText="1"/>
    </xf>
    <xf numFmtId="4" fontId="38" fillId="2" borderId="0" xfId="0" applyNumberFormat="1" applyFont="1" applyFill="1" applyBorder="1" applyAlignment="1">
      <alignment horizontal="center" vertical="center" wrapText="1"/>
    </xf>
    <xf numFmtId="4" fontId="39" fillId="2" borderId="0" xfId="0" applyNumberFormat="1" applyFont="1" applyFill="1" applyBorder="1" applyAlignment="1">
      <alignment horizontal="left" vertical="center"/>
    </xf>
    <xf numFmtId="4" fontId="39" fillId="2" borderId="0" xfId="0" applyNumberFormat="1" applyFont="1" applyFill="1" applyBorder="1" applyAlignment="1">
      <alignment horizontal="center" vertical="center" wrapText="1"/>
    </xf>
    <xf numFmtId="1" fontId="16" fillId="2" borderId="1" xfId="0" applyNumberFormat="1" applyFont="1" applyFill="1" applyBorder="1" applyAlignment="1">
      <alignment horizontal="center" vertical="center" wrapText="1"/>
    </xf>
    <xf numFmtId="169" fontId="16" fillId="2" borderId="1" xfId="0" applyNumberFormat="1" applyFont="1" applyFill="1" applyBorder="1" applyAlignment="1">
      <alignment horizontal="center" vertical="center" wrapText="1"/>
    </xf>
    <xf numFmtId="4" fontId="16" fillId="2" borderId="1" xfId="0" applyNumberFormat="1" applyFont="1" applyFill="1" applyBorder="1" applyAlignment="1">
      <alignment horizontal="center" vertical="center" wrapText="1"/>
    </xf>
    <xf numFmtId="0" fontId="22" fillId="2" borderId="0" xfId="0" applyFont="1" applyFill="1" applyBorder="1" applyAlignment="1">
      <alignment horizontal="center" vertical="center" wrapText="1"/>
    </xf>
    <xf numFmtId="0" fontId="16" fillId="2" borderId="1" xfId="16" applyFont="1" applyFill="1" applyBorder="1" applyAlignment="1">
      <alignment wrapText="1"/>
    </xf>
    <xf numFmtId="2" fontId="22" fillId="2" borderId="1" xfId="0" applyNumberFormat="1" applyFont="1" applyFill="1" applyBorder="1" applyAlignment="1">
      <alignment horizontal="center" vertical="center" wrapText="1"/>
    </xf>
    <xf numFmtId="170" fontId="16" fillId="2" borderId="1" xfId="16" applyNumberFormat="1" applyFont="1" applyFill="1" applyBorder="1" applyAlignment="1">
      <alignment horizontal="right" vertical="center"/>
    </xf>
    <xf numFmtId="4" fontId="16" fillId="2" borderId="1" xfId="16" applyNumberFormat="1" applyFont="1" applyFill="1" applyBorder="1" applyAlignment="1">
      <alignment horizontal="right" vertical="center"/>
    </xf>
    <xf numFmtId="167" fontId="16" fillId="2" borderId="1" xfId="16" applyNumberFormat="1" applyFont="1" applyFill="1" applyBorder="1" applyAlignment="1">
      <alignment horizontal="right" vertical="center"/>
    </xf>
    <xf numFmtId="4" fontId="22" fillId="2" borderId="1" xfId="0" applyNumberFormat="1" applyFont="1" applyFill="1" applyBorder="1" applyAlignment="1">
      <alignment horizontal="right" vertical="center" wrapText="1"/>
    </xf>
    <xf numFmtId="2" fontId="16" fillId="2" borderId="1" xfId="16" applyNumberFormat="1" applyFont="1" applyFill="1" applyBorder="1" applyAlignment="1">
      <alignment horizontal="center" vertical="center"/>
    </xf>
    <xf numFmtId="168" fontId="16" fillId="2" borderId="1" xfId="0" applyNumberFormat="1" applyFont="1" applyFill="1" applyBorder="1" applyAlignment="1">
      <alignment horizontal="right" vertical="center" wrapText="1"/>
    </xf>
    <xf numFmtId="2" fontId="16" fillId="2" borderId="1" xfId="16" applyNumberFormat="1" applyFont="1" applyFill="1" applyBorder="1" applyAlignment="1">
      <alignment horizontal="center"/>
    </xf>
    <xf numFmtId="170" fontId="16" fillId="2" borderId="1" xfId="8" applyNumberFormat="1" applyFont="1" applyFill="1" applyBorder="1" applyAlignment="1">
      <alignment horizontal="right" vertical="center" wrapText="1"/>
    </xf>
    <xf numFmtId="0" fontId="22" fillId="2" borderId="1" xfId="16" applyFont="1" applyFill="1" applyBorder="1"/>
    <xf numFmtId="170" fontId="22" fillId="2" borderId="1" xfId="0" applyNumberFormat="1" applyFont="1" applyFill="1" applyBorder="1" applyAlignment="1">
      <alignment horizontal="right" vertical="center"/>
    </xf>
    <xf numFmtId="0" fontId="22" fillId="2" borderId="1" xfId="16" applyFont="1" applyFill="1" applyBorder="1" applyAlignment="1">
      <alignment wrapText="1"/>
    </xf>
    <xf numFmtId="2" fontId="22" fillId="2" borderId="1" xfId="16" applyNumberFormat="1" applyFont="1" applyFill="1" applyBorder="1" applyAlignment="1">
      <alignment horizontal="center" vertical="center"/>
    </xf>
    <xf numFmtId="2" fontId="22" fillId="2" borderId="1" xfId="16" applyNumberFormat="1" applyFont="1" applyFill="1" applyBorder="1" applyAlignment="1">
      <alignment horizontal="center"/>
    </xf>
    <xf numFmtId="0" fontId="16" fillId="2" borderId="1" xfId="16" applyFont="1" applyFill="1" applyBorder="1" applyAlignment="1">
      <alignment horizontal="left" vertical="center" wrapText="1"/>
    </xf>
    <xf numFmtId="168" fontId="22" fillId="2" borderId="1" xfId="0" applyNumberFormat="1" applyFont="1" applyFill="1" applyBorder="1" applyAlignment="1">
      <alignment horizontal="right" vertical="center" wrapText="1"/>
    </xf>
    <xf numFmtId="168" fontId="22" fillId="2" borderId="1" xfId="0" applyNumberFormat="1" applyFont="1" applyFill="1" applyBorder="1" applyAlignment="1">
      <alignment vertical="center" wrapText="1"/>
    </xf>
    <xf numFmtId="4" fontId="16" fillId="2" borderId="1" xfId="0" applyNumberFormat="1" applyFont="1" applyFill="1" applyBorder="1" applyAlignment="1">
      <alignment vertical="center" wrapText="1"/>
    </xf>
    <xf numFmtId="167" fontId="16" fillId="2" borderId="1" xfId="16" applyNumberFormat="1" applyFont="1" applyFill="1" applyBorder="1" applyAlignment="1">
      <alignment horizontal="right"/>
    </xf>
    <xf numFmtId="167" fontId="16" fillId="2" borderId="1" xfId="0" applyNumberFormat="1" applyFont="1" applyFill="1" applyBorder="1" applyAlignment="1">
      <alignment vertical="center" wrapText="1"/>
    </xf>
    <xf numFmtId="167" fontId="16" fillId="2" borderId="0" xfId="0" applyNumberFormat="1" applyFont="1" applyFill="1" applyAlignment="1">
      <alignment vertical="center" wrapText="1"/>
    </xf>
    <xf numFmtId="0" fontId="16" fillId="2" borderId="0" xfId="0" applyFont="1" applyFill="1" applyAlignment="1">
      <alignment vertical="center" wrapText="1"/>
    </xf>
    <xf numFmtId="2" fontId="37" fillId="2" borderId="1" xfId="0" applyNumberFormat="1" applyFont="1" applyFill="1" applyBorder="1" applyAlignment="1">
      <alignment horizontal="center" vertical="center" wrapText="1"/>
    </xf>
    <xf numFmtId="4" fontId="37" fillId="2" borderId="1" xfId="0" applyNumberFormat="1" applyFont="1" applyFill="1" applyBorder="1" applyAlignment="1">
      <alignment horizontal="center" vertical="center" wrapText="1"/>
    </xf>
    <xf numFmtId="2" fontId="22" fillId="2" borderId="0" xfId="0" applyNumberFormat="1" applyFont="1" applyFill="1" applyAlignment="1">
      <alignment vertical="center" wrapText="1"/>
    </xf>
    <xf numFmtId="0" fontId="37" fillId="2" borderId="0" xfId="0" applyFont="1" applyFill="1" applyAlignment="1">
      <alignment vertical="center" wrapText="1"/>
    </xf>
    <xf numFmtId="0" fontId="17" fillId="2" borderId="0" xfId="0" applyFont="1" applyFill="1" applyBorder="1" applyAlignment="1">
      <alignment vertical="center"/>
    </xf>
    <xf numFmtId="170" fontId="17" fillId="2" borderId="0" xfId="0" applyNumberFormat="1" applyFont="1" applyFill="1" applyBorder="1" applyAlignment="1">
      <alignment horizontal="center" vertical="center" wrapText="1"/>
    </xf>
    <xf numFmtId="0" fontId="22" fillId="2" borderId="0" xfId="0" applyFont="1" applyFill="1" applyBorder="1" applyAlignment="1">
      <alignment vertical="center" wrapText="1"/>
    </xf>
    <xf numFmtId="167" fontId="22" fillId="2" borderId="0" xfId="0" applyNumberFormat="1" applyFont="1" applyFill="1" applyBorder="1" applyAlignment="1">
      <alignment vertical="center" wrapText="1"/>
    </xf>
    <xf numFmtId="0" fontId="38" fillId="2" borderId="0" xfId="0" applyFont="1" applyFill="1" applyBorder="1" applyAlignment="1">
      <alignment horizontal="center" vertical="center" wrapText="1"/>
    </xf>
    <xf numFmtId="4" fontId="38" fillId="2" borderId="0" xfId="0" applyNumberFormat="1" applyFont="1" applyFill="1" applyBorder="1" applyAlignment="1">
      <alignment horizontal="left" vertical="center" wrapText="1"/>
    </xf>
    <xf numFmtId="4" fontId="38" fillId="2" borderId="0" xfId="0" applyNumberFormat="1" applyFont="1" applyFill="1" applyBorder="1" applyAlignment="1">
      <alignment horizontal="right" vertical="center" wrapText="1"/>
    </xf>
    <xf numFmtId="172" fontId="38" fillId="2" borderId="0" xfId="0" applyNumberFormat="1" applyFont="1" applyFill="1" applyBorder="1" applyAlignment="1">
      <alignment vertical="center" wrapText="1"/>
    </xf>
    <xf numFmtId="171" fontId="38" fillId="2" borderId="0" xfId="0" applyNumberFormat="1" applyFont="1" applyFill="1" applyBorder="1" applyAlignment="1">
      <alignment horizontal="center" vertical="center" wrapText="1"/>
    </xf>
    <xf numFmtId="49" fontId="36" fillId="2" borderId="0" xfId="0" applyNumberFormat="1" applyFont="1" applyFill="1" applyBorder="1" applyAlignment="1" applyProtection="1">
      <alignment horizontal="center" vertical="center" wrapText="1"/>
    </xf>
    <xf numFmtId="4" fontId="36" fillId="2" borderId="0" xfId="0" applyNumberFormat="1" applyFont="1" applyFill="1" applyBorder="1" applyAlignment="1" applyProtection="1">
      <alignment horizontal="right" vertical="center" wrapText="1"/>
    </xf>
    <xf numFmtId="4" fontId="38"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0" fontId="39" fillId="2" borderId="0" xfId="0" applyFont="1" applyFill="1" applyBorder="1" applyAlignment="1">
      <alignment horizontal="left" vertical="center"/>
    </xf>
    <xf numFmtId="4" fontId="37" fillId="2" borderId="0" xfId="0" applyNumberFormat="1" applyFont="1" applyFill="1" applyBorder="1" applyAlignment="1">
      <alignment horizontal="center" vertical="center" wrapText="1"/>
    </xf>
    <xf numFmtId="171" fontId="37" fillId="2" borderId="0" xfId="0" applyNumberFormat="1" applyFont="1" applyFill="1" applyBorder="1" applyAlignment="1">
      <alignment horizontal="center" vertical="center" wrapText="1"/>
    </xf>
    <xf numFmtId="0" fontId="39" fillId="2" borderId="0" xfId="0" applyFont="1" applyFill="1" applyBorder="1" applyAlignment="1">
      <alignment horizontal="center" vertical="center" wrapText="1"/>
    </xf>
    <xf numFmtId="170" fontId="39" fillId="2" borderId="0" xfId="0" applyNumberFormat="1" applyFont="1" applyFill="1" applyBorder="1" applyAlignment="1">
      <alignment horizontal="center" vertical="center" wrapText="1"/>
    </xf>
    <xf numFmtId="0" fontId="35" fillId="2" borderId="0" xfId="0" applyFont="1" applyFill="1" applyAlignment="1">
      <alignment vertical="center" wrapText="1"/>
    </xf>
    <xf numFmtId="0" fontId="35" fillId="2" borderId="0" xfId="3" applyFont="1" applyFill="1" applyAlignment="1">
      <alignment horizontal="center" vertical="center" wrapText="1"/>
    </xf>
    <xf numFmtId="170" fontId="22" fillId="2" borderId="1" xfId="3" applyNumberFormat="1" applyFont="1" applyFill="1" applyBorder="1" applyAlignment="1">
      <alignment horizontal="right" vertical="center"/>
    </xf>
    <xf numFmtId="4" fontId="22" fillId="2" borderId="1" xfId="16" applyNumberFormat="1" applyFont="1" applyFill="1" applyBorder="1" applyAlignment="1">
      <alignment horizontal="right" vertical="center"/>
    </xf>
    <xf numFmtId="167" fontId="22" fillId="2" borderId="1" xfId="16" applyNumberFormat="1" applyFont="1" applyFill="1" applyBorder="1" applyAlignment="1">
      <alignment horizontal="right" vertical="center"/>
    </xf>
    <xf numFmtId="167" fontId="35" fillId="2" borderId="0" xfId="0" applyNumberFormat="1" applyFont="1" applyFill="1" applyAlignment="1">
      <alignment vertical="center" wrapText="1"/>
    </xf>
    <xf numFmtId="168" fontId="35" fillId="2" borderId="0" xfId="0" applyNumberFormat="1" applyFont="1" applyFill="1" applyAlignment="1">
      <alignment vertical="center" wrapText="1"/>
    </xf>
    <xf numFmtId="0" fontId="22" fillId="2" borderId="1" xfId="3" applyFont="1" applyFill="1" applyBorder="1" applyAlignment="1">
      <alignment horizontal="left" vertical="center" wrapText="1"/>
    </xf>
    <xf numFmtId="3" fontId="22" fillId="2" borderId="1" xfId="0" applyNumberFormat="1" applyFont="1" applyFill="1" applyBorder="1" applyAlignment="1">
      <alignment horizontal="center"/>
    </xf>
    <xf numFmtId="167" fontId="22" fillId="2" borderId="0" xfId="0" applyNumberFormat="1" applyFont="1" applyFill="1" applyAlignment="1">
      <alignment horizontal="center" vertical="center" wrapText="1"/>
    </xf>
    <xf numFmtId="169" fontId="35" fillId="2" borderId="0" xfId="0" applyNumberFormat="1" applyFont="1" applyFill="1" applyAlignment="1">
      <alignment vertical="center" wrapText="1"/>
    </xf>
    <xf numFmtId="169" fontId="35" fillId="2" borderId="0" xfId="3" applyNumberFormat="1" applyFont="1" applyFill="1" applyAlignment="1">
      <alignment vertical="center" wrapText="1"/>
    </xf>
    <xf numFmtId="169" fontId="34" fillId="2" borderId="0" xfId="0" applyNumberFormat="1" applyFont="1" applyFill="1" applyAlignment="1">
      <alignment horizontal="center" vertical="center" wrapText="1"/>
    </xf>
    <xf numFmtId="3" fontId="22" fillId="2" borderId="1" xfId="3" applyNumberFormat="1" applyFont="1" applyFill="1" applyBorder="1" applyAlignment="1">
      <alignment horizontal="center" vertical="center"/>
    </xf>
    <xf numFmtId="0" fontId="17" fillId="2" borderId="1" xfId="0" applyFont="1" applyFill="1" applyBorder="1" applyAlignment="1">
      <alignment horizontal="left" vertical="center"/>
    </xf>
    <xf numFmtId="4" fontId="22" fillId="2" borderId="1" xfId="16" applyNumberFormat="1" applyFont="1" applyFill="1" applyBorder="1" applyAlignment="1">
      <alignment horizontal="right"/>
    </xf>
    <xf numFmtId="167" fontId="22" fillId="2" borderId="1" xfId="16" applyNumberFormat="1" applyFont="1" applyFill="1" applyBorder="1" applyAlignment="1">
      <alignment horizontal="right"/>
    </xf>
    <xf numFmtId="2" fontId="16" fillId="2" borderId="1" xfId="0" applyNumberFormat="1" applyFont="1" applyFill="1" applyBorder="1" applyAlignment="1">
      <alignment horizontal="right" wrapText="1"/>
    </xf>
    <xf numFmtId="0" fontId="22" fillId="2" borderId="1" xfId="0" applyFont="1" applyFill="1" applyBorder="1" applyAlignment="1">
      <alignment horizontal="left" wrapText="1"/>
    </xf>
    <xf numFmtId="2" fontId="34" fillId="2" borderId="1" xfId="0" applyNumberFormat="1" applyFont="1" applyFill="1" applyBorder="1" applyAlignment="1">
      <alignment horizontal="center" vertical="center" wrapText="1"/>
    </xf>
    <xf numFmtId="172" fontId="34" fillId="2" borderId="1" xfId="0" applyNumberFormat="1" applyFont="1" applyFill="1" applyBorder="1" applyAlignment="1">
      <alignment horizontal="center" vertical="center" wrapText="1"/>
    </xf>
    <xf numFmtId="4" fontId="22" fillId="2" borderId="0" xfId="0" applyNumberFormat="1" applyFont="1" applyFill="1" applyBorder="1" applyAlignment="1">
      <alignment horizontal="center" vertical="center" wrapText="1"/>
    </xf>
    <xf numFmtId="0" fontId="22" fillId="2" borderId="1" xfId="0" applyFont="1" applyFill="1" applyBorder="1" applyAlignment="1">
      <alignment vertical="center" wrapText="1"/>
    </xf>
    <xf numFmtId="0" fontId="52" fillId="2" borderId="1" xfId="0" applyFont="1" applyFill="1" applyBorder="1" applyAlignment="1">
      <alignment vertical="center" wrapText="1"/>
    </xf>
    <xf numFmtId="0" fontId="14" fillId="2" borderId="0" xfId="0" applyFont="1" applyFill="1" applyAlignment="1">
      <alignment vertical="center" wrapText="1"/>
    </xf>
    <xf numFmtId="0" fontId="16" fillId="2" borderId="1" xfId="0" applyFont="1" applyFill="1" applyBorder="1" applyAlignment="1">
      <alignment horizontal="left" vertical="center" wrapText="1"/>
    </xf>
    <xf numFmtId="170" fontId="16" fillId="2" borderId="1" xfId="0" applyNumberFormat="1" applyFont="1" applyFill="1" applyBorder="1" applyAlignment="1">
      <alignment horizontal="right" vertical="center"/>
    </xf>
    <xf numFmtId="0" fontId="43" fillId="2" borderId="1" xfId="0" applyFont="1" applyFill="1" applyBorder="1" applyAlignment="1">
      <alignment horizontal="center" vertical="center" wrapText="1"/>
    </xf>
    <xf numFmtId="1" fontId="43" fillId="2" borderId="1" xfId="0" applyNumberFormat="1" applyFont="1" applyFill="1" applyBorder="1" applyAlignment="1">
      <alignment horizontal="center" vertical="center" wrapText="1"/>
    </xf>
    <xf numFmtId="169" fontId="43" fillId="2" borderId="1" xfId="0" applyNumberFormat="1" applyFont="1" applyFill="1" applyBorder="1" applyAlignment="1">
      <alignment horizontal="center" vertical="center" wrapText="1"/>
    </xf>
    <xf numFmtId="4" fontId="43" fillId="2" borderId="1" xfId="0" applyNumberFormat="1" applyFont="1" applyFill="1" applyBorder="1" applyAlignment="1">
      <alignment horizontal="center" vertical="center" wrapText="1"/>
    </xf>
    <xf numFmtId="4" fontId="35" fillId="2" borderId="0" xfId="3" applyNumberFormat="1" applyFont="1" applyFill="1" applyAlignment="1">
      <alignment vertical="center" wrapText="1"/>
    </xf>
    <xf numFmtId="0" fontId="16" fillId="2" borderId="1" xfId="8" applyFont="1" applyFill="1" applyBorder="1" applyAlignment="1">
      <alignment horizontal="left" vertical="center" wrapText="1"/>
    </xf>
    <xf numFmtId="4" fontId="35" fillId="2" borderId="0" xfId="0" applyNumberFormat="1" applyFont="1" applyFill="1" applyAlignment="1">
      <alignment vertical="center" wrapText="1"/>
    </xf>
    <xf numFmtId="0" fontId="43" fillId="2" borderId="0" xfId="0" applyFont="1" applyFill="1" applyAlignment="1">
      <alignment horizontal="center" vertical="center" wrapText="1"/>
    </xf>
    <xf numFmtId="3" fontId="43" fillId="2" borderId="1" xfId="0" applyNumberFormat="1" applyFont="1" applyFill="1" applyBorder="1" applyAlignment="1">
      <alignment horizontal="center" vertical="center" wrapText="1"/>
    </xf>
    <xf numFmtId="170" fontId="43" fillId="2" borderId="1" xfId="0" applyNumberFormat="1" applyFont="1" applyFill="1" applyBorder="1" applyAlignment="1">
      <alignment horizontal="right" vertical="center" wrapText="1"/>
    </xf>
    <xf numFmtId="167" fontId="43" fillId="2" borderId="1" xfId="0" applyNumberFormat="1" applyFont="1" applyFill="1" applyBorder="1" applyAlignment="1">
      <alignment horizontal="right" vertical="center" wrapText="1"/>
    </xf>
    <xf numFmtId="4" fontId="43" fillId="2" borderId="1" xfId="0" applyNumberFormat="1" applyFont="1" applyFill="1" applyBorder="1" applyAlignment="1">
      <alignment horizontal="right" vertical="center" wrapText="1"/>
    </xf>
    <xf numFmtId="167" fontId="43" fillId="2" borderId="1" xfId="0" applyNumberFormat="1" applyFont="1" applyFill="1" applyBorder="1" applyAlignment="1">
      <alignment vertical="center" wrapText="1"/>
    </xf>
    <xf numFmtId="3" fontId="0" fillId="2" borderId="1" xfId="0" applyNumberFormat="1" applyFill="1" applyBorder="1" applyAlignment="1">
      <alignment horizontal="center" vertical="center" wrapText="1"/>
    </xf>
    <xf numFmtId="0" fontId="43" fillId="2" borderId="0" xfId="0" applyFont="1" applyFill="1" applyAlignment="1">
      <alignment vertical="center" wrapText="1"/>
    </xf>
    <xf numFmtId="4" fontId="45" fillId="2" borderId="1" xfId="0" applyNumberFormat="1" applyFont="1" applyFill="1" applyBorder="1" applyAlignment="1">
      <alignment horizontal="center" vertical="center" wrapText="1"/>
    </xf>
    <xf numFmtId="172" fontId="45" fillId="2" borderId="1" xfId="0" applyNumberFormat="1" applyFont="1" applyFill="1" applyBorder="1" applyAlignment="1">
      <alignment horizontal="center" vertical="center" wrapText="1"/>
    </xf>
    <xf numFmtId="0" fontId="44" fillId="2" borderId="0" xfId="0" applyFont="1" applyFill="1" applyBorder="1" applyAlignment="1">
      <alignment vertical="center"/>
    </xf>
    <xf numFmtId="170" fontId="44" fillId="2" borderId="0" xfId="0" applyNumberFormat="1" applyFont="1" applyFill="1" applyBorder="1" applyAlignment="1">
      <alignment vertical="center" wrapText="1"/>
    </xf>
    <xf numFmtId="0" fontId="17" fillId="2" borderId="0" xfId="0" applyFont="1" applyFill="1" applyBorder="1" applyAlignment="1">
      <alignment vertical="center" wrapText="1"/>
    </xf>
    <xf numFmtId="0" fontId="46" fillId="2" borderId="0" xfId="0" applyFont="1" applyFill="1" applyAlignment="1">
      <alignment horizontal="center" vertical="center" wrapText="1"/>
    </xf>
    <xf numFmtId="2" fontId="0" fillId="2" borderId="1" xfId="0" applyNumberFormat="1" applyFill="1" applyBorder="1" applyAlignment="1">
      <alignment horizontal="center" vertical="center" wrapText="1"/>
    </xf>
    <xf numFmtId="4" fontId="16" fillId="2" borderId="1" xfId="16" applyNumberFormat="1" applyFont="1" applyFill="1" applyBorder="1" applyAlignment="1">
      <alignment horizontal="right"/>
    </xf>
    <xf numFmtId="0" fontId="16" fillId="2" borderId="1" xfId="0" applyFont="1" applyFill="1" applyBorder="1" applyAlignment="1">
      <alignment vertical="center" wrapText="1"/>
    </xf>
    <xf numFmtId="2" fontId="43" fillId="2" borderId="1" xfId="0" applyNumberFormat="1" applyFont="1" applyFill="1" applyBorder="1" applyAlignment="1">
      <alignment horizontal="center" vertical="center" wrapText="1"/>
    </xf>
    <xf numFmtId="0" fontId="51" fillId="2" borderId="0" xfId="0" applyFont="1" applyFill="1" applyAlignment="1">
      <alignment vertical="center" wrapText="1"/>
    </xf>
    <xf numFmtId="2" fontId="16" fillId="2" borderId="1" xfId="3" applyNumberFormat="1" applyFont="1" applyFill="1" applyBorder="1" applyAlignment="1">
      <alignment horizontal="center"/>
    </xf>
    <xf numFmtId="2" fontId="44" fillId="2" borderId="1" xfId="0" applyNumberFormat="1" applyFont="1" applyFill="1" applyBorder="1" applyAlignment="1">
      <alignment horizontal="center" vertical="center" wrapText="1"/>
    </xf>
    <xf numFmtId="172" fontId="44" fillId="2" borderId="1" xfId="0" applyNumberFormat="1" applyFont="1" applyFill="1" applyBorder="1" applyAlignment="1">
      <alignment horizontal="center" vertical="center" wrapText="1"/>
    </xf>
    <xf numFmtId="0" fontId="44" fillId="2" borderId="9" xfId="0" applyFont="1" applyFill="1" applyBorder="1" applyAlignment="1">
      <alignment horizontal="center" vertical="center" wrapText="1"/>
    </xf>
    <xf numFmtId="0" fontId="44" fillId="2" borderId="3" xfId="0" applyFont="1" applyFill="1" applyBorder="1" applyAlignment="1">
      <alignment horizontal="center" vertical="center" wrapText="1"/>
    </xf>
    <xf numFmtId="2" fontId="44" fillId="2" borderId="3" xfId="0" applyNumberFormat="1" applyFont="1" applyFill="1" applyBorder="1" applyAlignment="1">
      <alignment horizontal="center" vertical="center" wrapText="1"/>
    </xf>
    <xf numFmtId="172" fontId="44" fillId="2" borderId="3" xfId="0" applyNumberFormat="1" applyFont="1" applyFill="1" applyBorder="1" applyAlignment="1">
      <alignment horizontal="center" vertical="center" wrapText="1"/>
    </xf>
    <xf numFmtId="173" fontId="35" fillId="2" borderId="0" xfId="0" applyNumberFormat="1" applyFont="1" applyFill="1" applyBorder="1" applyAlignment="1">
      <alignment horizontal="right" vertical="center" wrapText="1"/>
    </xf>
    <xf numFmtId="0" fontId="16" fillId="2" borderId="1" xfId="0" applyFont="1" applyFill="1" applyBorder="1" applyAlignment="1">
      <alignment horizontal="center" vertical="center" wrapText="1"/>
    </xf>
    <xf numFmtId="0" fontId="48" fillId="2" borderId="1" xfId="12" applyFont="1" applyFill="1" applyBorder="1" applyAlignment="1">
      <alignment horizontal="left" vertical="center" wrapText="1"/>
    </xf>
    <xf numFmtId="0" fontId="0" fillId="2" borderId="1" xfId="0" applyFill="1" applyBorder="1" applyAlignment="1">
      <alignment horizontal="center" vertical="center" wrapText="1"/>
    </xf>
    <xf numFmtId="0" fontId="48" fillId="0" borderId="0" xfId="12" applyFont="1" applyAlignment="1">
      <alignment horizontal="center"/>
    </xf>
    <xf numFmtId="0" fontId="22" fillId="2" borderId="1"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34" fillId="2" borderId="1" xfId="0" applyFont="1" applyFill="1" applyBorder="1" applyAlignment="1">
      <alignment horizontal="center" vertical="center" wrapText="1"/>
    </xf>
    <xf numFmtId="0" fontId="22" fillId="2" borderId="1" xfId="0" applyFont="1" applyFill="1" applyBorder="1" applyAlignment="1">
      <alignment horizontal="center" vertical="center" textRotation="90" wrapText="1"/>
    </xf>
    <xf numFmtId="0" fontId="22" fillId="2" borderId="1" xfId="8" applyFont="1" applyFill="1" applyBorder="1" applyAlignment="1">
      <alignment horizontal="center" vertical="center" textRotation="90" wrapText="1"/>
    </xf>
    <xf numFmtId="0" fontId="30" fillId="2" borderId="0" xfId="0" applyFont="1" applyFill="1" applyAlignment="1">
      <alignment horizontal="center" vertical="center" wrapText="1"/>
    </xf>
    <xf numFmtId="0" fontId="32" fillId="2" borderId="0" xfId="0" applyFont="1" applyFill="1" applyAlignment="1">
      <alignment horizontal="center" vertical="center" wrapText="1"/>
    </xf>
    <xf numFmtId="0" fontId="0" fillId="2" borderId="1" xfId="0" applyFill="1" applyBorder="1" applyAlignment="1">
      <alignment horizontal="center" vertical="center" wrapText="1"/>
    </xf>
    <xf numFmtId="0" fontId="0" fillId="2" borderId="1" xfId="0" applyFill="1" applyBorder="1" applyAlignment="1">
      <alignment horizontal="center" vertical="center" textRotation="90" wrapText="1"/>
    </xf>
    <xf numFmtId="0" fontId="43" fillId="2" borderId="1" xfId="8" applyFont="1" applyFill="1" applyBorder="1" applyAlignment="1">
      <alignment horizontal="center" vertical="center" textRotation="90" wrapText="1"/>
    </xf>
    <xf numFmtId="0" fontId="14" fillId="2" borderId="0" xfId="0" applyFont="1" applyFill="1" applyAlignment="1">
      <alignment horizontal="center" vertical="center" wrapText="1"/>
    </xf>
    <xf numFmtId="0" fontId="16" fillId="2" borderId="1" xfId="8" applyFont="1" applyFill="1" applyBorder="1" applyAlignment="1">
      <alignment horizontal="center" vertical="center" textRotation="90" wrapText="1"/>
    </xf>
    <xf numFmtId="0" fontId="45" fillId="4" borderId="1" xfId="12" applyFont="1" applyFill="1" applyBorder="1" applyAlignment="1">
      <alignment horizontal="center" vertical="center"/>
    </xf>
    <xf numFmtId="172" fontId="48" fillId="4" borderId="1" xfId="12" applyNumberFormat="1" applyFont="1" applyFill="1" applyBorder="1" applyAlignment="1">
      <alignment horizontal="center" vertical="center"/>
    </xf>
    <xf numFmtId="0" fontId="48" fillId="0" borderId="0" xfId="12" applyFont="1" applyAlignment="1">
      <alignment horizontal="center"/>
    </xf>
    <xf numFmtId="0" fontId="45" fillId="0" borderId="1" xfId="12" applyFont="1" applyBorder="1" applyAlignment="1">
      <alignment horizontal="center" vertical="center"/>
    </xf>
    <xf numFmtId="0" fontId="45" fillId="0" borderId="1" xfId="12" applyFont="1" applyFill="1" applyBorder="1" applyAlignment="1">
      <alignment horizontal="center" vertical="center"/>
    </xf>
    <xf numFmtId="0" fontId="45" fillId="5" borderId="1" xfId="12" applyFont="1" applyFill="1" applyBorder="1" applyAlignment="1">
      <alignment horizontal="center" vertical="center"/>
    </xf>
    <xf numFmtId="172" fontId="48" fillId="5" borderId="1" xfId="12" applyNumberFormat="1" applyFont="1" applyFill="1" applyBorder="1" applyAlignment="1">
      <alignment horizontal="center" vertical="center"/>
    </xf>
    <xf numFmtId="167" fontId="17" fillId="2" borderId="0" xfId="3" applyNumberFormat="1" applyFont="1" applyFill="1"/>
    <xf numFmtId="167" fontId="17" fillId="2" borderId="1" xfId="3" applyNumberFormat="1" applyFont="1" applyFill="1" applyBorder="1" applyAlignment="1">
      <alignment horizontal="center" vertical="center" wrapText="1"/>
    </xf>
    <xf numFmtId="167" fontId="16" fillId="2" borderId="1" xfId="3" applyNumberFormat="1" applyFont="1" applyFill="1" applyBorder="1" applyAlignment="1">
      <alignment horizontal="left" vertical="center" wrapText="1"/>
    </xf>
    <xf numFmtId="3" fontId="16" fillId="2" borderId="1" xfId="3" applyNumberFormat="1" applyFont="1" applyFill="1" applyBorder="1" applyAlignment="1">
      <alignment horizontal="center" vertical="center"/>
    </xf>
    <xf numFmtId="167" fontId="16" fillId="2" borderId="1" xfId="3" applyNumberFormat="1" applyFont="1" applyFill="1" applyBorder="1"/>
    <xf numFmtId="4" fontId="16" fillId="2" borderId="1" xfId="3" applyNumberFormat="1" applyFont="1" applyFill="1" applyBorder="1" applyAlignment="1">
      <alignment horizontal="right"/>
    </xf>
    <xf numFmtId="167" fontId="16" fillId="2" borderId="0" xfId="3" applyNumberFormat="1" applyFont="1" applyFill="1"/>
    <xf numFmtId="167" fontId="17" fillId="2" borderId="1" xfId="3" applyNumberFormat="1" applyFont="1" applyFill="1" applyBorder="1"/>
    <xf numFmtId="4" fontId="17" fillId="2" borderId="1" xfId="3" applyNumberFormat="1" applyFont="1" applyFill="1" applyBorder="1" applyAlignment="1">
      <alignment horizontal="right"/>
    </xf>
    <xf numFmtId="3" fontId="16" fillId="2" borderId="1" xfId="3" applyNumberFormat="1" applyFont="1" applyFill="1" applyBorder="1" applyAlignment="1">
      <alignment horizontal="center"/>
    </xf>
    <xf numFmtId="167" fontId="16" fillId="2" borderId="1" xfId="3" applyNumberFormat="1" applyFont="1" applyFill="1" applyBorder="1" applyAlignment="1">
      <alignment horizontal="center"/>
    </xf>
    <xf numFmtId="0" fontId="16" fillId="0" borderId="0" xfId="26" applyFont="1"/>
    <xf numFmtId="0" fontId="16" fillId="0" borderId="0" xfId="26" applyFont="1" applyFill="1"/>
    <xf numFmtId="0" fontId="17" fillId="0" borderId="0" xfId="26" applyFont="1"/>
    <xf numFmtId="0" fontId="16" fillId="0" borderId="0" xfId="26" applyFont="1" applyAlignment="1">
      <alignment horizontal="center"/>
    </xf>
    <xf numFmtId="167" fontId="16" fillId="0" borderId="0" xfId="26" applyNumberFormat="1" applyFont="1" applyFill="1" applyAlignment="1">
      <alignment horizontal="center"/>
    </xf>
    <xf numFmtId="49" fontId="16" fillId="2" borderId="0" xfId="3" applyNumberFormat="1" applyFont="1" applyFill="1"/>
    <xf numFmtId="0" fontId="73" fillId="0" borderId="0" xfId="25"/>
    <xf numFmtId="0" fontId="73" fillId="0" borderId="0" xfId="25" applyBorder="1" applyAlignment="1">
      <alignment horizontal="center" wrapText="1"/>
    </xf>
    <xf numFmtId="0" fontId="12" fillId="0" borderId="1" xfId="25" applyFont="1" applyBorder="1" applyAlignment="1">
      <alignment horizontal="center" vertical="center" wrapText="1"/>
    </xf>
    <xf numFmtId="0" fontId="12" fillId="0" borderId="1" xfId="25" applyFont="1" applyBorder="1" applyAlignment="1">
      <alignment vertical="center" wrapText="1"/>
    </xf>
    <xf numFmtId="0" fontId="53" fillId="0" borderId="1" xfId="25" applyFont="1" applyBorder="1" applyAlignment="1">
      <alignment vertical="center" wrapText="1"/>
    </xf>
    <xf numFmtId="0" fontId="53" fillId="0" borderId="1" xfId="25" applyFont="1" applyBorder="1" applyAlignment="1">
      <alignment horizontal="center" vertical="center" wrapText="1"/>
    </xf>
    <xf numFmtId="0" fontId="53" fillId="0" borderId="0" xfId="25" applyFont="1"/>
    <xf numFmtId="14" fontId="73" fillId="0" borderId="0" xfId="25" applyNumberFormat="1" applyBorder="1" applyAlignment="1">
      <alignment horizontal="center" wrapText="1"/>
    </xf>
    <xf numFmtId="4" fontId="12" fillId="0" borderId="1" xfId="25" applyNumberFormat="1" applyFont="1" applyBorder="1" applyAlignment="1">
      <alignment horizontal="center" vertical="center" wrapText="1"/>
    </xf>
    <xf numFmtId="4" fontId="53" fillId="0" borderId="1" xfId="25" applyNumberFormat="1" applyFont="1" applyBorder="1" applyAlignment="1">
      <alignment horizontal="center" vertical="center" wrapText="1"/>
    </xf>
    <xf numFmtId="0" fontId="73" fillId="2" borderId="0" xfId="25" applyFill="1"/>
    <xf numFmtId="14" fontId="73" fillId="2" borderId="0" xfId="25" applyNumberFormat="1" applyFill="1" applyBorder="1" applyAlignment="1">
      <alignment horizontal="center"/>
    </xf>
    <xf numFmtId="0" fontId="12" fillId="2" borderId="1" xfId="25" applyFont="1" applyFill="1" applyBorder="1" applyAlignment="1">
      <alignment vertical="center" wrapText="1"/>
    </xf>
    <xf numFmtId="4" fontId="12" fillId="2" borderId="1" xfId="25" applyNumberFormat="1" applyFont="1" applyFill="1" applyBorder="1" applyAlignment="1">
      <alignment horizontal="center" vertical="center" wrapText="1"/>
    </xf>
    <xf numFmtId="4" fontId="73" fillId="2" borderId="1" xfId="25" applyNumberFormat="1" applyFill="1" applyBorder="1" applyAlignment="1">
      <alignment horizontal="center"/>
    </xf>
    <xf numFmtId="4" fontId="73" fillId="2" borderId="0" xfId="25" applyNumberFormat="1" applyFill="1"/>
    <xf numFmtId="0" fontId="53" fillId="2" borderId="1" xfId="25" applyFont="1" applyFill="1" applyBorder="1" applyAlignment="1">
      <alignment vertical="center" wrapText="1"/>
    </xf>
    <xf numFmtId="0" fontId="53" fillId="2" borderId="1" xfId="25" applyFont="1" applyFill="1" applyBorder="1" applyAlignment="1">
      <alignment horizontal="center" vertical="center" wrapText="1"/>
    </xf>
    <xf numFmtId="4" fontId="53" fillId="2" borderId="1" xfId="25" applyNumberFormat="1" applyFont="1" applyFill="1" applyBorder="1" applyAlignment="1">
      <alignment horizontal="center" vertical="center" wrapText="1"/>
    </xf>
    <xf numFmtId="0" fontId="53" fillId="2" borderId="0" xfId="25" applyFont="1" applyFill="1"/>
    <xf numFmtId="0" fontId="73" fillId="0" borderId="0" xfId="25" applyBorder="1" applyAlignment="1">
      <alignment horizontal="center" wrapText="1"/>
    </xf>
    <xf numFmtId="0" fontId="18" fillId="2" borderId="0" xfId="30" applyFont="1" applyFill="1" applyAlignment="1">
      <alignment horizontal="center" vertical="center" wrapText="1"/>
    </xf>
    <xf numFmtId="0" fontId="58" fillId="2" borderId="0" xfId="30" applyFont="1" applyFill="1"/>
    <xf numFmtId="0" fontId="60" fillId="2" borderId="0" xfId="30" applyFont="1" applyFill="1"/>
    <xf numFmtId="0" fontId="18" fillId="2" borderId="0" xfId="30" applyFont="1" applyFill="1"/>
    <xf numFmtId="0" fontId="48" fillId="2" borderId="0" xfId="30" applyFont="1" applyFill="1"/>
    <xf numFmtId="14" fontId="48" fillId="2" borderId="0" xfId="30" applyNumberFormat="1" applyFont="1" applyFill="1"/>
    <xf numFmtId="0" fontId="48" fillId="2" borderId="1" xfId="30" applyFont="1" applyFill="1" applyBorder="1" applyAlignment="1">
      <alignment horizontal="center" vertical="center" wrapText="1"/>
    </xf>
    <xf numFmtId="0" fontId="48" fillId="2" borderId="1" xfId="30" applyFont="1" applyFill="1" applyBorder="1" applyAlignment="1">
      <alignment vertical="center" wrapText="1"/>
    </xf>
    <xf numFmtId="167" fontId="48" fillId="2" borderId="1" xfId="30" applyNumberFormat="1" applyFont="1" applyFill="1" applyBorder="1" applyAlignment="1">
      <alignment horizontal="center" vertical="center" wrapText="1"/>
    </xf>
    <xf numFmtId="0" fontId="48" fillId="2" borderId="1" xfId="30" applyFont="1" applyFill="1" applyBorder="1" applyAlignment="1">
      <alignment horizontal="left" vertical="center" wrapText="1"/>
    </xf>
    <xf numFmtId="0" fontId="48" fillId="2" borderId="0" xfId="30" applyFont="1" applyFill="1" applyAlignment="1">
      <alignment horizontal="center" vertical="center"/>
    </xf>
    <xf numFmtId="0" fontId="45" fillId="2" borderId="1" xfId="30" applyFont="1" applyFill="1" applyBorder="1" applyAlignment="1">
      <alignment horizontal="center" vertical="center" wrapText="1"/>
    </xf>
    <xf numFmtId="0" fontId="45" fillId="2" borderId="1" xfId="30" applyFont="1" applyFill="1" applyBorder="1" applyAlignment="1">
      <alignment vertical="center" wrapText="1"/>
    </xf>
    <xf numFmtId="167" fontId="45" fillId="2" borderId="1" xfId="30" applyNumberFormat="1" applyFont="1" applyFill="1" applyBorder="1" applyAlignment="1">
      <alignment horizontal="center" vertical="center" wrapText="1"/>
    </xf>
    <xf numFmtId="4" fontId="45" fillId="2" borderId="1" xfId="30" applyNumberFormat="1" applyFont="1" applyFill="1" applyBorder="1" applyAlignment="1">
      <alignment horizontal="center" vertical="center" wrapText="1"/>
    </xf>
    <xf numFmtId="0" fontId="63" fillId="2" borderId="0" xfId="30" applyFont="1" applyFill="1"/>
    <xf numFmtId="0" fontId="18" fillId="2" borderId="0" xfId="30" applyFont="1" applyFill="1" applyAlignment="1">
      <alignment vertical="center"/>
    </xf>
    <xf numFmtId="0" fontId="16" fillId="2" borderId="1" xfId="31" applyFont="1" applyFill="1" applyBorder="1" applyAlignment="1">
      <alignment vertical="center" wrapText="1"/>
    </xf>
    <xf numFmtId="0" fontId="16" fillId="2" borderId="0" xfId="31" applyFont="1" applyFill="1"/>
    <xf numFmtId="0" fontId="74" fillId="0" borderId="0" xfId="25" applyFont="1" applyFill="1" applyBorder="1" applyAlignment="1">
      <alignment vertical="center" wrapText="1"/>
    </xf>
    <xf numFmtId="0" fontId="77" fillId="0" borderId="0" xfId="25" applyFont="1" applyFill="1" applyBorder="1" applyAlignment="1">
      <alignment vertical="center" wrapText="1"/>
    </xf>
    <xf numFmtId="0" fontId="74" fillId="0" borderId="1" xfId="25" applyFont="1" applyFill="1" applyBorder="1" applyAlignment="1">
      <alignment vertical="center" wrapText="1"/>
    </xf>
    <xf numFmtId="4" fontId="74" fillId="0" borderId="1" xfId="25" applyNumberFormat="1" applyFont="1" applyFill="1" applyBorder="1" applyAlignment="1">
      <alignment horizontal="center" vertical="center" wrapText="1"/>
    </xf>
    <xf numFmtId="4" fontId="76" fillId="0" borderId="1" xfId="25" applyNumberFormat="1" applyFont="1" applyFill="1" applyBorder="1" applyAlignment="1">
      <alignment horizontal="center" vertical="center" wrapText="1"/>
    </xf>
    <xf numFmtId="0" fontId="75" fillId="0" borderId="1" xfId="25" applyFont="1" applyFill="1" applyBorder="1" applyAlignment="1">
      <alignment horizontal="center" vertical="center" wrapText="1"/>
    </xf>
    <xf numFmtId="0" fontId="75" fillId="0" borderId="1" xfId="25" applyFont="1" applyFill="1" applyBorder="1" applyAlignment="1">
      <alignment vertical="center" wrapText="1"/>
    </xf>
    <xf numFmtId="16" fontId="75" fillId="0" borderId="1" xfId="25" applyNumberFormat="1" applyFont="1" applyFill="1" applyBorder="1" applyAlignment="1">
      <alignment horizontal="center" vertical="center" wrapText="1"/>
    </xf>
    <xf numFmtId="4" fontId="77" fillId="0" borderId="1" xfId="25" applyNumberFormat="1" applyFont="1" applyFill="1" applyBorder="1" applyAlignment="1">
      <alignment horizontal="center" vertical="center" wrapText="1"/>
    </xf>
    <xf numFmtId="0" fontId="74" fillId="0" borderId="0" xfId="25" applyFont="1" applyFill="1" applyBorder="1" applyAlignment="1">
      <alignment horizontal="center" vertical="center" wrapText="1"/>
    </xf>
    <xf numFmtId="0" fontId="10" fillId="0" borderId="1" xfId="25" applyFont="1" applyBorder="1" applyAlignment="1">
      <alignment horizontal="center" vertical="center" wrapText="1"/>
    </xf>
    <xf numFmtId="0" fontId="10" fillId="0" borderId="1" xfId="25" applyFont="1" applyBorder="1" applyAlignment="1">
      <alignment vertical="center" wrapText="1"/>
    </xf>
    <xf numFmtId="0" fontId="48" fillId="0" borderId="0" xfId="25" applyFont="1"/>
    <xf numFmtId="0" fontId="48" fillId="0" borderId="0" xfId="25" applyFont="1" applyBorder="1" applyAlignment="1">
      <alignment horizontal="center" wrapText="1"/>
    </xf>
    <xf numFmtId="14" fontId="48" fillId="0" borderId="0" xfId="25" applyNumberFormat="1" applyFont="1" applyBorder="1" applyAlignment="1">
      <alignment horizontal="center" wrapText="1"/>
    </xf>
    <xf numFmtId="0" fontId="48" fillId="0" borderId="1" xfId="25" applyFont="1" applyBorder="1" applyAlignment="1">
      <alignment horizontal="center" vertical="center" wrapText="1"/>
    </xf>
    <xf numFmtId="0" fontId="48" fillId="0" borderId="1" xfId="25" applyFont="1" applyBorder="1" applyAlignment="1">
      <alignment vertical="center" wrapText="1"/>
    </xf>
    <xf numFmtId="4" fontId="48" fillId="0" borderId="1" xfId="25" applyNumberFormat="1" applyFont="1" applyBorder="1" applyAlignment="1">
      <alignment horizontal="center" vertical="center" wrapText="1"/>
    </xf>
    <xf numFmtId="0" fontId="45" fillId="0" borderId="1" xfId="25" applyFont="1" applyBorder="1" applyAlignment="1">
      <alignment vertical="center" wrapText="1"/>
    </xf>
    <xf numFmtId="0" fontId="45" fillId="0" borderId="1" xfId="25" applyFont="1" applyBorder="1" applyAlignment="1">
      <alignment horizontal="center" vertical="center" wrapText="1"/>
    </xf>
    <xf numFmtId="4" fontId="45" fillId="0" borderId="1" xfId="25" applyNumberFormat="1" applyFont="1" applyBorder="1" applyAlignment="1">
      <alignment horizontal="center" vertical="center" wrapText="1"/>
    </xf>
    <xf numFmtId="0" fontId="45" fillId="0" borderId="0" xfId="25" applyFont="1"/>
    <xf numFmtId="0" fontId="48" fillId="0" borderId="0" xfId="25" applyFont="1" applyAlignment="1">
      <alignment horizontal="center"/>
    </xf>
    <xf numFmtId="0" fontId="15" fillId="2" borderId="0" xfId="3" applyFill="1"/>
    <xf numFmtId="0" fontId="48" fillId="0" borderId="0" xfId="25" applyFont="1" applyBorder="1" applyAlignment="1">
      <alignment horizontal="center" wrapText="1"/>
    </xf>
    <xf numFmtId="0" fontId="48" fillId="0" borderId="1" xfId="25" applyFont="1" applyBorder="1" applyAlignment="1">
      <alignment horizontal="center" vertical="center" wrapText="1"/>
    </xf>
    <xf numFmtId="0" fontId="73" fillId="0" borderId="0" xfId="25" applyBorder="1" applyAlignment="1">
      <alignment horizontal="center" wrapText="1"/>
    </xf>
    <xf numFmtId="0" fontId="10" fillId="0" borderId="1" xfId="25" applyFont="1" applyBorder="1" applyAlignment="1">
      <alignment horizontal="center" vertical="center" wrapText="1"/>
    </xf>
    <xf numFmtId="0" fontId="73" fillId="2" borderId="0" xfId="25" applyFill="1" applyBorder="1" applyAlignment="1">
      <alignment horizontal="center"/>
    </xf>
    <xf numFmtId="0" fontId="12" fillId="2" borderId="1" xfId="25" applyFont="1" applyFill="1" applyBorder="1" applyAlignment="1">
      <alignment horizontal="center" vertical="center" wrapText="1"/>
    </xf>
    <xf numFmtId="0" fontId="9" fillId="2" borderId="1" xfId="25" applyFont="1" applyFill="1" applyBorder="1" applyAlignment="1">
      <alignment vertical="center" wrapText="1"/>
    </xf>
    <xf numFmtId="0" fontId="65" fillId="2" borderId="0" xfId="31" applyNumberFormat="1" applyFont="1" applyFill="1" applyBorder="1" applyAlignment="1" applyProtection="1">
      <alignment vertical="center"/>
    </xf>
    <xf numFmtId="0" fontId="66" fillId="2" borderId="0" xfId="31" applyNumberFormat="1" applyFont="1" applyFill="1" applyBorder="1" applyAlignment="1" applyProtection="1">
      <alignment vertical="top" wrapText="1"/>
    </xf>
    <xf numFmtId="0" fontId="66" fillId="2" borderId="0" xfId="31" applyNumberFormat="1" applyFont="1" applyFill="1" applyBorder="1" applyAlignment="1" applyProtection="1">
      <alignment horizontal="center" vertical="center"/>
    </xf>
    <xf numFmtId="4" fontId="66" fillId="2" borderId="0" xfId="31" applyNumberFormat="1" applyFont="1" applyFill="1" applyBorder="1" applyAlignment="1" applyProtection="1">
      <alignment vertical="top"/>
    </xf>
    <xf numFmtId="0" fontId="66" fillId="2" borderId="0" xfId="31" applyNumberFormat="1" applyFont="1" applyFill="1" applyBorder="1" applyAlignment="1" applyProtection="1">
      <alignment vertical="top"/>
    </xf>
    <xf numFmtId="0" fontId="66" fillId="2" borderId="0" xfId="31" applyNumberFormat="1" applyFont="1" applyFill="1" applyBorder="1" applyAlignment="1" applyProtection="1">
      <alignment horizontal="center" vertical="center" wrapText="1"/>
    </xf>
    <xf numFmtId="0" fontId="71" fillId="2" borderId="1" xfId="31" applyNumberFormat="1" applyFont="1" applyFill="1" applyBorder="1" applyAlignment="1" applyProtection="1">
      <alignment horizontal="left" vertical="center" indent="1"/>
    </xf>
    <xf numFmtId="0" fontId="69" fillId="2" borderId="1" xfId="31" applyNumberFormat="1" applyFont="1" applyFill="1" applyBorder="1" applyAlignment="1" applyProtection="1">
      <alignment vertical="top" wrapText="1"/>
    </xf>
    <xf numFmtId="0" fontId="71" fillId="2" borderId="1" xfId="31" applyNumberFormat="1" applyFont="1" applyFill="1" applyBorder="1" applyAlignment="1" applyProtection="1">
      <alignment horizontal="center" vertical="center"/>
    </xf>
    <xf numFmtId="4" fontId="71" fillId="2" borderId="1" xfId="31" applyNumberFormat="1" applyFont="1" applyFill="1" applyBorder="1" applyAlignment="1" applyProtection="1">
      <alignment vertical="top"/>
    </xf>
    <xf numFmtId="4" fontId="113" fillId="0" borderId="1" xfId="31" applyNumberFormat="1" applyFont="1" applyFill="1" applyBorder="1" applyAlignment="1" applyProtection="1">
      <alignment vertical="top"/>
    </xf>
    <xf numFmtId="0" fontId="71" fillId="2" borderId="0" xfId="31" applyNumberFormat="1" applyFont="1" applyFill="1" applyBorder="1" applyAlignment="1" applyProtection="1">
      <alignment vertical="top"/>
    </xf>
    <xf numFmtId="0" fontId="66" fillId="2" borderId="1" xfId="31" applyNumberFormat="1" applyFont="1" applyFill="1" applyBorder="1" applyAlignment="1" applyProtection="1">
      <alignment horizontal="left" vertical="center" indent="1"/>
    </xf>
    <xf numFmtId="0" fontId="66" fillId="2" borderId="1" xfId="31" applyNumberFormat="1" applyFont="1" applyFill="1" applyBorder="1" applyAlignment="1" applyProtection="1">
      <alignment vertical="top" wrapText="1"/>
    </xf>
    <xf numFmtId="0" fontId="66" fillId="2" borderId="1" xfId="31" applyNumberFormat="1" applyFont="1" applyFill="1" applyBorder="1" applyAlignment="1" applyProtection="1">
      <alignment horizontal="center" vertical="center"/>
    </xf>
    <xf numFmtId="4" fontId="66" fillId="2" borderId="1" xfId="31" applyNumberFormat="1" applyFont="1" applyFill="1" applyBorder="1" applyAlignment="1" applyProtection="1">
      <alignment vertical="top"/>
    </xf>
    <xf numFmtId="0" fontId="114" fillId="2" borderId="1" xfId="31" applyNumberFormat="1" applyFont="1" applyFill="1" applyBorder="1" applyAlignment="1" applyProtection="1">
      <alignment horizontal="left" vertical="center" indent="1"/>
    </xf>
    <xf numFmtId="0" fontId="114" fillId="2" borderId="1" xfId="31" applyNumberFormat="1" applyFont="1" applyFill="1" applyBorder="1" applyAlignment="1" applyProtection="1">
      <alignment vertical="top" wrapText="1"/>
    </xf>
    <xf numFmtId="0" fontId="114" fillId="2" borderId="1" xfId="31" applyNumberFormat="1" applyFont="1" applyFill="1" applyBorder="1" applyAlignment="1" applyProtection="1">
      <alignment horizontal="center" vertical="center"/>
    </xf>
    <xf numFmtId="4" fontId="114" fillId="2" borderId="1" xfId="31" applyNumberFormat="1" applyFont="1" applyFill="1" applyBorder="1" applyAlignment="1" applyProtection="1">
      <alignment vertical="top"/>
    </xf>
    <xf numFmtId="0" fontId="117" fillId="2" borderId="1" xfId="31" applyNumberFormat="1" applyFont="1" applyFill="1" applyBorder="1" applyAlignment="1" applyProtection="1">
      <alignment horizontal="left" vertical="center" indent="1"/>
    </xf>
    <xf numFmtId="0" fontId="117" fillId="2" borderId="1" xfId="31" applyNumberFormat="1" applyFont="1" applyFill="1" applyBorder="1" applyAlignment="1" applyProtection="1">
      <alignment vertical="top" wrapText="1"/>
    </xf>
    <xf numFmtId="4" fontId="113" fillId="2" borderId="1" xfId="31" applyNumberFormat="1" applyFont="1" applyFill="1" applyBorder="1" applyAlignment="1" applyProtection="1">
      <alignment vertical="top"/>
    </xf>
    <xf numFmtId="0" fontId="62" fillId="2" borderId="1" xfId="31" applyNumberFormat="1" applyFont="1" applyFill="1" applyBorder="1" applyAlignment="1" applyProtection="1">
      <alignment vertical="top" wrapText="1"/>
    </xf>
    <xf numFmtId="0" fontId="113" fillId="2" borderId="1" xfId="31" applyNumberFormat="1" applyFont="1" applyFill="1" applyBorder="1" applyAlignment="1" applyProtection="1">
      <alignment vertical="top"/>
    </xf>
    <xf numFmtId="0" fontId="113" fillId="2" borderId="1" xfId="31" applyNumberFormat="1" applyFont="1" applyFill="1" applyBorder="1" applyAlignment="1" applyProtection="1">
      <alignment vertical="top" wrapText="1"/>
    </xf>
    <xf numFmtId="4" fontId="113" fillId="2" borderId="1" xfId="31" applyNumberFormat="1" applyFont="1" applyFill="1" applyBorder="1" applyAlignment="1" applyProtection="1">
      <alignment vertical="top" wrapText="1"/>
    </xf>
    <xf numFmtId="4" fontId="117" fillId="0" borderId="1" xfId="31" applyNumberFormat="1" applyFont="1" applyFill="1" applyBorder="1" applyAlignment="1" applyProtection="1">
      <alignment vertical="top"/>
    </xf>
    <xf numFmtId="0" fontId="70" fillId="2" borderId="0" xfId="31" applyNumberFormat="1" applyFont="1" applyFill="1" applyBorder="1" applyAlignment="1" applyProtection="1">
      <alignment vertical="top"/>
    </xf>
    <xf numFmtId="0" fontId="70" fillId="2" borderId="0" xfId="31" applyNumberFormat="1" applyFont="1" applyFill="1" applyBorder="1" applyAlignment="1" applyProtection="1">
      <alignment vertical="center"/>
    </xf>
    <xf numFmtId="0" fontId="60" fillId="2" borderId="0" xfId="31" applyFont="1" applyFill="1" applyAlignment="1">
      <alignment wrapText="1"/>
    </xf>
    <xf numFmtId="0" fontId="47" fillId="2" borderId="0" xfId="31" applyFont="1" applyFill="1" applyAlignment="1">
      <alignment horizontal="center" vertical="center" wrapText="1"/>
    </xf>
    <xf numFmtId="2" fontId="47" fillId="2" borderId="0" xfId="31" applyNumberFormat="1" applyFont="1" applyFill="1" applyAlignment="1">
      <alignment horizontal="center" vertical="center" wrapText="1"/>
    </xf>
    <xf numFmtId="2" fontId="70" fillId="2" borderId="0" xfId="31" applyNumberFormat="1" applyFont="1" applyFill="1" applyBorder="1" applyAlignment="1" applyProtection="1">
      <alignment vertical="top"/>
    </xf>
    <xf numFmtId="2" fontId="70" fillId="2" borderId="0" xfId="31" applyNumberFormat="1" applyFont="1" applyFill="1" applyBorder="1" applyAlignment="1" applyProtection="1">
      <alignment horizontal="right" vertical="top"/>
    </xf>
    <xf numFmtId="0" fontId="119" fillId="2" borderId="0" xfId="31" applyNumberFormat="1" applyFont="1" applyFill="1" applyBorder="1" applyAlignment="1" applyProtection="1">
      <alignment horizontal="right" vertical="top"/>
    </xf>
    <xf numFmtId="2" fontId="86" fillId="2" borderId="0" xfId="31" applyNumberFormat="1" applyFont="1" applyFill="1" applyBorder="1" applyAlignment="1" applyProtection="1">
      <alignment vertical="top"/>
    </xf>
    <xf numFmtId="0" fontId="70" fillId="2" borderId="0" xfId="31" applyNumberFormat="1" applyFont="1" applyFill="1" applyBorder="1" applyAlignment="1" applyProtection="1">
      <alignment horizontal="center" vertical="center"/>
    </xf>
    <xf numFmtId="0" fontId="60" fillId="2" borderId="0" xfId="31" applyFont="1" applyFill="1" applyAlignment="1"/>
    <xf numFmtId="0" fontId="66" fillId="2" borderId="0" xfId="31" applyNumberFormat="1" applyFont="1" applyFill="1" applyBorder="1" applyAlignment="1" applyProtection="1">
      <alignment vertical="center"/>
    </xf>
    <xf numFmtId="0" fontId="70" fillId="2" borderId="0" xfId="31" applyNumberFormat="1" applyFont="1" applyFill="1" applyBorder="1" applyAlignment="1" applyProtection="1">
      <alignment vertical="top" wrapText="1"/>
    </xf>
    <xf numFmtId="0" fontId="110" fillId="0" borderId="0" xfId="24" applyFont="1" applyFill="1" applyAlignment="1">
      <alignment horizontal="center" wrapText="1"/>
    </xf>
    <xf numFmtId="0" fontId="88" fillId="0" borderId="0" xfId="24" applyFont="1" applyFill="1" applyAlignment="1">
      <alignment horizontal="center" wrapText="1"/>
    </xf>
    <xf numFmtId="4" fontId="88" fillId="0" borderId="0" xfId="24" applyNumberFormat="1" applyFont="1" applyFill="1" applyAlignment="1">
      <alignment wrapText="1"/>
    </xf>
    <xf numFmtId="0" fontId="88" fillId="0" borderId="0" xfId="24" applyFont="1" applyFill="1" applyAlignment="1">
      <alignment wrapText="1"/>
    </xf>
    <xf numFmtId="0" fontId="108" fillId="0" borderId="0" xfId="24" applyFont="1" applyFill="1" applyBorder="1" applyAlignment="1">
      <alignment vertical="center" wrapText="1"/>
    </xf>
    <xf numFmtId="0" fontId="110" fillId="0" borderId="0" xfId="24" applyFont="1" applyFill="1" applyAlignment="1">
      <alignment wrapText="1"/>
    </xf>
    <xf numFmtId="0" fontId="109" fillId="0" borderId="0" xfId="24" applyFont="1" applyFill="1" applyAlignment="1">
      <alignment horizontal="center" wrapText="1"/>
    </xf>
    <xf numFmtId="0" fontId="109" fillId="0" borderId="0" xfId="24" applyFont="1" applyFill="1" applyAlignment="1">
      <alignment wrapText="1"/>
    </xf>
    <xf numFmtId="4" fontId="110" fillId="0" borderId="1" xfId="24" applyNumberFormat="1" applyFont="1" applyFill="1" applyBorder="1" applyAlignment="1">
      <alignment horizontal="center" vertical="center" wrapText="1"/>
    </xf>
    <xf numFmtId="3" fontId="110" fillId="0" borderId="1" xfId="24" applyNumberFormat="1" applyFont="1" applyFill="1" applyBorder="1" applyAlignment="1">
      <alignment horizontal="center" vertical="center" wrapText="1"/>
    </xf>
    <xf numFmtId="0" fontId="110" fillId="0" borderId="1" xfId="24" applyFont="1" applyFill="1" applyBorder="1" applyAlignment="1">
      <alignment horizontal="center" wrapText="1"/>
    </xf>
    <xf numFmtId="0" fontId="120" fillId="0" borderId="1" xfId="24" applyFont="1" applyFill="1" applyBorder="1" applyAlignment="1">
      <alignment horizontal="center" wrapText="1"/>
    </xf>
    <xf numFmtId="2" fontId="120" fillId="0" borderId="1" xfId="24" applyNumberFormat="1" applyFont="1" applyFill="1" applyBorder="1" applyAlignment="1">
      <alignment horizontal="right" wrapText="1"/>
    </xf>
    <xf numFmtId="2" fontId="120" fillId="2" borderId="1" xfId="24" applyNumberFormat="1" applyFont="1" applyFill="1" applyBorder="1" applyAlignment="1">
      <alignment horizontal="right" wrapText="1"/>
    </xf>
    <xf numFmtId="2" fontId="128" fillId="2" borderId="1" xfId="24" applyNumberFormat="1" applyFont="1" applyFill="1" applyBorder="1" applyAlignment="1">
      <alignment horizontal="right" wrapText="1"/>
    </xf>
    <xf numFmtId="0" fontId="110" fillId="0" borderId="1" xfId="24" applyFont="1" applyFill="1" applyBorder="1" applyAlignment="1">
      <alignment horizontal="left" vertical="center" wrapText="1"/>
    </xf>
    <xf numFmtId="2" fontId="128" fillId="0" borderId="1" xfId="24" applyNumberFormat="1" applyFont="1" applyFill="1" applyBorder="1" applyAlignment="1">
      <alignment horizontal="right" wrapText="1"/>
    </xf>
    <xf numFmtId="2" fontId="117" fillId="2" borderId="1" xfId="24" applyNumberFormat="1" applyFont="1" applyFill="1" applyBorder="1" applyAlignment="1">
      <alignment horizontal="right" wrapText="1"/>
    </xf>
    <xf numFmtId="0" fontId="110" fillId="0" borderId="1" xfId="24" applyFont="1" applyFill="1" applyBorder="1" applyAlignment="1">
      <alignment horizontal="left" wrapText="1"/>
    </xf>
    <xf numFmtId="0" fontId="110" fillId="0" borderId="1" xfId="24" applyFont="1" applyFill="1" applyBorder="1" applyAlignment="1">
      <alignment wrapText="1"/>
    </xf>
    <xf numFmtId="0" fontId="110" fillId="0" borderId="0" xfId="24" applyFont="1" applyFill="1" applyBorder="1" applyAlignment="1">
      <alignment horizontal="center" wrapText="1"/>
    </xf>
    <xf numFmtId="4" fontId="110" fillId="0" borderId="0" xfId="24" applyNumberFormat="1" applyFont="1" applyFill="1" applyBorder="1" applyAlignment="1">
      <alignment horizontal="center" wrapText="1"/>
    </xf>
    <xf numFmtId="169" fontId="110" fillId="0" borderId="0" xfId="24" applyNumberFormat="1" applyFont="1" applyFill="1" applyBorder="1" applyAlignment="1">
      <alignment horizontal="center" vertical="center" wrapText="1"/>
    </xf>
    <xf numFmtId="2" fontId="110" fillId="0" borderId="0" xfId="24" applyNumberFormat="1" applyFont="1" applyFill="1" applyBorder="1" applyAlignment="1">
      <alignment horizontal="center" vertical="center" wrapText="1"/>
    </xf>
    <xf numFmtId="4" fontId="110" fillId="0" borderId="0" xfId="24" applyNumberFormat="1" applyFont="1" applyFill="1" applyBorder="1" applyAlignment="1">
      <alignment wrapText="1"/>
    </xf>
    <xf numFmtId="169" fontId="110" fillId="0" borderId="0" xfId="24" applyNumberFormat="1" applyFont="1" applyFill="1" applyBorder="1" applyAlignment="1">
      <alignment wrapText="1"/>
    </xf>
    <xf numFmtId="0" fontId="110" fillId="0" borderId="0" xfId="24" applyFont="1" applyFill="1" applyBorder="1" applyAlignment="1">
      <alignment wrapText="1"/>
    </xf>
    <xf numFmtId="0" fontId="47" fillId="0" borderId="0" xfId="31" applyFont="1" applyFill="1" applyAlignment="1">
      <alignment vertical="center"/>
    </xf>
    <xf numFmtId="0" fontId="47" fillId="0" borderId="0" xfId="31" applyFont="1" applyFill="1" applyAlignment="1">
      <alignment vertical="center" wrapText="1"/>
    </xf>
    <xf numFmtId="0" fontId="47" fillId="0" borderId="0" xfId="31" applyFont="1" applyFill="1" applyAlignment="1">
      <alignment horizontal="left" vertical="center" wrapText="1"/>
    </xf>
    <xf numFmtId="0" fontId="43" fillId="0" borderId="0" xfId="31" applyFont="1" applyFill="1" applyAlignment="1">
      <alignment horizontal="center" vertical="center" wrapText="1"/>
    </xf>
    <xf numFmtId="4" fontId="43" fillId="0" borderId="0" xfId="31" applyNumberFormat="1" applyFont="1" applyFill="1" applyAlignment="1">
      <alignment horizontal="center" vertical="center" wrapText="1"/>
    </xf>
    <xf numFmtId="0" fontId="43" fillId="0" borderId="0" xfId="31" applyFont="1" applyFill="1" applyAlignment="1">
      <alignment vertical="center"/>
    </xf>
    <xf numFmtId="0" fontId="43" fillId="0" borderId="0" xfId="31" applyFont="1" applyFill="1" applyAlignment="1">
      <alignment vertical="center" wrapText="1"/>
    </xf>
    <xf numFmtId="2" fontId="88" fillId="0" borderId="0" xfId="24" applyNumberFormat="1" applyFont="1" applyFill="1" applyAlignment="1">
      <alignment horizontal="center" wrapText="1"/>
    </xf>
    <xf numFmtId="14" fontId="25" fillId="0" borderId="0" xfId="24" applyNumberFormat="1" applyFont="1" applyFill="1" applyBorder="1" applyAlignment="1">
      <alignment vertical="center" wrapText="1"/>
    </xf>
    <xf numFmtId="167" fontId="16" fillId="0" borderId="0" xfId="29" applyNumberFormat="1" applyFont="1" applyFill="1" applyAlignment="1">
      <alignment horizontal="left" vertical="center" wrapText="1"/>
    </xf>
    <xf numFmtId="0" fontId="38" fillId="0" borderId="0" xfId="29" applyFont="1" applyFill="1"/>
    <xf numFmtId="0" fontId="38" fillId="0" borderId="0" xfId="29" applyFont="1"/>
    <xf numFmtId="167" fontId="38" fillId="0" borderId="0" xfId="29" applyNumberFormat="1" applyFont="1" applyFill="1"/>
    <xf numFmtId="0" fontId="17" fillId="0" borderId="0" xfId="29" applyFont="1" applyFill="1"/>
    <xf numFmtId="167" fontId="16" fillId="0" borderId="1" xfId="26" applyNumberFormat="1" applyFont="1" applyFill="1" applyBorder="1" applyAlignment="1">
      <alignment horizontal="right" vertical="center" wrapText="1"/>
    </xf>
    <xf numFmtId="0" fontId="16" fillId="0" borderId="1" xfId="29" applyFont="1" applyFill="1" applyBorder="1"/>
    <xf numFmtId="0" fontId="16" fillId="0" borderId="0" xfId="29" applyFont="1" applyFill="1"/>
    <xf numFmtId="0" fontId="16" fillId="0" borderId="1" xfId="26" applyFont="1" applyFill="1" applyBorder="1" applyAlignment="1">
      <alignment horizontal="left" vertical="center" wrapText="1"/>
    </xf>
    <xf numFmtId="0" fontId="17" fillId="5" borderId="1" xfId="29" applyFont="1" applyFill="1" applyBorder="1" applyAlignment="1">
      <alignment horizontal="center" vertical="center" wrapText="1"/>
    </xf>
    <xf numFmtId="0" fontId="16" fillId="0" borderId="1" xfId="26" applyFont="1" applyFill="1" applyBorder="1" applyAlignment="1">
      <alignment vertical="center" wrapText="1"/>
    </xf>
    <xf numFmtId="0" fontId="17" fillId="0" borderId="1" xfId="29" applyFont="1" applyFill="1" applyBorder="1"/>
    <xf numFmtId="167" fontId="17" fillId="5" borderId="1" xfId="29" applyNumberFormat="1" applyFont="1" applyFill="1" applyBorder="1" applyAlignment="1">
      <alignment horizontal="center" vertical="center" wrapText="1"/>
    </xf>
    <xf numFmtId="167" fontId="16" fillId="0" borderId="1" xfId="29" applyNumberFormat="1" applyFont="1" applyBorder="1" applyAlignment="1">
      <alignment horizontal="center" vertical="center" wrapText="1"/>
    </xf>
    <xf numFmtId="0" fontId="38" fillId="0" borderId="0" xfId="29" applyFont="1" applyAlignment="1">
      <alignment horizontal="center"/>
    </xf>
    <xf numFmtId="0" fontId="16" fillId="0" borderId="0" xfId="29" applyFont="1"/>
    <xf numFmtId="0" fontId="17" fillId="13" borderId="0" xfId="29" applyFont="1" applyFill="1"/>
    <xf numFmtId="167" fontId="16" fillId="0" borderId="0" xfId="29" applyNumberFormat="1" applyFont="1" applyAlignment="1">
      <alignment horizontal="left" vertical="center" wrapText="1"/>
    </xf>
    <xf numFmtId="0" fontId="8" fillId="2" borderId="1" xfId="25" applyFont="1" applyFill="1" applyBorder="1" applyAlignment="1">
      <alignment vertical="center" wrapText="1"/>
    </xf>
    <xf numFmtId="0" fontId="75" fillId="15" borderId="1" xfId="25" applyFont="1" applyFill="1" applyBorder="1" applyAlignment="1">
      <alignment horizontal="center" vertical="center" wrapText="1"/>
    </xf>
    <xf numFmtId="0" fontId="75" fillId="15" borderId="1" xfId="25" applyFont="1" applyFill="1" applyBorder="1" applyAlignment="1">
      <alignment vertical="center" wrapText="1"/>
    </xf>
    <xf numFmtId="4" fontId="74" fillId="15" borderId="1" xfId="25" applyNumberFormat="1" applyFont="1" applyFill="1" applyBorder="1" applyAlignment="1">
      <alignment horizontal="center" vertical="center" wrapText="1"/>
    </xf>
    <xf numFmtId="4" fontId="76" fillId="15" borderId="1" xfId="25" applyNumberFormat="1" applyFont="1" applyFill="1" applyBorder="1" applyAlignment="1">
      <alignment horizontal="center" vertical="center" wrapText="1"/>
    </xf>
    <xf numFmtId="0" fontId="74" fillId="15" borderId="1" xfId="25" applyFont="1" applyFill="1" applyBorder="1" applyAlignment="1">
      <alignment vertical="center" wrapText="1"/>
    </xf>
    <xf numFmtId="4" fontId="91" fillId="0" borderId="1" xfId="25" applyNumberFormat="1" applyFont="1" applyFill="1" applyBorder="1" applyAlignment="1">
      <alignment horizontal="center" vertical="center" wrapText="1"/>
    </xf>
    <xf numFmtId="181" fontId="74" fillId="0" borderId="0" xfId="25" applyNumberFormat="1" applyFont="1" applyFill="1" applyBorder="1" applyAlignment="1">
      <alignment vertical="center" wrapText="1"/>
    </xf>
    <xf numFmtId="0" fontId="138" fillId="0" borderId="0" xfId="25" applyFont="1" applyFill="1" applyBorder="1" applyAlignment="1">
      <alignment vertical="center" wrapText="1"/>
    </xf>
    <xf numFmtId="181" fontId="138" fillId="0" borderId="0" xfId="25" applyNumberFormat="1" applyFont="1" applyFill="1" applyBorder="1" applyAlignment="1">
      <alignment vertical="center" wrapText="1"/>
    </xf>
    <xf numFmtId="181" fontId="77" fillId="0" borderId="0" xfId="25" applyNumberFormat="1" applyFont="1" applyFill="1" applyBorder="1" applyAlignment="1">
      <alignment vertical="center" wrapText="1"/>
    </xf>
    <xf numFmtId="0" fontId="126" fillId="0" borderId="0" xfId="25" applyFont="1"/>
    <xf numFmtId="0" fontId="126" fillId="0" borderId="1" xfId="25" applyFont="1" applyBorder="1" applyAlignment="1">
      <alignment horizontal="center" vertical="center" wrapText="1"/>
    </xf>
    <xf numFmtId="0" fontId="126" fillId="0" borderId="1" xfId="25" applyFont="1" applyBorder="1" applyAlignment="1">
      <alignment vertical="center" wrapText="1"/>
    </xf>
    <xf numFmtId="0" fontId="126" fillId="0" borderId="1" xfId="25" applyFont="1" applyBorder="1" applyAlignment="1">
      <alignment horizontal="center" vertical="center"/>
    </xf>
    <xf numFmtId="4" fontId="126" fillId="0" borderId="1" xfId="25" applyNumberFormat="1" applyFont="1" applyBorder="1" applyAlignment="1">
      <alignment horizontal="center" vertical="center" wrapText="1"/>
    </xf>
    <xf numFmtId="4" fontId="126" fillId="0" borderId="1" xfId="25" applyNumberFormat="1" applyFont="1" applyBorder="1" applyAlignment="1">
      <alignment horizontal="center" vertical="center"/>
    </xf>
    <xf numFmtId="0" fontId="139" fillId="0" borderId="1" xfId="25" applyFont="1" applyBorder="1" applyAlignment="1">
      <alignment vertical="center" wrapText="1"/>
    </xf>
    <xf numFmtId="0" fontId="139" fillId="0" borderId="1" xfId="25" applyFont="1" applyBorder="1" applyAlignment="1">
      <alignment horizontal="center" vertical="center" wrapText="1"/>
    </xf>
    <xf numFmtId="4" fontId="139" fillId="0" borderId="1" xfId="25" applyNumberFormat="1" applyFont="1" applyBorder="1" applyAlignment="1">
      <alignment horizontal="center" vertical="center" wrapText="1"/>
    </xf>
    <xf numFmtId="0" fontId="139" fillId="0" borderId="0" xfId="25" applyFont="1"/>
    <xf numFmtId="0" fontId="47" fillId="0" borderId="0" xfId="25" applyFont="1"/>
    <xf numFmtId="0" fontId="47" fillId="0" borderId="1" xfId="25" applyFont="1" applyBorder="1" applyAlignment="1">
      <alignment horizontal="center" vertical="center" wrapText="1"/>
    </xf>
    <xf numFmtId="0" fontId="47" fillId="0" borderId="1" xfId="25" applyFont="1" applyBorder="1" applyAlignment="1">
      <alignment vertical="center" wrapText="1"/>
    </xf>
    <xf numFmtId="4" fontId="47" fillId="0" borderId="1" xfId="25" applyNumberFormat="1" applyFont="1" applyBorder="1" applyAlignment="1">
      <alignment horizontal="center" vertical="center" wrapText="1"/>
    </xf>
    <xf numFmtId="0" fontId="47" fillId="2" borderId="1" xfId="25" applyFont="1" applyFill="1" applyBorder="1" applyAlignment="1">
      <alignment vertical="center" wrapText="1"/>
    </xf>
    <xf numFmtId="0" fontId="61" fillId="0" borderId="1" xfId="25" applyFont="1" applyBorder="1" applyAlignment="1">
      <alignment vertical="center" wrapText="1"/>
    </xf>
    <xf numFmtId="4" fontId="61" fillId="0" borderId="1" xfId="25" applyNumberFormat="1" applyFont="1" applyBorder="1" applyAlignment="1">
      <alignment horizontal="center" vertical="center" wrapText="1"/>
    </xf>
    <xf numFmtId="0" fontId="61" fillId="0" borderId="0" xfId="25" applyFont="1"/>
    <xf numFmtId="0" fontId="61" fillId="0" borderId="1" xfId="25" applyFont="1" applyBorder="1" applyAlignment="1">
      <alignment horizontal="center" vertical="center" wrapText="1"/>
    </xf>
    <xf numFmtId="0" fontId="8" fillId="0" borderId="1" xfId="25" applyFont="1" applyBorder="1" applyAlignment="1">
      <alignment horizontal="center" vertical="center" wrapText="1"/>
    </xf>
    <xf numFmtId="0" fontId="8" fillId="0" borderId="1" xfId="25" applyFont="1" applyBorder="1" applyAlignment="1">
      <alignment vertical="center" wrapText="1"/>
    </xf>
    <xf numFmtId="0" fontId="48" fillId="2" borderId="0" xfId="25" applyFont="1" applyFill="1"/>
    <xf numFmtId="0" fontId="38" fillId="2" borderId="0" xfId="25" applyFont="1" applyFill="1"/>
    <xf numFmtId="0" fontId="48" fillId="2" borderId="1" xfId="25" applyFont="1" applyFill="1" applyBorder="1" applyAlignment="1">
      <alignment horizontal="center" vertical="center" wrapText="1"/>
    </xf>
    <xf numFmtId="0" fontId="48" fillId="2" borderId="1" xfId="25" applyFont="1" applyFill="1" applyBorder="1" applyAlignment="1">
      <alignment horizontal="center" vertical="center"/>
    </xf>
    <xf numFmtId="0" fontId="48" fillId="2" borderId="0" xfId="25" applyFont="1" applyFill="1" applyAlignment="1">
      <alignment horizontal="center" vertical="center"/>
    </xf>
    <xf numFmtId="0" fontId="48" fillId="2" borderId="1" xfId="25" applyFont="1" applyFill="1" applyBorder="1"/>
    <xf numFmtId="0" fontId="48" fillId="2" borderId="1" xfId="25" applyFont="1" applyFill="1" applyBorder="1" applyAlignment="1">
      <alignment vertical="center" wrapText="1"/>
    </xf>
    <xf numFmtId="4" fontId="48" fillId="2" borderId="1" xfId="25" applyNumberFormat="1" applyFont="1" applyFill="1" applyBorder="1" applyAlignment="1">
      <alignment horizontal="center" vertical="center" wrapText="1"/>
    </xf>
    <xf numFmtId="0" fontId="134" fillId="2" borderId="0" xfId="25" applyFont="1" applyFill="1"/>
    <xf numFmtId="0" fontId="45" fillId="2" borderId="1" xfId="25" applyFont="1" applyFill="1" applyBorder="1"/>
    <xf numFmtId="0" fontId="45" fillId="2" borderId="1" xfId="25" applyFont="1" applyFill="1" applyBorder="1" applyAlignment="1">
      <alignment vertical="center" wrapText="1"/>
    </xf>
    <xf numFmtId="0" fontId="45" fillId="2" borderId="1" xfId="25" applyFont="1" applyFill="1" applyBorder="1" applyAlignment="1">
      <alignment horizontal="center" vertical="center" wrapText="1"/>
    </xf>
    <xf numFmtId="4" fontId="45" fillId="2" borderId="1" xfId="25" applyNumberFormat="1" applyFont="1" applyFill="1" applyBorder="1" applyAlignment="1">
      <alignment horizontal="center" vertical="center" wrapText="1"/>
    </xf>
    <xf numFmtId="0" fontId="45" fillId="2" borderId="0" xfId="25" applyFont="1" applyFill="1"/>
    <xf numFmtId="2" fontId="48" fillId="2" borderId="0" xfId="25" applyNumberFormat="1" applyFont="1" applyFill="1"/>
    <xf numFmtId="0" fontId="61" fillId="2" borderId="1" xfId="25" applyFont="1" applyFill="1" applyBorder="1" applyAlignment="1">
      <alignment vertical="center" wrapText="1"/>
    </xf>
    <xf numFmtId="0" fontId="8" fillId="2" borderId="1" xfId="25" applyFont="1" applyFill="1" applyBorder="1" applyAlignment="1">
      <alignment horizontal="center" vertical="center" wrapText="1"/>
    </xf>
    <xf numFmtId="4" fontId="8" fillId="2" borderId="1" xfId="25" applyNumberFormat="1" applyFont="1" applyFill="1" applyBorder="1" applyAlignment="1">
      <alignment horizontal="center" vertical="center" wrapText="1"/>
    </xf>
    <xf numFmtId="4" fontId="48" fillId="2" borderId="1" xfId="25" applyNumberFormat="1" applyFont="1" applyFill="1" applyBorder="1" applyAlignment="1">
      <alignment vertical="center" wrapText="1"/>
    </xf>
    <xf numFmtId="4" fontId="8" fillId="0" borderId="1" xfId="25" applyNumberFormat="1" applyFont="1" applyBorder="1" applyAlignment="1">
      <alignment horizontal="center" vertical="center" wrapText="1"/>
    </xf>
    <xf numFmtId="4" fontId="73" fillId="0" borderId="0" xfId="25" applyNumberFormat="1"/>
    <xf numFmtId="0" fontId="43" fillId="0" borderId="0" xfId="25" applyFont="1"/>
    <xf numFmtId="0" fontId="43" fillId="2" borderId="0" xfId="25" applyFont="1" applyFill="1"/>
    <xf numFmtId="0" fontId="43" fillId="2" borderId="1" xfId="25" applyFont="1" applyFill="1" applyBorder="1" applyAlignment="1">
      <alignment horizontal="center" vertical="center" wrapText="1"/>
    </xf>
    <xf numFmtId="0" fontId="43" fillId="0" borderId="1" xfId="25" applyFont="1" applyBorder="1" applyAlignment="1">
      <alignment horizontal="center" vertical="center" wrapText="1"/>
    </xf>
    <xf numFmtId="0" fontId="43" fillId="0" borderId="1" xfId="25" applyFont="1" applyBorder="1" applyAlignment="1">
      <alignment vertical="center" wrapText="1"/>
    </xf>
    <xf numFmtId="4" fontId="43" fillId="2" borderId="1" xfId="25" applyNumberFormat="1" applyFont="1" applyFill="1" applyBorder="1" applyAlignment="1">
      <alignment horizontal="center" vertical="center" wrapText="1"/>
    </xf>
    <xf numFmtId="4" fontId="43" fillId="0" borderId="1" xfId="25" applyNumberFormat="1" applyFont="1" applyBorder="1" applyAlignment="1">
      <alignment horizontal="center" vertical="center" wrapText="1"/>
    </xf>
    <xf numFmtId="4" fontId="43" fillId="0" borderId="1" xfId="25" applyNumberFormat="1" applyFont="1" applyBorder="1" applyAlignment="1">
      <alignment horizontal="center" vertical="center"/>
    </xf>
    <xf numFmtId="0" fontId="43" fillId="2" borderId="1" xfId="25" applyFont="1" applyFill="1" applyBorder="1" applyAlignment="1">
      <alignment vertical="center" wrapText="1"/>
    </xf>
    <xf numFmtId="0" fontId="44" fillId="0" borderId="1" xfId="25" applyFont="1" applyBorder="1" applyAlignment="1">
      <alignment vertical="center" wrapText="1"/>
    </xf>
    <xf numFmtId="4" fontId="44" fillId="0" borderId="1" xfId="25" applyNumberFormat="1" applyFont="1" applyBorder="1" applyAlignment="1">
      <alignment horizontal="center" vertical="center" wrapText="1"/>
    </xf>
    <xf numFmtId="0" fontId="44" fillId="0" borderId="0" xfId="25" applyFont="1"/>
    <xf numFmtId="0" fontId="44" fillId="0" borderId="1" xfId="25" applyFont="1" applyBorder="1" applyAlignment="1">
      <alignment horizontal="center" vertical="center" wrapText="1"/>
    </xf>
    <xf numFmtId="0" fontId="126" fillId="17" borderId="1" xfId="25" applyFont="1" applyFill="1" applyBorder="1" applyAlignment="1">
      <alignment vertical="center" wrapText="1"/>
    </xf>
    <xf numFmtId="0" fontId="126" fillId="17" borderId="1" xfId="25" applyFont="1" applyFill="1" applyBorder="1" applyAlignment="1">
      <alignment horizontal="center" vertical="center" wrapText="1"/>
    </xf>
    <xf numFmtId="4" fontId="126" fillId="17" borderId="1" xfId="25" applyNumberFormat="1" applyFont="1" applyFill="1" applyBorder="1" applyAlignment="1">
      <alignment horizontal="center" vertical="center" wrapText="1"/>
    </xf>
    <xf numFmtId="0" fontId="126" fillId="17" borderId="0" xfId="25" applyFont="1" applyFill="1"/>
    <xf numFmtId="0" fontId="43" fillId="17" borderId="1" xfId="25" applyFont="1" applyFill="1" applyBorder="1" applyAlignment="1">
      <alignment vertical="center" wrapText="1"/>
    </xf>
    <xf numFmtId="0" fontId="43" fillId="17" borderId="1" xfId="25" applyFont="1" applyFill="1" applyBorder="1" applyAlignment="1">
      <alignment horizontal="center" vertical="center" wrapText="1"/>
    </xf>
    <xf numFmtId="4" fontId="43" fillId="17" borderId="1" xfId="25" applyNumberFormat="1" applyFont="1" applyFill="1" applyBorder="1" applyAlignment="1">
      <alignment horizontal="center" vertical="center" wrapText="1"/>
    </xf>
    <xf numFmtId="0" fontId="43" fillId="17" borderId="0" xfId="25" applyFont="1" applyFill="1"/>
    <xf numFmtId="0" fontId="10" fillId="17" borderId="1" xfId="25" applyFont="1" applyFill="1" applyBorder="1" applyAlignment="1">
      <alignment vertical="center" wrapText="1"/>
    </xf>
    <xf numFmtId="0" fontId="10" fillId="17" borderId="1" xfId="25" applyFont="1" applyFill="1" applyBorder="1" applyAlignment="1">
      <alignment horizontal="center" vertical="center" wrapText="1"/>
    </xf>
    <xf numFmtId="0" fontId="73" fillId="17" borderId="0" xfId="25" applyFill="1"/>
    <xf numFmtId="4" fontId="10" fillId="0" borderId="1" xfId="25" applyNumberFormat="1" applyFont="1" applyBorder="1" applyAlignment="1">
      <alignment horizontal="center" vertical="center" wrapText="1"/>
    </xf>
    <xf numFmtId="4" fontId="10" fillId="17" borderId="1" xfId="25" applyNumberFormat="1" applyFont="1" applyFill="1" applyBorder="1" applyAlignment="1">
      <alignment horizontal="center" vertical="center" wrapText="1"/>
    </xf>
    <xf numFmtId="4" fontId="10" fillId="2" borderId="1" xfId="25" applyNumberFormat="1" applyFont="1" applyFill="1" applyBorder="1" applyAlignment="1">
      <alignment horizontal="center" vertical="center" wrapText="1"/>
    </xf>
    <xf numFmtId="0" fontId="73" fillId="0" borderId="1" xfId="25" applyBorder="1"/>
    <xf numFmtId="0" fontId="73" fillId="0" borderId="1" xfId="25" applyBorder="1" applyAlignment="1">
      <alignment horizontal="center"/>
    </xf>
    <xf numFmtId="0" fontId="73" fillId="0" borderId="1" xfId="25" applyBorder="1" applyAlignment="1">
      <alignment wrapText="1"/>
    </xf>
    <xf numFmtId="4" fontId="73" fillId="0" borderId="1" xfId="25" applyNumberFormat="1" applyBorder="1"/>
    <xf numFmtId="0" fontId="73" fillId="17" borderId="1" xfId="25" applyFill="1" applyBorder="1"/>
    <xf numFmtId="4" fontId="8" fillId="17" borderId="1" xfId="25" applyNumberFormat="1" applyFont="1" applyFill="1" applyBorder="1" applyAlignment="1">
      <alignment horizontal="center" vertical="center" wrapText="1"/>
    </xf>
    <xf numFmtId="4" fontId="43" fillId="2" borderId="1" xfId="25" applyNumberFormat="1" applyFont="1" applyFill="1" applyBorder="1" applyAlignment="1">
      <alignment horizontal="center" vertical="center"/>
    </xf>
    <xf numFmtId="0" fontId="39" fillId="2" borderId="0" xfId="51" applyFont="1" applyFill="1" applyAlignment="1">
      <alignment vertical="center"/>
    </xf>
    <xf numFmtId="0" fontId="39" fillId="2" borderId="0" xfId="51" applyFont="1" applyFill="1" applyAlignment="1">
      <alignment horizontal="center" vertical="center"/>
    </xf>
    <xf numFmtId="0" fontId="39" fillId="2" borderId="0" xfId="51" applyFont="1" applyFill="1" applyBorder="1" applyAlignment="1">
      <alignment vertical="center"/>
    </xf>
    <xf numFmtId="0" fontId="39" fillId="2" borderId="10" xfId="51" applyFont="1" applyFill="1" applyBorder="1" applyAlignment="1">
      <alignment vertical="center"/>
    </xf>
    <xf numFmtId="0" fontId="39" fillId="2" borderId="0" xfId="51" applyFont="1" applyFill="1" applyAlignment="1">
      <alignment horizontal="left" vertical="center"/>
    </xf>
    <xf numFmtId="0" fontId="123" fillId="2" borderId="0" xfId="51" applyFont="1" applyFill="1" applyAlignment="1">
      <alignment vertical="center"/>
    </xf>
    <xf numFmtId="0" fontId="39" fillId="2" borderId="1" xfId="51" applyFont="1" applyFill="1" applyBorder="1" applyAlignment="1">
      <alignment horizontal="center" vertical="center" wrapText="1"/>
    </xf>
    <xf numFmtId="0" fontId="39" fillId="2" borderId="26" xfId="51" applyFont="1" applyFill="1" applyBorder="1" applyAlignment="1">
      <alignment horizontal="center" vertical="center" wrapText="1"/>
    </xf>
    <xf numFmtId="0" fontId="39" fillId="2" borderId="1" xfId="51" applyFont="1" applyFill="1" applyBorder="1" applyAlignment="1">
      <alignment horizontal="center" vertical="center"/>
    </xf>
    <xf numFmtId="0" fontId="39" fillId="2" borderId="1" xfId="31" applyFont="1" applyFill="1" applyBorder="1" applyAlignment="1">
      <alignment vertical="center" wrapText="1"/>
    </xf>
    <xf numFmtId="177" fontId="39" fillId="2" borderId="1" xfId="27" applyFont="1" applyFill="1" applyBorder="1" applyAlignment="1">
      <alignment vertical="center" wrapText="1"/>
    </xf>
    <xf numFmtId="177" fontId="39" fillId="2" borderId="1" xfId="27" applyFont="1" applyFill="1" applyBorder="1" applyAlignment="1">
      <alignment vertical="center"/>
    </xf>
    <xf numFmtId="177" fontId="39" fillId="2" borderId="1" xfId="27" applyFont="1" applyFill="1" applyBorder="1" applyAlignment="1">
      <alignment horizontal="center" vertical="center"/>
    </xf>
    <xf numFmtId="0" fontId="145" fillId="2" borderId="0" xfId="31" applyFont="1" applyFill="1"/>
    <xf numFmtId="0" fontId="55" fillId="10" borderId="1" xfId="31" applyFont="1" applyFill="1" applyBorder="1" applyAlignment="1">
      <alignment vertical="center" wrapText="1"/>
    </xf>
    <xf numFmtId="0" fontId="55" fillId="10" borderId="1" xfId="51" applyFont="1" applyFill="1" applyBorder="1" applyAlignment="1">
      <alignment horizontal="center" vertical="center" wrapText="1"/>
    </xf>
    <xf numFmtId="177" fontId="55" fillId="10" borderId="1" xfId="27" applyFont="1" applyFill="1" applyBorder="1" applyAlignment="1">
      <alignment vertical="center" wrapText="1"/>
    </xf>
    <xf numFmtId="177" fontId="55" fillId="10" borderId="1" xfId="27" applyFont="1" applyFill="1" applyBorder="1" applyAlignment="1">
      <alignment horizontal="center" vertical="center"/>
    </xf>
    <xf numFmtId="0" fontId="55" fillId="10" borderId="0" xfId="51" applyFont="1" applyFill="1" applyAlignment="1">
      <alignment vertical="center"/>
    </xf>
    <xf numFmtId="0" fontId="55" fillId="16" borderId="1" xfId="31" applyFont="1" applyFill="1" applyBorder="1" applyAlignment="1">
      <alignment vertical="center" wrapText="1"/>
    </xf>
    <xf numFmtId="0" fontId="55" fillId="16" borderId="1" xfId="51" applyFont="1" applyFill="1" applyBorder="1" applyAlignment="1">
      <alignment horizontal="center" vertical="center" wrapText="1"/>
    </xf>
    <xf numFmtId="177" fontId="55" fillId="16" borderId="1" xfId="27" applyFont="1" applyFill="1" applyBorder="1" applyAlignment="1">
      <alignment horizontal="center" vertical="center"/>
    </xf>
    <xf numFmtId="0" fontId="55" fillId="16" borderId="0" xfId="51" applyFont="1" applyFill="1" applyBorder="1" applyAlignment="1">
      <alignment vertical="center"/>
    </xf>
    <xf numFmtId="0" fontId="55" fillId="16" borderId="0" xfId="51" applyFont="1" applyFill="1" applyAlignment="1">
      <alignment vertical="center"/>
    </xf>
    <xf numFmtId="4" fontId="55" fillId="2" borderId="0" xfId="51" applyNumberFormat="1" applyFont="1" applyFill="1" applyBorder="1" applyAlignment="1">
      <alignment vertical="center"/>
    </xf>
    <xf numFmtId="0" fontId="55" fillId="2" borderId="0" xfId="51" applyFont="1" applyFill="1" applyBorder="1" applyAlignment="1">
      <alignment vertical="center"/>
    </xf>
    <xf numFmtId="0" fontId="55" fillId="2" borderId="0" xfId="51" applyFont="1" applyFill="1" applyAlignment="1">
      <alignment vertical="center"/>
    </xf>
    <xf numFmtId="49" fontId="39" fillId="2" borderId="1" xfId="51" applyNumberFormat="1" applyFont="1" applyFill="1" applyBorder="1" applyAlignment="1">
      <alignment horizontal="center" vertical="center"/>
    </xf>
    <xf numFmtId="0" fontId="55" fillId="16" borderId="1" xfId="51" applyFont="1" applyFill="1" applyBorder="1" applyAlignment="1">
      <alignment horizontal="center" vertical="center"/>
    </xf>
    <xf numFmtId="49" fontId="55" fillId="16" borderId="1" xfId="51" applyNumberFormat="1" applyFont="1" applyFill="1" applyBorder="1" applyAlignment="1">
      <alignment horizontal="center" vertical="center"/>
    </xf>
    <xf numFmtId="177" fontId="55" fillId="16" borderId="1" xfId="27" applyFont="1" applyFill="1" applyBorder="1" applyAlignment="1">
      <alignment vertical="center"/>
    </xf>
    <xf numFmtId="4" fontId="55" fillId="16" borderId="0" xfId="51" applyNumberFormat="1" applyFont="1" applyFill="1" applyBorder="1" applyAlignment="1">
      <alignment vertical="center"/>
    </xf>
    <xf numFmtId="0" fontId="146" fillId="16" borderId="0" xfId="51" applyFont="1" applyFill="1" applyBorder="1" applyAlignment="1">
      <alignment vertical="center"/>
    </xf>
    <xf numFmtId="0" fontId="146" fillId="16" borderId="0" xfId="51" applyFont="1" applyFill="1" applyAlignment="1">
      <alignment vertical="center"/>
    </xf>
    <xf numFmtId="49" fontId="55" fillId="2" borderId="1" xfId="51" applyNumberFormat="1" applyFont="1" applyFill="1" applyBorder="1" applyAlignment="1">
      <alignment horizontal="center" vertical="center"/>
    </xf>
    <xf numFmtId="0" fontId="146" fillId="2" borderId="0" xfId="51" applyFont="1" applyFill="1" applyBorder="1" applyAlignment="1">
      <alignment vertical="center"/>
    </xf>
    <xf numFmtId="0" fontId="146" fillId="2" borderId="0" xfId="51" applyFont="1" applyFill="1" applyAlignment="1">
      <alignment vertical="center"/>
    </xf>
    <xf numFmtId="166" fontId="39" fillId="2" borderId="1" xfId="52" applyFont="1" applyFill="1" applyBorder="1" applyAlignment="1">
      <alignment vertical="center"/>
    </xf>
    <xf numFmtId="0" fontId="84" fillId="2" borderId="25" xfId="31" applyFont="1" applyFill="1" applyBorder="1" applyAlignment="1">
      <alignment vertical="center"/>
    </xf>
    <xf numFmtId="0" fontId="84" fillId="2" borderId="0" xfId="31" applyFont="1" applyFill="1" applyAlignment="1">
      <alignment vertical="center"/>
    </xf>
    <xf numFmtId="4" fontId="39" fillId="2" borderId="0" xfId="51" applyNumberFormat="1" applyFont="1" applyFill="1" applyBorder="1" applyAlignment="1">
      <alignment vertical="center"/>
    </xf>
    <xf numFmtId="166" fontId="55" fillId="16" borderId="1" xfId="52" applyFont="1" applyFill="1" applyBorder="1" applyAlignment="1">
      <alignment vertical="center"/>
    </xf>
    <xf numFmtId="166" fontId="55" fillId="16" borderId="0" xfId="51" applyNumberFormat="1" applyFont="1" applyFill="1" applyBorder="1" applyAlignment="1">
      <alignment vertical="center"/>
    </xf>
    <xf numFmtId="0" fontId="39" fillId="2" borderId="1" xfId="31" applyFont="1" applyFill="1" applyBorder="1" applyAlignment="1">
      <alignment horizontal="left" vertical="center" wrapText="1" indent="1"/>
    </xf>
    <xf numFmtId="166" fontId="55" fillId="2" borderId="1" xfId="52" applyFont="1" applyFill="1" applyBorder="1" applyAlignment="1">
      <alignment vertical="center"/>
    </xf>
    <xf numFmtId="166" fontId="55" fillId="16" borderId="1" xfId="52" applyFont="1" applyFill="1" applyBorder="1" applyAlignment="1">
      <alignment horizontal="right" vertical="center"/>
    </xf>
    <xf numFmtId="177" fontId="55" fillId="2" borderId="1" xfId="27" applyFont="1" applyFill="1" applyBorder="1" applyAlignment="1">
      <alignment vertical="center"/>
    </xf>
    <xf numFmtId="0" fontId="55" fillId="10" borderId="1" xfId="51" applyFont="1" applyFill="1" applyBorder="1" applyAlignment="1">
      <alignment horizontal="center" vertical="center"/>
    </xf>
    <xf numFmtId="177" fontId="55" fillId="10" borderId="1" xfId="27" applyFont="1" applyFill="1" applyBorder="1" applyAlignment="1">
      <alignment vertical="center"/>
    </xf>
    <xf numFmtId="0" fontId="55" fillId="10" borderId="0" xfId="51" applyFont="1" applyFill="1" applyBorder="1" applyAlignment="1">
      <alignment vertical="center"/>
    </xf>
    <xf numFmtId="4" fontId="55" fillId="10" borderId="0" xfId="51" applyNumberFormat="1" applyFont="1" applyFill="1" applyBorder="1" applyAlignment="1">
      <alignment vertical="center"/>
    </xf>
    <xf numFmtId="0" fontId="39" fillId="2" borderId="1" xfId="31" applyFont="1" applyFill="1" applyBorder="1" applyAlignment="1">
      <alignment vertical="top" wrapText="1"/>
    </xf>
    <xf numFmtId="0" fontId="39" fillId="2" borderId="0" xfId="31" applyFont="1" applyFill="1" applyBorder="1" applyAlignment="1">
      <alignment horizontal="left" vertical="center" wrapText="1"/>
    </xf>
    <xf numFmtId="4" fontId="55" fillId="2" borderId="0" xfId="51" applyNumberFormat="1" applyFont="1" applyFill="1" applyBorder="1" applyAlignment="1">
      <alignment horizontal="right" vertical="center"/>
    </xf>
    <xf numFmtId="0" fontId="149" fillId="0" borderId="0" xfId="54" applyNumberFormat="1" applyFont="1" applyBorder="1" applyAlignment="1">
      <alignment horizontal="left"/>
    </xf>
    <xf numFmtId="0" fontId="152" fillId="0" borderId="0" xfId="54" applyNumberFormat="1" applyFont="1" applyBorder="1" applyAlignment="1">
      <alignment horizontal="left"/>
    </xf>
    <xf numFmtId="0" fontId="152" fillId="0" borderId="0" xfId="54" applyNumberFormat="1" applyFont="1" applyBorder="1" applyAlignment="1">
      <alignment horizontal="center" vertical="top"/>
    </xf>
    <xf numFmtId="0" fontId="133" fillId="0" borderId="59" xfId="54" applyNumberFormat="1" applyFont="1" applyBorder="1" applyAlignment="1">
      <alignment horizontal="left"/>
    </xf>
    <xf numFmtId="0" fontId="133" fillId="0" borderId="60" xfId="54" applyNumberFormat="1" applyFont="1" applyBorder="1" applyAlignment="1">
      <alignment horizontal="left"/>
    </xf>
    <xf numFmtId="0" fontId="133" fillId="0" borderId="61" xfId="54" applyNumberFormat="1" applyFont="1" applyBorder="1" applyAlignment="1">
      <alignment horizontal="left"/>
    </xf>
    <xf numFmtId="0" fontId="133" fillId="0" borderId="62" xfId="54" applyNumberFormat="1" applyFont="1" applyBorder="1" applyAlignment="1">
      <alignment horizontal="left"/>
    </xf>
    <xf numFmtId="0" fontId="152" fillId="0" borderId="61" xfId="54" applyNumberFormat="1" applyFont="1" applyBorder="1" applyAlignment="1">
      <alignment horizontal="center" vertical="top"/>
    </xf>
    <xf numFmtId="0" fontId="152" fillId="0" borderId="62" xfId="54" applyNumberFormat="1" applyFont="1" applyBorder="1" applyAlignment="1">
      <alignment horizontal="center" vertical="top"/>
    </xf>
    <xf numFmtId="0" fontId="133" fillId="0" borderId="67" xfId="54" applyNumberFormat="1" applyFont="1" applyBorder="1" applyAlignment="1">
      <alignment horizontal="left"/>
    </xf>
    <xf numFmtId="0" fontId="133" fillId="0" borderId="68" xfId="54" applyNumberFormat="1" applyFont="1" applyBorder="1" applyAlignment="1">
      <alignment horizontal="left"/>
    </xf>
    <xf numFmtId="0" fontId="133" fillId="0" borderId="69" xfId="54" applyNumberFormat="1" applyFont="1" applyBorder="1" applyAlignment="1">
      <alignment horizontal="left"/>
    </xf>
    <xf numFmtId="0" fontId="133" fillId="0" borderId="70" xfId="54" applyNumberFormat="1" applyFont="1" applyBorder="1" applyAlignment="1">
      <alignment horizontal="left"/>
    </xf>
    <xf numFmtId="0" fontId="17" fillId="16" borderId="1" xfId="31" applyFont="1" applyFill="1" applyBorder="1" applyAlignment="1">
      <alignment vertical="center" wrapText="1"/>
    </xf>
    <xf numFmtId="0" fontId="17" fillId="16" borderId="1" xfId="51" applyFont="1" applyFill="1" applyBorder="1" applyAlignment="1">
      <alignment horizontal="center" vertical="center"/>
    </xf>
    <xf numFmtId="0" fontId="17" fillId="16" borderId="1" xfId="51" applyFont="1" applyFill="1" applyBorder="1" applyAlignment="1">
      <alignment horizontal="center" vertical="center" wrapText="1"/>
    </xf>
    <xf numFmtId="0" fontId="17" fillId="16" borderId="1" xfId="31" applyFont="1" applyFill="1" applyBorder="1" applyAlignment="1">
      <alignment horizontal="center" vertical="center"/>
    </xf>
    <xf numFmtId="0" fontId="16" fillId="16" borderId="1" xfId="31" applyFont="1" applyFill="1" applyBorder="1" applyAlignment="1">
      <alignment horizontal="center" vertical="center"/>
    </xf>
    <xf numFmtId="0" fontId="16" fillId="0" borderId="0" xfId="31" applyFont="1"/>
    <xf numFmtId="0" fontId="16" fillId="2" borderId="1" xfId="51" applyFont="1" applyFill="1" applyBorder="1" applyAlignment="1">
      <alignment horizontal="center" vertical="center"/>
    </xf>
    <xf numFmtId="0" fontId="16" fillId="2" borderId="1" xfId="51" applyFont="1" applyFill="1" applyBorder="1" applyAlignment="1">
      <alignment horizontal="center" vertical="center" wrapText="1"/>
    </xf>
    <xf numFmtId="0" fontId="16" fillId="0" borderId="1" xfId="31" applyFont="1" applyBorder="1" applyAlignment="1">
      <alignment horizontal="center" vertical="center"/>
    </xf>
    <xf numFmtId="0" fontId="16" fillId="0" borderId="1" xfId="31" applyFont="1" applyBorder="1" applyAlignment="1">
      <alignment horizontal="center" vertical="center" wrapText="1"/>
    </xf>
    <xf numFmtId="0" fontId="16" fillId="0" borderId="1" xfId="31" applyFont="1" applyBorder="1"/>
    <xf numFmtId="0" fontId="16" fillId="17" borderId="1" xfId="31" applyFont="1" applyFill="1" applyBorder="1" applyAlignment="1">
      <alignment vertical="center" wrapText="1"/>
    </xf>
    <xf numFmtId="0" fontId="16" fillId="17" borderId="1" xfId="51" applyFont="1" applyFill="1" applyBorder="1" applyAlignment="1">
      <alignment horizontal="center" vertical="center"/>
    </xf>
    <xf numFmtId="0" fontId="16" fillId="17" borderId="1" xfId="51" applyFont="1" applyFill="1" applyBorder="1" applyAlignment="1">
      <alignment horizontal="center" vertical="center" wrapText="1"/>
    </xf>
    <xf numFmtId="0" fontId="16" fillId="17" borderId="1" xfId="31" applyFont="1" applyFill="1" applyBorder="1" applyAlignment="1">
      <alignment horizontal="center" vertical="center"/>
    </xf>
    <xf numFmtId="0" fontId="16" fillId="17" borderId="1" xfId="31" applyFont="1" applyFill="1" applyBorder="1" applyAlignment="1">
      <alignment horizontal="center" vertical="center" wrapText="1"/>
    </xf>
    <xf numFmtId="0" fontId="16" fillId="17" borderId="1" xfId="31" applyFont="1" applyFill="1" applyBorder="1"/>
    <xf numFmtId="0" fontId="16" fillId="2" borderId="1" xfId="31" applyFont="1" applyFill="1" applyBorder="1" applyAlignment="1">
      <alignment horizontal="center" vertical="center"/>
    </xf>
    <xf numFmtId="0" fontId="16" fillId="2" borderId="1" xfId="31" applyFont="1" applyFill="1" applyBorder="1" applyAlignment="1">
      <alignment horizontal="center" vertical="center" wrapText="1"/>
    </xf>
    <xf numFmtId="0" fontId="16" fillId="2" borderId="1" xfId="31" applyFont="1" applyFill="1" applyBorder="1"/>
    <xf numFmtId="0" fontId="16" fillId="0" borderId="1" xfId="31" applyFont="1" applyBorder="1" applyAlignment="1">
      <alignment wrapText="1"/>
    </xf>
    <xf numFmtId="0" fontId="16" fillId="0" borderId="1" xfId="31" applyFont="1" applyBorder="1" applyAlignment="1">
      <alignment horizontal="left" vertical="center" wrapText="1"/>
    </xf>
    <xf numFmtId="0" fontId="17" fillId="17" borderId="1" xfId="31" applyFont="1" applyFill="1" applyBorder="1" applyAlignment="1">
      <alignment vertical="center" wrapText="1"/>
    </xf>
    <xf numFmtId="0" fontId="17" fillId="17" borderId="1" xfId="51" applyFont="1" applyFill="1" applyBorder="1" applyAlignment="1">
      <alignment horizontal="center" vertical="center"/>
    </xf>
    <xf numFmtId="4" fontId="126" fillId="0" borderId="2" xfId="25" applyNumberFormat="1" applyFont="1" applyBorder="1" applyAlignment="1">
      <alignment horizontal="center" vertical="center" wrapText="1"/>
    </xf>
    <xf numFmtId="0" fontId="126" fillId="0" borderId="1" xfId="25" applyFont="1" applyBorder="1"/>
    <xf numFmtId="0" fontId="43" fillId="2" borderId="0" xfId="25" applyFont="1" applyFill="1" applyAlignment="1">
      <alignment horizontal="center"/>
    </xf>
    <xf numFmtId="0" fontId="43" fillId="2" borderId="1" xfId="25" applyFont="1" applyFill="1" applyBorder="1" applyAlignment="1">
      <alignment horizontal="center"/>
    </xf>
    <xf numFmtId="177" fontId="55" fillId="2" borderId="1" xfId="27" applyFont="1" applyFill="1" applyBorder="1" applyAlignment="1">
      <alignment horizontal="center" vertical="center"/>
    </xf>
    <xf numFmtId="177" fontId="39" fillId="2" borderId="0" xfId="51" applyNumberFormat="1" applyFont="1" applyFill="1" applyAlignment="1">
      <alignment vertical="center"/>
    </xf>
    <xf numFmtId="166" fontId="39" fillId="2" borderId="0" xfId="51" applyNumberFormat="1" applyFont="1" applyFill="1" applyAlignment="1">
      <alignment horizontal="right" vertical="center"/>
    </xf>
    <xf numFmtId="0" fontId="73" fillId="0" borderId="10" xfId="25" applyBorder="1" applyAlignment="1">
      <alignment horizontal="center"/>
    </xf>
    <xf numFmtId="0" fontId="73" fillId="0" borderId="0" xfId="25" applyBorder="1" applyAlignment="1">
      <alignment horizontal="center"/>
    </xf>
    <xf numFmtId="0" fontId="48" fillId="0" borderId="0" xfId="25" applyFont="1" applyBorder="1" applyAlignment="1">
      <alignment horizontal="center" wrapText="1"/>
    </xf>
    <xf numFmtId="0" fontId="48" fillId="0" borderId="1" xfId="25" applyFont="1" applyBorder="1" applyAlignment="1">
      <alignment horizontal="center" vertical="center" wrapText="1"/>
    </xf>
    <xf numFmtId="0" fontId="16" fillId="0" borderId="4" xfId="26" applyFont="1" applyFill="1" applyBorder="1" applyAlignment="1">
      <alignment horizontal="center" vertical="center" wrapText="1"/>
    </xf>
    <xf numFmtId="0" fontId="74" fillId="0" borderId="1" xfId="25" applyFont="1" applyFill="1" applyBorder="1" applyAlignment="1">
      <alignment horizontal="center" vertical="center" wrapText="1"/>
    </xf>
    <xf numFmtId="0" fontId="110" fillId="0" borderId="0" xfId="24" applyFont="1" applyFill="1" applyBorder="1" applyAlignment="1">
      <alignment horizontal="left" wrapText="1"/>
    </xf>
    <xf numFmtId="0" fontId="110" fillId="0" borderId="1" xfId="24" applyFont="1" applyFill="1" applyBorder="1" applyAlignment="1">
      <alignment horizontal="center" vertical="center" wrapText="1"/>
    </xf>
    <xf numFmtId="0" fontId="47" fillId="2" borderId="0" xfId="25" applyFont="1" applyFill="1"/>
    <xf numFmtId="0" fontId="39" fillId="2" borderId="1" xfId="25" applyFont="1" applyFill="1" applyBorder="1" applyAlignment="1">
      <alignment horizontal="center" vertical="center" wrapText="1"/>
    </xf>
    <xf numFmtId="0" fontId="47" fillId="2" borderId="1" xfId="25" applyFont="1" applyFill="1" applyBorder="1" applyAlignment="1">
      <alignment horizontal="center" vertical="center" wrapText="1"/>
    </xf>
    <xf numFmtId="0" fontId="47" fillId="2" borderId="1" xfId="25" applyFont="1" applyFill="1" applyBorder="1"/>
    <xf numFmtId="0" fontId="39" fillId="2" borderId="1" xfId="25" applyFont="1" applyFill="1" applyBorder="1" applyAlignment="1">
      <alignment vertical="center" wrapText="1"/>
    </xf>
    <xf numFmtId="4" fontId="39" fillId="2" borderId="1" xfId="25" applyNumberFormat="1" applyFont="1" applyFill="1" applyBorder="1" applyAlignment="1">
      <alignment horizontal="center" vertical="center" wrapText="1"/>
    </xf>
    <xf numFmtId="0" fontId="124" fillId="2" borderId="1" xfId="25" applyFont="1" applyFill="1" applyBorder="1"/>
    <xf numFmtId="0" fontId="124" fillId="2" borderId="0" xfId="25" applyFont="1" applyFill="1"/>
    <xf numFmtId="4" fontId="47" fillId="2" borderId="1" xfId="25" applyNumberFormat="1" applyFont="1" applyFill="1" applyBorder="1" applyAlignment="1">
      <alignment horizontal="center" vertical="center" wrapText="1"/>
    </xf>
    <xf numFmtId="0" fontId="61" fillId="2" borderId="1" xfId="25" applyFont="1" applyFill="1" applyBorder="1" applyAlignment="1">
      <alignment horizontal="center" vertical="center" wrapText="1"/>
    </xf>
    <xf numFmtId="4" fontId="61" fillId="2" borderId="1" xfId="25" applyNumberFormat="1" applyFont="1" applyFill="1" applyBorder="1" applyAlignment="1">
      <alignment horizontal="center" vertical="center" wrapText="1"/>
    </xf>
    <xf numFmtId="0" fontId="61" fillId="2" borderId="1" xfId="25" applyFont="1" applyFill="1" applyBorder="1"/>
    <xf numFmtId="0" fontId="61" fillId="2" borderId="0" xfId="25" applyFont="1" applyFill="1"/>
    <xf numFmtId="2" fontId="73" fillId="0" borderId="1" xfId="25" applyNumberFormat="1" applyBorder="1" applyAlignment="1">
      <alignment wrapText="1"/>
    </xf>
    <xf numFmtId="14" fontId="73" fillId="0" borderId="10" xfId="25" applyNumberFormat="1" applyBorder="1" applyAlignment="1">
      <alignment horizontal="center"/>
    </xf>
    <xf numFmtId="0" fontId="17" fillId="0" borderId="0" xfId="26" applyFont="1" applyAlignment="1">
      <alignment horizontal="left"/>
    </xf>
    <xf numFmtId="0" fontId="17" fillId="0" borderId="0" xfId="26" applyFont="1" applyAlignment="1"/>
    <xf numFmtId="0" fontId="17" fillId="0" borderId="0" xfId="26" applyFont="1" applyFill="1" applyAlignment="1"/>
    <xf numFmtId="0" fontId="16" fillId="0" borderId="1" xfId="26" applyFont="1" applyBorder="1" applyAlignment="1">
      <alignment horizontal="center"/>
    </xf>
    <xf numFmtId="0" fontId="16" fillId="0" borderId="1" xfId="26" applyFont="1" applyFill="1" applyBorder="1" applyAlignment="1">
      <alignment horizontal="center" vertical="center"/>
    </xf>
    <xf numFmtId="0" fontId="17" fillId="0" borderId="1" xfId="26" applyFont="1" applyBorder="1" applyAlignment="1">
      <alignment horizontal="center"/>
    </xf>
    <xf numFmtId="0" fontId="17" fillId="0" borderId="1" xfId="26" applyFont="1" applyBorder="1"/>
    <xf numFmtId="167" fontId="17" fillId="0" borderId="1" xfId="26" applyNumberFormat="1" applyFont="1" applyFill="1" applyBorder="1" applyAlignment="1">
      <alignment horizontal="center"/>
    </xf>
    <xf numFmtId="167" fontId="17" fillId="0" borderId="1" xfId="27" applyNumberFormat="1" applyFont="1" applyFill="1" applyBorder="1" applyAlignment="1">
      <alignment horizontal="center"/>
    </xf>
    <xf numFmtId="167" fontId="38" fillId="12" borderId="1" xfId="29" applyNumberFormat="1" applyFont="1" applyFill="1" applyBorder="1" applyAlignment="1">
      <alignment horizontal="center" vertical="center" wrapText="1"/>
    </xf>
    <xf numFmtId="167" fontId="38" fillId="0" borderId="1" xfId="29" applyNumberFormat="1" applyFont="1" applyBorder="1" applyAlignment="1">
      <alignment horizontal="center" vertical="center" wrapText="1"/>
    </xf>
    <xf numFmtId="0" fontId="86" fillId="0" borderId="1" xfId="23" applyFont="1" applyFill="1" applyBorder="1" applyAlignment="1">
      <alignment wrapText="1"/>
    </xf>
    <xf numFmtId="0" fontId="25" fillId="0" borderId="1" xfId="23" applyFont="1" applyFill="1" applyBorder="1" applyAlignment="1">
      <alignment wrapText="1"/>
    </xf>
    <xf numFmtId="0" fontId="7" fillId="2" borderId="1" xfId="25" applyFont="1" applyFill="1" applyBorder="1" applyAlignment="1">
      <alignment vertical="center" wrapText="1"/>
    </xf>
    <xf numFmtId="4" fontId="8" fillId="2" borderId="1" xfId="25" applyNumberFormat="1" applyFont="1" applyFill="1" applyBorder="1" applyAlignment="1">
      <alignment horizontal="center" vertical="center" wrapText="1"/>
    </xf>
    <xf numFmtId="0" fontId="48" fillId="0" borderId="0" xfId="25" applyFont="1" applyBorder="1" applyAlignment="1">
      <alignment horizontal="center" wrapText="1"/>
    </xf>
    <xf numFmtId="0" fontId="48" fillId="0" borderId="1" xfId="25" applyFont="1" applyBorder="1" applyAlignment="1">
      <alignment horizontal="center" vertical="center" wrapText="1"/>
    </xf>
    <xf numFmtId="49" fontId="16" fillId="0" borderId="1" xfId="37" applyNumberFormat="1" applyFont="1" applyFill="1" applyBorder="1" applyAlignment="1">
      <alignment horizontal="center" vertical="top" wrapText="1"/>
    </xf>
    <xf numFmtId="0" fontId="17" fillId="5" borderId="1" xfId="29" applyFont="1" applyFill="1" applyBorder="1" applyAlignment="1">
      <alignment horizontal="left" vertical="center" wrapText="1"/>
    </xf>
    <xf numFmtId="2" fontId="66" fillId="2" borderId="0" xfId="31" applyNumberFormat="1" applyFont="1" applyFill="1" applyBorder="1" applyAlignment="1" applyProtection="1">
      <alignment vertical="top"/>
    </xf>
    <xf numFmtId="0" fontId="71" fillId="2" borderId="1" xfId="31" applyNumberFormat="1" applyFont="1" applyFill="1" applyBorder="1" applyAlignment="1" applyProtection="1">
      <alignment vertical="top"/>
    </xf>
    <xf numFmtId="0" fontId="66" fillId="2" borderId="1" xfId="31" applyNumberFormat="1" applyFont="1" applyFill="1" applyBorder="1" applyAlignment="1" applyProtection="1">
      <alignment vertical="top"/>
    </xf>
    <xf numFmtId="0" fontId="114" fillId="2" borderId="1" xfId="31" applyNumberFormat="1" applyFont="1" applyFill="1" applyBorder="1" applyAlignment="1" applyProtection="1">
      <alignment vertical="top"/>
    </xf>
    <xf numFmtId="1" fontId="113" fillId="2" borderId="1" xfId="31" applyNumberFormat="1" applyFont="1" applyFill="1" applyBorder="1" applyAlignment="1" applyProtection="1">
      <alignment vertical="top"/>
    </xf>
    <xf numFmtId="4" fontId="66" fillId="2" borderId="1" xfId="31" applyNumberFormat="1" applyFont="1" applyFill="1" applyBorder="1" applyAlignment="1" applyProtection="1">
      <alignment vertical="top" wrapText="1"/>
    </xf>
    <xf numFmtId="167" fontId="113" fillId="2" borderId="1" xfId="31" applyNumberFormat="1" applyFont="1" applyFill="1" applyBorder="1" applyAlignment="1" applyProtection="1">
      <alignment vertical="top"/>
    </xf>
    <xf numFmtId="4" fontId="117" fillId="2" borderId="1" xfId="31" applyNumberFormat="1" applyFont="1" applyFill="1" applyBorder="1" applyAlignment="1" applyProtection="1">
      <alignment vertical="top"/>
    </xf>
    <xf numFmtId="0" fontId="118" fillId="2" borderId="0" xfId="31" applyNumberFormat="1" applyFont="1" applyFill="1" applyBorder="1" applyAlignment="1" applyProtection="1">
      <alignment vertical="center"/>
    </xf>
    <xf numFmtId="0" fontId="118" fillId="2" borderId="0" xfId="31" applyNumberFormat="1" applyFont="1" applyFill="1" applyBorder="1" applyAlignment="1" applyProtection="1">
      <alignment vertical="top"/>
    </xf>
    <xf numFmtId="0" fontId="76" fillId="0" borderId="0" xfId="25" applyFont="1" applyFill="1" applyBorder="1" applyAlignment="1">
      <alignment vertical="center" wrapText="1"/>
    </xf>
    <xf numFmtId="0" fontId="76" fillId="0" borderId="0" xfId="25" applyFont="1" applyFill="1"/>
    <xf numFmtId="16" fontId="75" fillId="0" borderId="0" xfId="25" applyNumberFormat="1" applyFont="1" applyFill="1" applyBorder="1" applyAlignment="1">
      <alignment horizontal="center" vertical="center" wrapText="1"/>
    </xf>
    <xf numFmtId="0" fontId="75" fillId="0" borderId="0" xfId="25" applyFont="1" applyFill="1" applyBorder="1" applyAlignment="1">
      <alignment vertical="center" wrapText="1"/>
    </xf>
    <xf numFmtId="0" fontId="75" fillId="0" borderId="0" xfId="25" applyFont="1" applyFill="1" applyBorder="1" applyAlignment="1">
      <alignment horizontal="center" vertical="center" wrapText="1"/>
    </xf>
    <xf numFmtId="4" fontId="76" fillId="0" borderId="0" xfId="25" applyNumberFormat="1" applyFont="1" applyFill="1" applyBorder="1" applyAlignment="1">
      <alignment horizontal="center" vertical="center" wrapText="1"/>
    </xf>
    <xf numFmtId="0" fontId="76" fillId="0" borderId="0" xfId="25" applyFont="1" applyFill="1" applyBorder="1" applyAlignment="1">
      <alignment horizontal="center" vertical="center" wrapText="1"/>
    </xf>
    <xf numFmtId="4" fontId="76" fillId="0" borderId="0" xfId="25" applyNumberFormat="1" applyFont="1" applyFill="1" applyBorder="1" applyAlignment="1">
      <alignment vertical="center" wrapText="1"/>
    </xf>
    <xf numFmtId="4" fontId="16" fillId="2" borderId="1" xfId="3" applyNumberFormat="1" applyFont="1" applyFill="1" applyBorder="1" applyAlignment="1">
      <alignment horizontal="center"/>
    </xf>
    <xf numFmtId="4" fontId="74" fillId="19" borderId="1" xfId="25" applyNumberFormat="1" applyFont="1" applyFill="1" applyBorder="1" applyAlignment="1">
      <alignment horizontal="center" vertical="center" wrapText="1"/>
    </xf>
    <xf numFmtId="181" fontId="162" fillId="0" borderId="0" xfId="25" applyNumberFormat="1" applyFont="1" applyFill="1" applyBorder="1" applyAlignment="1">
      <alignment vertical="center" wrapText="1"/>
    </xf>
    <xf numFmtId="14" fontId="48" fillId="2" borderId="0" xfId="25" applyNumberFormat="1" applyFont="1" applyFill="1" applyBorder="1" applyAlignment="1">
      <alignment horizontal="center"/>
    </xf>
    <xf numFmtId="4" fontId="48" fillId="2" borderId="0" xfId="25" applyNumberFormat="1" applyFont="1" applyFill="1"/>
    <xf numFmtId="4" fontId="48" fillId="2" borderId="1" xfId="25" applyNumberFormat="1" applyFont="1" applyFill="1" applyBorder="1" applyAlignment="1">
      <alignment horizontal="center"/>
    </xf>
    <xf numFmtId="0" fontId="47" fillId="2" borderId="1" xfId="25" applyFont="1" applyFill="1" applyBorder="1" applyAlignment="1">
      <alignment horizontal="center" vertical="center" wrapText="1"/>
    </xf>
    <xf numFmtId="4" fontId="8" fillId="2" borderId="1" xfId="25" applyNumberFormat="1" applyFont="1" applyFill="1" applyBorder="1" applyAlignment="1">
      <alignment horizontal="center" vertical="center" wrapText="1"/>
    </xf>
    <xf numFmtId="0" fontId="73" fillId="2" borderId="0" xfId="25" applyFill="1" applyBorder="1" applyAlignment="1">
      <alignment horizontal="center"/>
    </xf>
    <xf numFmtId="0" fontId="12" fillId="2" borderId="1" xfId="25" applyFont="1" applyFill="1" applyBorder="1" applyAlignment="1">
      <alignment horizontal="center" vertical="center" wrapText="1"/>
    </xf>
    <xf numFmtId="0" fontId="47" fillId="0" borderId="0" xfId="70" applyFont="1"/>
    <xf numFmtId="0" fontId="61" fillId="0" borderId="1" xfId="70" applyFont="1" applyBorder="1" applyAlignment="1">
      <alignment horizontal="center" vertical="center" wrapText="1"/>
    </xf>
    <xf numFmtId="0" fontId="47" fillId="0" borderId="1" xfId="70" applyFont="1" applyBorder="1" applyAlignment="1">
      <alignment horizontal="center" vertical="center" wrapText="1"/>
    </xf>
    <xf numFmtId="0" fontId="47" fillId="2" borderId="1" xfId="70" applyFont="1" applyFill="1" applyBorder="1" applyAlignment="1">
      <alignment horizontal="center" vertical="center" wrapText="1"/>
    </xf>
    <xf numFmtId="0" fontId="47" fillId="2" borderId="1" xfId="70" applyFont="1" applyFill="1" applyBorder="1" applyAlignment="1">
      <alignment horizontal="left" vertical="center" wrapText="1"/>
    </xf>
    <xf numFmtId="0" fontId="48" fillId="2" borderId="4" xfId="70" applyFont="1" applyFill="1" applyBorder="1" applyAlignment="1">
      <alignment horizontal="center" vertical="center" wrapText="1"/>
    </xf>
    <xf numFmtId="2" fontId="47" fillId="2" borderId="1" xfId="70" applyNumberFormat="1" applyFont="1" applyFill="1" applyBorder="1" applyAlignment="1">
      <alignment horizontal="center" vertical="center" wrapText="1"/>
    </xf>
    <xf numFmtId="0" fontId="47" fillId="2" borderId="0" xfId="70" applyFont="1" applyFill="1"/>
    <xf numFmtId="2" fontId="47" fillId="0" borderId="0" xfId="70" applyNumberFormat="1" applyFont="1"/>
    <xf numFmtId="0" fontId="4" fillId="0" borderId="0" xfId="70"/>
    <xf numFmtId="0" fontId="47" fillId="0" borderId="10" xfId="70" applyFont="1" applyBorder="1" applyAlignment="1"/>
    <xf numFmtId="0" fontId="47" fillId="0" borderId="1" xfId="70" applyFont="1" applyBorder="1"/>
    <xf numFmtId="169" fontId="47" fillId="2" borderId="1" xfId="70" applyNumberFormat="1" applyFont="1" applyFill="1" applyBorder="1" applyAlignment="1">
      <alignment horizontal="center" vertical="center"/>
    </xf>
    <xf numFmtId="0" fontId="47" fillId="0" borderId="0" xfId="70" applyFont="1" applyBorder="1" applyAlignment="1"/>
    <xf numFmtId="14" fontId="47" fillId="0" borderId="0" xfId="70" applyNumberFormat="1" applyFont="1" applyBorder="1" applyAlignment="1"/>
    <xf numFmtId="14" fontId="47" fillId="0" borderId="1" xfId="70" applyNumberFormat="1" applyFont="1" applyBorder="1" applyAlignment="1"/>
    <xf numFmtId="4" fontId="73" fillId="2" borderId="0" xfId="25" applyNumberFormat="1" applyFill="1" applyAlignment="1">
      <alignment horizontal="center"/>
    </xf>
    <xf numFmtId="4" fontId="43" fillId="2" borderId="2" xfId="25" applyNumberFormat="1" applyFont="1" applyFill="1" applyBorder="1" applyAlignment="1">
      <alignment horizontal="center" vertical="center" wrapText="1"/>
    </xf>
    <xf numFmtId="4" fontId="43" fillId="0" borderId="0" xfId="25" applyNumberFormat="1" applyFont="1"/>
    <xf numFmtId="166" fontId="125" fillId="2" borderId="0" xfId="51" applyNumberFormat="1" applyFont="1" applyFill="1" applyBorder="1" applyAlignment="1">
      <alignment vertical="center"/>
    </xf>
    <xf numFmtId="0" fontId="125" fillId="2" borderId="0" xfId="51" applyFont="1" applyFill="1" applyBorder="1" applyAlignment="1">
      <alignment horizontal="center" vertical="center"/>
    </xf>
    <xf numFmtId="4" fontId="125" fillId="2" borderId="0" xfId="51" applyNumberFormat="1" applyFont="1" applyFill="1" applyBorder="1" applyAlignment="1">
      <alignment vertical="center"/>
    </xf>
    <xf numFmtId="0" fontId="125" fillId="2" borderId="0" xfId="51" applyFont="1" applyFill="1" applyBorder="1" applyAlignment="1">
      <alignment vertical="center"/>
    </xf>
    <xf numFmtId="166" fontId="125" fillId="2" borderId="0" xfId="51" applyNumberFormat="1" applyFont="1" applyFill="1" applyBorder="1" applyAlignment="1">
      <alignment horizontal="right" vertical="center"/>
    </xf>
    <xf numFmtId="0" fontId="39" fillId="2" borderId="0" xfId="51" applyFont="1" applyFill="1" applyAlignment="1">
      <alignment horizontal="center" vertical="center"/>
    </xf>
    <xf numFmtId="0" fontId="39" fillId="2" borderId="0" xfId="51" applyFont="1" applyFill="1" applyBorder="1" applyAlignment="1">
      <alignment horizontal="center" vertical="center"/>
    </xf>
    <xf numFmtId="0" fontId="39" fillId="2" borderId="0" xfId="51" applyFont="1" applyFill="1" applyAlignment="1">
      <alignment horizontal="right" vertical="center"/>
    </xf>
    <xf numFmtId="0" fontId="39" fillId="2" borderId="1" xfId="51" applyFont="1" applyFill="1" applyBorder="1" applyAlignment="1">
      <alignment horizontal="center" vertical="center" wrapText="1"/>
    </xf>
    <xf numFmtId="0" fontId="43" fillId="2" borderId="1" xfId="25" applyFont="1" applyFill="1" applyBorder="1" applyAlignment="1">
      <alignment horizontal="center" vertical="center" wrapText="1"/>
    </xf>
    <xf numFmtId="0" fontId="38" fillId="2" borderId="7" xfId="25" applyFont="1" applyFill="1" applyBorder="1" applyAlignment="1">
      <alignment horizontal="center" vertical="center" wrapText="1"/>
    </xf>
    <xf numFmtId="0" fontId="48" fillId="2" borderId="0" xfId="25" applyFont="1" applyFill="1" applyAlignment="1">
      <alignment horizontal="center" vertical="center" wrapText="1"/>
    </xf>
    <xf numFmtId="0" fontId="48" fillId="2" borderId="1" xfId="25" applyFont="1" applyFill="1" applyBorder="1" applyAlignment="1">
      <alignment horizontal="center" vertical="center" wrapText="1"/>
    </xf>
    <xf numFmtId="0" fontId="8" fillId="2" borderId="1" xfId="25" applyFont="1" applyFill="1" applyBorder="1" applyAlignment="1">
      <alignment horizontal="center" vertical="center" wrapText="1"/>
    </xf>
    <xf numFmtId="4" fontId="8" fillId="2" borderId="1" xfId="25" applyNumberFormat="1" applyFont="1" applyFill="1" applyBorder="1" applyAlignment="1">
      <alignment horizontal="center" vertical="center" wrapText="1"/>
    </xf>
    <xf numFmtId="0" fontId="48" fillId="0" borderId="0" xfId="25" applyFont="1" applyBorder="1" applyAlignment="1">
      <alignment horizontal="center" wrapText="1"/>
    </xf>
    <xf numFmtId="0" fontId="48" fillId="0" borderId="1" xfId="25" applyFont="1" applyBorder="1" applyAlignment="1">
      <alignment horizontal="center" vertical="center" wrapText="1"/>
    </xf>
    <xf numFmtId="167" fontId="39" fillId="0" borderId="1" xfId="29" applyNumberFormat="1" applyFont="1" applyBorder="1" applyAlignment="1">
      <alignment horizontal="center" vertical="center" wrapText="1"/>
    </xf>
    <xf numFmtId="0" fontId="48" fillId="2" borderId="0" xfId="25" applyFont="1" applyFill="1" applyBorder="1" applyAlignment="1">
      <alignment horizontal="center"/>
    </xf>
    <xf numFmtId="0" fontId="17" fillId="0" borderId="1" xfId="29" applyFont="1" applyBorder="1" applyAlignment="1">
      <alignment horizontal="center" vertical="center" wrapText="1"/>
    </xf>
    <xf numFmtId="0" fontId="110" fillId="0" borderId="0" xfId="24" applyFont="1" applyFill="1" applyBorder="1" applyAlignment="1">
      <alignment horizontal="left" wrapText="1"/>
    </xf>
    <xf numFmtId="0" fontId="110" fillId="0" borderId="1" xfId="24" applyFont="1" applyFill="1" applyBorder="1" applyAlignment="1">
      <alignment horizontal="center" vertical="center" wrapText="1"/>
    </xf>
    <xf numFmtId="167" fontId="17" fillId="2" borderId="1" xfId="3" applyNumberFormat="1" applyFont="1" applyFill="1" applyBorder="1" applyAlignment="1">
      <alignment horizontal="center"/>
    </xf>
    <xf numFmtId="0" fontId="16" fillId="0" borderId="4" xfId="26" applyFont="1" applyBorder="1" applyAlignment="1">
      <alignment horizontal="center" vertical="center" wrapText="1"/>
    </xf>
    <xf numFmtId="0" fontId="16" fillId="0" borderId="1" xfId="26" applyFont="1" applyFill="1" applyBorder="1" applyAlignment="1">
      <alignment horizontal="center" vertical="center" wrapText="1"/>
    </xf>
    <xf numFmtId="0" fontId="43" fillId="0" borderId="0" xfId="71" applyFont="1" applyAlignment="1">
      <alignment vertical="center"/>
    </xf>
    <xf numFmtId="0" fontId="16" fillId="0" borderId="0" xfId="71" applyFont="1" applyAlignment="1">
      <alignment vertical="center"/>
    </xf>
    <xf numFmtId="0" fontId="157" fillId="0" borderId="0" xfId="71" applyFont="1" applyAlignment="1">
      <alignment horizontal="center" vertical="center"/>
    </xf>
    <xf numFmtId="0" fontId="55" fillId="0" borderId="0" xfId="71" applyFont="1" applyAlignment="1">
      <alignment horizontal="center" vertical="center"/>
    </xf>
    <xf numFmtId="0" fontId="43" fillId="0" borderId="0" xfId="71" applyFont="1" applyAlignment="1">
      <alignment horizontal="right" vertical="center"/>
    </xf>
    <xf numFmtId="0" fontId="55" fillId="0" borderId="0" xfId="71" applyFont="1" applyAlignment="1">
      <alignment horizontal="right" vertical="center"/>
    </xf>
    <xf numFmtId="0" fontId="17" fillId="0" borderId="1" xfId="71" applyFont="1" applyBorder="1" applyAlignment="1">
      <alignment horizontal="center" vertical="center" wrapText="1"/>
    </xf>
    <xf numFmtId="0" fontId="17" fillId="0" borderId="1" xfId="71" applyFont="1" applyBorder="1" applyAlignment="1">
      <alignment horizontal="center" vertical="center"/>
    </xf>
    <xf numFmtId="49" fontId="17" fillId="4" borderId="1" xfId="71" applyNumberFormat="1" applyFont="1" applyFill="1" applyBorder="1" applyAlignment="1">
      <alignment horizontal="center" vertical="center"/>
    </xf>
    <xf numFmtId="0" fontId="17" fillId="4" borderId="1" xfId="71" applyFont="1" applyFill="1" applyBorder="1" applyAlignment="1">
      <alignment vertical="center"/>
    </xf>
    <xf numFmtId="0" fontId="56" fillId="4" borderId="1" xfId="71" applyFont="1" applyFill="1" applyBorder="1" applyAlignment="1">
      <alignment horizontal="center" vertical="center"/>
    </xf>
    <xf numFmtId="166" fontId="17" fillId="4" borderId="1" xfId="71" applyNumberFormat="1" applyFont="1" applyFill="1" applyBorder="1" applyAlignment="1">
      <alignment horizontal="center" vertical="center"/>
    </xf>
    <xf numFmtId="175" fontId="17" fillId="4" borderId="1" xfId="71" applyNumberFormat="1" applyFont="1" applyFill="1" applyBorder="1" applyAlignment="1">
      <alignment horizontal="center" vertical="center"/>
    </xf>
    <xf numFmtId="0" fontId="43" fillId="4" borderId="1" xfId="71" applyFont="1" applyFill="1" applyBorder="1" applyAlignment="1">
      <alignment vertical="center"/>
    </xf>
    <xf numFmtId="0" fontId="43" fillId="4" borderId="0" xfId="71" applyFont="1" applyFill="1" applyAlignment="1">
      <alignment vertical="center"/>
    </xf>
    <xf numFmtId="49" fontId="17" fillId="2" borderId="1" xfId="71" applyNumberFormat="1" applyFont="1" applyFill="1" applyBorder="1" applyAlignment="1">
      <alignment horizontal="center" vertical="center"/>
    </xf>
    <xf numFmtId="0" fontId="17" fillId="2" borderId="1" xfId="71" applyFont="1" applyFill="1" applyBorder="1" applyAlignment="1">
      <alignment vertical="center"/>
    </xf>
    <xf numFmtId="0" fontId="56" fillId="2" borderId="1" xfId="71" applyFont="1" applyFill="1" applyBorder="1" applyAlignment="1">
      <alignment horizontal="center" vertical="center"/>
    </xf>
    <xf numFmtId="166" fontId="17" fillId="2" borderId="1" xfId="71" applyNumberFormat="1" applyFont="1" applyFill="1" applyBorder="1" applyAlignment="1">
      <alignment horizontal="center" vertical="center"/>
    </xf>
    <xf numFmtId="175" fontId="17" fillId="2" borderId="1" xfId="71" applyNumberFormat="1" applyFont="1" applyFill="1" applyBorder="1" applyAlignment="1">
      <alignment horizontal="center" vertical="center"/>
    </xf>
    <xf numFmtId="0" fontId="43" fillId="0" borderId="1" xfId="71" applyFont="1" applyBorder="1" applyAlignment="1">
      <alignment vertical="center"/>
    </xf>
    <xf numFmtId="0" fontId="17" fillId="2" borderId="0" xfId="71" applyFont="1" applyFill="1" applyAlignment="1">
      <alignment vertical="center"/>
    </xf>
    <xf numFmtId="49" fontId="16" fillId="2" borderId="1" xfId="71" applyNumberFormat="1" applyFont="1" applyFill="1" applyBorder="1" applyAlignment="1">
      <alignment horizontal="center" vertical="center"/>
    </xf>
    <xf numFmtId="0" fontId="16" fillId="2" borderId="1" xfId="71" applyFont="1" applyFill="1" applyBorder="1" applyAlignment="1">
      <alignment vertical="center"/>
    </xf>
    <xf numFmtId="0" fontId="57" fillId="2" borderId="1" xfId="71" applyFont="1" applyFill="1" applyBorder="1" applyAlignment="1">
      <alignment horizontal="left" vertical="center" wrapText="1"/>
    </xf>
    <xf numFmtId="169" fontId="43" fillId="2" borderId="1" xfId="71" applyNumberFormat="1" applyFont="1" applyFill="1" applyBorder="1" applyAlignment="1">
      <alignment horizontal="center" vertical="center"/>
    </xf>
    <xf numFmtId="0" fontId="43" fillId="2" borderId="1" xfId="71" applyFont="1" applyFill="1" applyBorder="1" applyAlignment="1">
      <alignment horizontal="center" vertical="center"/>
    </xf>
    <xf numFmtId="166" fontId="165" fillId="2" borderId="1" xfId="71" applyNumberFormat="1" applyFont="1" applyFill="1" applyBorder="1" applyAlignment="1">
      <alignment vertical="center" wrapText="1"/>
    </xf>
    <xf numFmtId="2" fontId="43" fillId="2" borderId="1" xfId="71" applyNumberFormat="1" applyFont="1" applyFill="1" applyBorder="1" applyAlignment="1">
      <alignment horizontal="center" vertical="center"/>
    </xf>
    <xf numFmtId="0" fontId="43" fillId="0" borderId="1" xfId="71" applyFont="1" applyBorder="1" applyAlignment="1">
      <alignment vertical="center" wrapText="1"/>
    </xf>
    <xf numFmtId="0" fontId="43" fillId="2" borderId="0" xfId="71" applyFont="1" applyFill="1" applyAlignment="1">
      <alignment vertical="center"/>
    </xf>
    <xf numFmtId="166" fontId="16" fillId="2" borderId="4" xfId="71" applyNumberFormat="1" applyFont="1" applyFill="1" applyBorder="1" applyAlignment="1">
      <alignment vertical="center" wrapText="1"/>
    </xf>
    <xf numFmtId="2" fontId="16" fillId="2" borderId="1" xfId="71" applyNumberFormat="1" applyFont="1" applyFill="1" applyBorder="1" applyAlignment="1">
      <alignment horizontal="center" vertical="center"/>
    </xf>
    <xf numFmtId="0" fontId="43" fillId="2" borderId="2" xfId="71" applyFont="1" applyFill="1" applyBorder="1" applyAlignment="1">
      <alignment vertical="center"/>
    </xf>
    <xf numFmtId="0" fontId="56" fillId="2" borderId="1" xfId="71" applyFont="1" applyFill="1" applyBorder="1" applyAlignment="1">
      <alignment vertical="center" wrapText="1"/>
    </xf>
    <xf numFmtId="166" fontId="16" fillId="2" borderId="1" xfId="71" applyNumberFormat="1" applyFont="1" applyFill="1" applyBorder="1" applyAlignment="1">
      <alignment horizontal="center" vertical="center"/>
    </xf>
    <xf numFmtId="0" fontId="56" fillId="2" borderId="1" xfId="71" applyFont="1" applyFill="1" applyBorder="1" applyAlignment="1">
      <alignment vertical="center"/>
    </xf>
    <xf numFmtId="49" fontId="16" fillId="6" borderId="0" xfId="71" applyNumberFormat="1" applyFont="1" applyFill="1" applyBorder="1" applyAlignment="1">
      <alignment vertical="center"/>
    </xf>
    <xf numFmtId="0" fontId="16" fillId="6" borderId="0" xfId="71" applyFont="1" applyFill="1" applyBorder="1" applyAlignment="1">
      <alignment vertical="center"/>
    </xf>
    <xf numFmtId="0" fontId="56" fillId="6" borderId="0" xfId="71" applyFont="1" applyFill="1" applyBorder="1" applyAlignment="1">
      <alignment horizontal="center" vertical="center"/>
    </xf>
    <xf numFmtId="0" fontId="57" fillId="6" borderId="0" xfId="71" applyFont="1" applyFill="1" applyBorder="1" applyAlignment="1">
      <alignment vertical="center"/>
    </xf>
    <xf numFmtId="166" fontId="16" fillId="6" borderId="0" xfId="71" applyNumberFormat="1" applyFont="1" applyFill="1" applyBorder="1" applyAlignment="1">
      <alignment horizontal="center" vertical="center"/>
    </xf>
    <xf numFmtId="166" fontId="16" fillId="6" borderId="0" xfId="71" applyNumberFormat="1" applyFont="1" applyFill="1" applyBorder="1" applyAlignment="1">
      <alignment horizontal="center" vertical="center" wrapText="1"/>
    </xf>
    <xf numFmtId="0" fontId="43" fillId="6" borderId="0" xfId="71" applyFont="1" applyFill="1" applyAlignment="1">
      <alignment vertical="center"/>
    </xf>
    <xf numFmtId="0" fontId="43" fillId="0" borderId="0" xfId="71" applyFont="1" applyFill="1" applyAlignment="1">
      <alignment horizontal="center" vertical="center"/>
    </xf>
    <xf numFmtId="0" fontId="16" fillId="0" borderId="0" xfId="71" applyFont="1" applyAlignment="1">
      <alignment horizontal="center" vertical="center"/>
    </xf>
    <xf numFmtId="0" fontId="43" fillId="0" borderId="1" xfId="71" applyFont="1" applyFill="1" applyBorder="1" applyAlignment="1">
      <alignment horizontal="center" vertical="center" wrapText="1"/>
    </xf>
    <xf numFmtId="175" fontId="43" fillId="0" borderId="1" xfId="72" applyNumberFormat="1" applyFont="1" applyFill="1" applyBorder="1" applyAlignment="1">
      <alignment horizontal="center" vertical="center" wrapText="1"/>
    </xf>
    <xf numFmtId="0" fontId="18" fillId="0" borderId="0" xfId="71" applyFont="1" applyBorder="1" applyAlignment="1">
      <alignment horizontal="left" vertical="center"/>
    </xf>
    <xf numFmtId="0" fontId="18" fillId="0" borderId="0" xfId="71" applyFont="1" applyBorder="1" applyAlignment="1">
      <alignment horizontal="left" vertical="center" wrapText="1"/>
    </xf>
    <xf numFmtId="0" fontId="18" fillId="0" borderId="0" xfId="71" applyFont="1" applyBorder="1" applyAlignment="1">
      <alignment horizontal="center" vertical="center" wrapText="1"/>
    </xf>
    <xf numFmtId="0" fontId="16" fillId="0" borderId="0" xfId="71" applyFont="1" applyAlignment="1"/>
    <xf numFmtId="0" fontId="60" fillId="0" borderId="0" xfId="71" applyFont="1" applyAlignment="1">
      <alignment wrapText="1"/>
    </xf>
    <xf numFmtId="0" fontId="58" fillId="0" borderId="0" xfId="71" applyFont="1" applyAlignment="1">
      <alignment horizontal="center" wrapText="1"/>
    </xf>
    <xf numFmtId="0" fontId="58" fillId="0" borderId="0" xfId="71" applyFont="1" applyAlignment="1">
      <alignment wrapText="1"/>
    </xf>
    <xf numFmtId="0" fontId="16" fillId="0" borderId="0" xfId="71" applyFont="1" applyAlignment="1">
      <alignment horizontal="center"/>
    </xf>
    <xf numFmtId="0" fontId="43" fillId="0" borderId="0" xfId="71" applyFont="1" applyAlignment="1"/>
    <xf numFmtId="0" fontId="59" fillId="0" borderId="0" xfId="71" applyFont="1" applyAlignment="1">
      <alignment horizontal="center" vertical="center" wrapText="1"/>
    </xf>
    <xf numFmtId="0" fontId="18" fillId="0" borderId="0" xfId="71" applyFont="1" applyAlignment="1">
      <alignment horizontal="center" vertical="center" wrapText="1"/>
    </xf>
    <xf numFmtId="0" fontId="18" fillId="0" borderId="0" xfId="71" applyFont="1" applyBorder="1" applyAlignment="1">
      <alignment horizontal="center" vertical="center"/>
    </xf>
    <xf numFmtId="0" fontId="18" fillId="0" borderId="0" xfId="71" applyFont="1" applyAlignment="1">
      <alignment vertical="center" wrapText="1"/>
    </xf>
    <xf numFmtId="0" fontId="60" fillId="0" borderId="0" xfId="71" applyFont="1" applyAlignment="1">
      <alignment horizontal="center" vertical="center"/>
    </xf>
    <xf numFmtId="0" fontId="43" fillId="4" borderId="1" xfId="71" applyFont="1" applyFill="1" applyBorder="1" applyAlignment="1">
      <alignment horizontal="center" vertical="center"/>
    </xf>
    <xf numFmtId="0" fontId="48" fillId="2" borderId="0" xfId="25" applyFont="1" applyFill="1" applyAlignment="1">
      <alignment wrapText="1"/>
    </xf>
    <xf numFmtId="0" fontId="48" fillId="2" borderId="7" xfId="25" applyFont="1" applyFill="1" applyBorder="1" applyAlignment="1">
      <alignment horizontal="center" vertical="center" wrapText="1"/>
    </xf>
    <xf numFmtId="0" fontId="48" fillId="2" borderId="2" xfId="25" applyFont="1" applyFill="1" applyBorder="1" applyAlignment="1">
      <alignment horizontal="center" vertical="center" wrapText="1"/>
    </xf>
    <xf numFmtId="0" fontId="38" fillId="2" borderId="2" xfId="25" applyFont="1" applyFill="1" applyBorder="1" applyAlignment="1">
      <alignment horizontal="center" vertical="center" wrapText="1"/>
    </xf>
    <xf numFmtId="0" fontId="166" fillId="2" borderId="1" xfId="25" applyFont="1" applyFill="1" applyBorder="1" applyAlignment="1">
      <alignment vertical="center" wrapText="1"/>
    </xf>
    <xf numFmtId="0" fontId="166" fillId="2" borderId="1" xfId="25" applyFont="1" applyFill="1" applyBorder="1" applyAlignment="1">
      <alignment horizontal="center" vertical="center" wrapText="1"/>
    </xf>
    <xf numFmtId="2" fontId="48" fillId="2" borderId="1" xfId="25" applyNumberFormat="1" applyFont="1" applyFill="1" applyBorder="1" applyAlignment="1">
      <alignment horizontal="center" vertical="center" wrapText="1"/>
    </xf>
    <xf numFmtId="2" fontId="166" fillId="2" borderId="2" xfId="25" applyNumberFormat="1" applyFont="1" applyFill="1" applyBorder="1" applyAlignment="1">
      <alignment horizontal="center" vertical="center" wrapText="1"/>
    </xf>
    <xf numFmtId="4" fontId="48" fillId="2" borderId="1" xfId="25" applyNumberFormat="1" applyFont="1" applyFill="1" applyBorder="1" applyAlignment="1">
      <alignment wrapText="1"/>
    </xf>
    <xf numFmtId="0" fontId="166" fillId="2" borderId="1" xfId="25" applyFont="1" applyFill="1" applyBorder="1" applyAlignment="1">
      <alignment horizontal="center" vertical="center"/>
    </xf>
    <xf numFmtId="4" fontId="48" fillId="2" borderId="1" xfId="25" applyNumberFormat="1" applyFont="1" applyFill="1" applyBorder="1"/>
    <xf numFmtId="2" fontId="166" fillId="2" borderId="1" xfId="25" applyNumberFormat="1" applyFont="1" applyFill="1" applyBorder="1" applyAlignment="1">
      <alignment horizontal="center" vertical="center"/>
    </xf>
    <xf numFmtId="2" fontId="48" fillId="2" borderId="1" xfId="25" applyNumberFormat="1" applyFont="1" applyFill="1" applyBorder="1" applyAlignment="1">
      <alignment horizontal="center" vertical="center"/>
    </xf>
    <xf numFmtId="0" fontId="45" fillId="2" borderId="0" xfId="25" applyFont="1" applyFill="1" applyAlignment="1">
      <alignment horizontal="right" wrapText="1"/>
    </xf>
    <xf numFmtId="2" fontId="167" fillId="2" borderId="0" xfId="25" applyNumberFormat="1" applyFont="1" applyFill="1" applyAlignment="1">
      <alignment horizontal="center" vertical="center"/>
    </xf>
    <xf numFmtId="2" fontId="45" fillId="2" borderId="1" xfId="25" applyNumberFormat="1" applyFont="1" applyFill="1" applyBorder="1" applyAlignment="1">
      <alignment horizontal="center" vertical="center"/>
    </xf>
    <xf numFmtId="4" fontId="48" fillId="2" borderId="1" xfId="25" applyNumberFormat="1" applyFont="1" applyFill="1" applyBorder="1" applyAlignment="1">
      <alignment horizontal="center" wrapText="1"/>
    </xf>
    <xf numFmtId="0" fontId="65" fillId="2" borderId="0" xfId="71" applyNumberFormat="1" applyFont="1" applyFill="1" applyBorder="1" applyAlignment="1" applyProtection="1">
      <alignment vertical="center"/>
    </xf>
    <xf numFmtId="0" fontId="66" fillId="2" borderId="0" xfId="71" applyNumberFormat="1" applyFont="1" applyFill="1" applyBorder="1" applyAlignment="1" applyProtection="1">
      <alignment vertical="top" wrapText="1"/>
    </xf>
    <xf numFmtId="0" fontId="66" fillId="2" borderId="0" xfId="71" applyNumberFormat="1" applyFont="1" applyFill="1" applyBorder="1" applyAlignment="1" applyProtection="1">
      <alignment horizontal="center" vertical="center"/>
    </xf>
    <xf numFmtId="0" fontId="66" fillId="2" borderId="0" xfId="71" applyNumberFormat="1" applyFont="1" applyFill="1" applyBorder="1" applyAlignment="1" applyProtection="1">
      <alignment vertical="top"/>
    </xf>
    <xf numFmtId="4" fontId="66" fillId="2" borderId="0" xfId="71" applyNumberFormat="1" applyFont="1" applyFill="1" applyBorder="1" applyAlignment="1" applyProtection="1">
      <alignment vertical="top"/>
    </xf>
    <xf numFmtId="0" fontId="66" fillId="2" borderId="0" xfId="71" applyNumberFormat="1" applyFont="1" applyFill="1" applyBorder="1" applyAlignment="1" applyProtection="1">
      <alignment horizontal="right" wrapText="1"/>
    </xf>
    <xf numFmtId="0" fontId="109" fillId="2" borderId="1" xfId="71" applyNumberFormat="1" applyFont="1" applyFill="1" applyBorder="1" applyAlignment="1" applyProtection="1">
      <alignment horizontal="center" vertical="center" wrapText="1"/>
    </xf>
    <xf numFmtId="4" fontId="109" fillId="2" borderId="5" xfId="71" applyNumberFormat="1" applyFont="1" applyFill="1" applyBorder="1" applyAlignment="1" applyProtection="1">
      <alignment horizontal="center" vertical="center"/>
    </xf>
    <xf numFmtId="4" fontId="109" fillId="2" borderId="2" xfId="71" applyNumberFormat="1" applyFont="1" applyFill="1" applyBorder="1" applyAlignment="1" applyProtection="1">
      <alignment horizontal="center" vertical="center"/>
    </xf>
    <xf numFmtId="0" fontId="66" fillId="2" borderId="0" xfId="71" applyNumberFormat="1" applyFont="1" applyFill="1" applyBorder="1" applyAlignment="1" applyProtection="1">
      <alignment horizontal="center" vertical="center" wrapText="1"/>
    </xf>
    <xf numFmtId="0" fontId="71" fillId="2" borderId="1" xfId="71" applyNumberFormat="1" applyFont="1" applyFill="1" applyBorder="1" applyAlignment="1" applyProtection="1">
      <alignment horizontal="left" vertical="center" indent="1"/>
    </xf>
    <xf numFmtId="0" fontId="69" fillId="2" borderId="1" xfId="71" applyNumberFormat="1" applyFont="1" applyFill="1" applyBorder="1" applyAlignment="1" applyProtection="1">
      <alignment vertical="top" wrapText="1"/>
    </xf>
    <xf numFmtId="0" fontId="71" fillId="2" borderId="1" xfId="71" applyNumberFormat="1" applyFont="1" applyFill="1" applyBorder="1" applyAlignment="1" applyProtection="1">
      <alignment horizontal="center" vertical="center"/>
    </xf>
    <xf numFmtId="0" fontId="71" fillId="2" borderId="1" xfId="71" applyNumberFormat="1" applyFont="1" applyFill="1" applyBorder="1" applyAlignment="1" applyProtection="1">
      <alignment vertical="top"/>
    </xf>
    <xf numFmtId="4" fontId="71" fillId="2" borderId="1" xfId="71" applyNumberFormat="1" applyFont="1" applyFill="1" applyBorder="1" applyAlignment="1" applyProtection="1">
      <alignment vertical="top"/>
    </xf>
    <xf numFmtId="0" fontId="71" fillId="2" borderId="0" xfId="71" applyNumberFormat="1" applyFont="1" applyFill="1" applyBorder="1" applyAlignment="1" applyProtection="1">
      <alignment vertical="top"/>
    </xf>
    <xf numFmtId="0" fontId="66" fillId="2" borderId="1" xfId="71" applyNumberFormat="1" applyFont="1" applyFill="1" applyBorder="1" applyAlignment="1" applyProtection="1">
      <alignment horizontal="left" vertical="center" indent="1"/>
    </xf>
    <xf numFmtId="0" fontId="66" fillId="2" borderId="1" xfId="71" applyNumberFormat="1" applyFont="1" applyFill="1" applyBorder="1" applyAlignment="1" applyProtection="1">
      <alignment vertical="top" wrapText="1"/>
    </xf>
    <xf numFmtId="0" fontId="66" fillId="2" borderId="1" xfId="71" applyNumberFormat="1" applyFont="1" applyFill="1" applyBorder="1" applyAlignment="1" applyProtection="1">
      <alignment horizontal="center" vertical="center"/>
    </xf>
    <xf numFmtId="0" fontId="66" fillId="2" borderId="1" xfId="71" applyNumberFormat="1" applyFont="1" applyFill="1" applyBorder="1" applyAlignment="1" applyProtection="1">
      <alignment vertical="top"/>
    </xf>
    <xf numFmtId="4" fontId="66" fillId="2" borderId="1" xfId="71" applyNumberFormat="1" applyFont="1" applyFill="1" applyBorder="1" applyAlignment="1" applyProtection="1">
      <alignment vertical="top"/>
    </xf>
    <xf numFmtId="0" fontId="114" fillId="2" borderId="1" xfId="71" applyNumberFormat="1" applyFont="1" applyFill="1" applyBorder="1" applyAlignment="1" applyProtection="1">
      <alignment horizontal="left" vertical="center" indent="1"/>
    </xf>
    <xf numFmtId="0" fontId="114" fillId="2" borderId="1" xfId="71" applyNumberFormat="1" applyFont="1" applyFill="1" applyBorder="1" applyAlignment="1" applyProtection="1">
      <alignment vertical="top" wrapText="1"/>
    </xf>
    <xf numFmtId="0" fontId="114" fillId="2" borderId="1" xfId="71" applyNumberFormat="1" applyFont="1" applyFill="1" applyBorder="1" applyAlignment="1" applyProtection="1">
      <alignment horizontal="center" vertical="center"/>
    </xf>
    <xf numFmtId="0" fontId="114" fillId="2" borderId="1" xfId="71" applyNumberFormat="1" applyFont="1" applyFill="1" applyBorder="1" applyAlignment="1" applyProtection="1">
      <alignment vertical="top"/>
    </xf>
    <xf numFmtId="4" fontId="114" fillId="2" borderId="1" xfId="71" applyNumberFormat="1" applyFont="1" applyFill="1" applyBorder="1" applyAlignment="1" applyProtection="1">
      <alignment vertical="top"/>
    </xf>
    <xf numFmtId="0" fontId="115" fillId="2" borderId="1" xfId="71" applyNumberFormat="1" applyFont="1" applyFill="1" applyBorder="1" applyAlignment="1" applyProtection="1">
      <alignment vertical="top" wrapText="1"/>
    </xf>
    <xf numFmtId="0" fontId="66" fillId="2" borderId="1" xfId="71" applyNumberFormat="1" applyFont="1" applyFill="1" applyBorder="1" applyAlignment="1" applyProtection="1">
      <alignment vertical="center" wrapText="1"/>
    </xf>
    <xf numFmtId="0" fontId="71" fillId="2" borderId="1" xfId="71" applyNumberFormat="1" applyFont="1" applyFill="1" applyBorder="1" applyAlignment="1" applyProtection="1">
      <alignment vertical="center" wrapText="1"/>
    </xf>
    <xf numFmtId="0" fontId="115" fillId="2" borderId="1" xfId="71" applyNumberFormat="1" applyFont="1" applyFill="1" applyBorder="1" applyAlignment="1" applyProtection="1">
      <alignment vertical="center" wrapText="1"/>
    </xf>
    <xf numFmtId="0" fontId="113" fillId="2" borderId="1" xfId="71" applyNumberFormat="1" applyFont="1" applyFill="1" applyBorder="1" applyAlignment="1" applyProtection="1">
      <alignment vertical="top"/>
    </xf>
    <xf numFmtId="4" fontId="113" fillId="2" borderId="1" xfId="71" applyNumberFormat="1" applyFont="1" applyFill="1" applyBorder="1" applyAlignment="1" applyProtection="1">
      <alignment vertical="top"/>
    </xf>
    <xf numFmtId="0" fontId="116" fillId="2" borderId="1" xfId="71" applyNumberFormat="1" applyFont="1" applyFill="1" applyBorder="1" applyAlignment="1" applyProtection="1">
      <alignment vertical="top" wrapText="1"/>
    </xf>
    <xf numFmtId="1" fontId="113" fillId="2" borderId="1" xfId="71" applyNumberFormat="1" applyFont="1" applyFill="1" applyBorder="1" applyAlignment="1" applyProtection="1">
      <alignment vertical="top"/>
    </xf>
    <xf numFmtId="4" fontId="66" fillId="2" borderId="1" xfId="71" applyNumberFormat="1" applyFont="1" applyFill="1" applyBorder="1" applyAlignment="1" applyProtection="1">
      <alignment horizontal="right" vertical="top"/>
    </xf>
    <xf numFmtId="0" fontId="71" fillId="20" borderId="1" xfId="71" applyNumberFormat="1" applyFont="1" applyFill="1" applyBorder="1" applyAlignment="1" applyProtection="1">
      <alignment horizontal="left" vertical="center" indent="1"/>
    </xf>
    <xf numFmtId="0" fontId="69" fillId="20" borderId="1" xfId="71" applyNumberFormat="1" applyFont="1" applyFill="1" applyBorder="1" applyAlignment="1" applyProtection="1">
      <alignment vertical="top" wrapText="1"/>
    </xf>
    <xf numFmtId="0" fontId="71" fillId="20" borderId="1" xfId="71" applyNumberFormat="1" applyFont="1" applyFill="1" applyBorder="1" applyAlignment="1" applyProtection="1">
      <alignment horizontal="center" vertical="center"/>
    </xf>
    <xf numFmtId="0" fontId="113" fillId="20" borderId="1" xfId="71" applyNumberFormat="1" applyFont="1" applyFill="1" applyBorder="1" applyAlignment="1" applyProtection="1">
      <alignment vertical="top"/>
    </xf>
    <xf numFmtId="4" fontId="113" fillId="20" borderId="1" xfId="71" applyNumberFormat="1" applyFont="1" applyFill="1" applyBorder="1" applyAlignment="1" applyProtection="1">
      <alignment vertical="top"/>
    </xf>
    <xf numFmtId="4" fontId="71" fillId="20" borderId="1" xfId="71" applyNumberFormat="1" applyFont="1" applyFill="1" applyBorder="1" applyAlignment="1" applyProtection="1">
      <alignment vertical="top"/>
    </xf>
    <xf numFmtId="0" fontId="71" fillId="20" borderId="1" xfId="71" applyNumberFormat="1" applyFont="1" applyFill="1" applyBorder="1" applyAlignment="1" applyProtection="1">
      <alignment vertical="top"/>
    </xf>
    <xf numFmtId="0" fontId="71" fillId="20" borderId="0" xfId="71" applyNumberFormat="1" applyFont="1" applyFill="1" applyBorder="1" applyAlignment="1" applyProtection="1">
      <alignment vertical="top"/>
    </xf>
    <xf numFmtId="0" fontId="66" fillId="20" borderId="1" xfId="71" applyNumberFormat="1" applyFont="1" applyFill="1" applyBorder="1" applyAlignment="1" applyProtection="1">
      <alignment horizontal="left" vertical="center" indent="1"/>
    </xf>
    <xf numFmtId="0" fontId="66" fillId="20" borderId="1" xfId="71" applyNumberFormat="1" applyFont="1" applyFill="1" applyBorder="1" applyAlignment="1" applyProtection="1">
      <alignment vertical="top" wrapText="1"/>
    </xf>
    <xf numFmtId="0" fontId="66" fillId="20" borderId="1" xfId="71" applyNumberFormat="1" applyFont="1" applyFill="1" applyBorder="1" applyAlignment="1" applyProtection="1">
      <alignment horizontal="center" vertical="center"/>
    </xf>
    <xf numFmtId="4" fontId="66" fillId="20" borderId="1" xfId="71" applyNumberFormat="1" applyFont="1" applyFill="1" applyBorder="1" applyAlignment="1" applyProtection="1">
      <alignment vertical="top"/>
    </xf>
    <xf numFmtId="0" fontId="66" fillId="20" borderId="0" xfId="71" applyNumberFormat="1" applyFont="1" applyFill="1" applyBorder="1" applyAlignment="1" applyProtection="1">
      <alignment vertical="top"/>
    </xf>
    <xf numFmtId="0" fontId="66" fillId="20" borderId="1" xfId="71" applyNumberFormat="1" applyFont="1" applyFill="1" applyBorder="1" applyAlignment="1" applyProtection="1">
      <alignment vertical="top"/>
    </xf>
    <xf numFmtId="1" fontId="113" fillId="20" borderId="1" xfId="71" applyNumberFormat="1" applyFont="1" applyFill="1" applyBorder="1" applyAlignment="1" applyProtection="1">
      <alignment vertical="top"/>
    </xf>
    <xf numFmtId="4" fontId="66" fillId="20" borderId="1" xfId="71" applyNumberFormat="1" applyFont="1" applyFill="1" applyBorder="1" applyAlignment="1" applyProtection="1">
      <alignment horizontal="right" vertical="top"/>
    </xf>
    <xf numFmtId="0" fontId="117" fillId="2" borderId="1" xfId="71" applyNumberFormat="1" applyFont="1" applyFill="1" applyBorder="1" applyAlignment="1" applyProtection="1">
      <alignment horizontal="left" vertical="center" indent="1"/>
    </xf>
    <xf numFmtId="0" fontId="117" fillId="2" borderId="1" xfId="71" applyNumberFormat="1" applyFont="1" applyFill="1" applyBorder="1" applyAlignment="1" applyProtection="1">
      <alignment vertical="top" wrapText="1"/>
    </xf>
    <xf numFmtId="0" fontId="62" fillId="2" borderId="1" xfId="71" applyNumberFormat="1" applyFont="1" applyFill="1" applyBorder="1" applyAlignment="1" applyProtection="1">
      <alignment vertical="top" wrapText="1"/>
    </xf>
    <xf numFmtId="0" fontId="113" fillId="2" borderId="1" xfId="71" applyNumberFormat="1" applyFont="1" applyFill="1" applyBorder="1" applyAlignment="1" applyProtection="1">
      <alignment vertical="top" wrapText="1"/>
    </xf>
    <xf numFmtId="0" fontId="66" fillId="7" borderId="1" xfId="71" applyNumberFormat="1" applyFont="1" applyFill="1" applyBorder="1" applyAlignment="1" applyProtection="1">
      <alignment vertical="center"/>
    </xf>
    <xf numFmtId="0" fontId="117" fillId="7" borderId="1" xfId="71" applyNumberFormat="1" applyFont="1" applyFill="1" applyBorder="1" applyAlignment="1" applyProtection="1">
      <alignment vertical="top" wrapText="1"/>
    </xf>
    <xf numFmtId="0" fontId="117" fillId="7" borderId="1" xfId="71" applyNumberFormat="1" applyFont="1" applyFill="1" applyBorder="1" applyAlignment="1" applyProtection="1">
      <alignment horizontal="center" vertical="center"/>
    </xf>
    <xf numFmtId="0" fontId="117" fillId="7" borderId="1" xfId="71" applyNumberFormat="1" applyFont="1" applyFill="1" applyBorder="1" applyAlignment="1" applyProtection="1">
      <alignment vertical="top"/>
    </xf>
    <xf numFmtId="4" fontId="117" fillId="7" borderId="1" xfId="71" applyNumberFormat="1" applyFont="1" applyFill="1" applyBorder="1" applyAlignment="1" applyProtection="1">
      <alignment vertical="top"/>
    </xf>
    <xf numFmtId="0" fontId="66" fillId="7" borderId="1" xfId="71" applyNumberFormat="1" applyFont="1" applyFill="1" applyBorder="1" applyAlignment="1" applyProtection="1">
      <alignment vertical="top"/>
    </xf>
    <xf numFmtId="0" fontId="66" fillId="7" borderId="0" xfId="71" applyNumberFormat="1" applyFont="1" applyFill="1" applyBorder="1" applyAlignment="1" applyProtection="1">
      <alignment vertical="top"/>
    </xf>
    <xf numFmtId="0" fontId="66" fillId="2" borderId="0" xfId="71" applyNumberFormat="1" applyFont="1" applyFill="1" applyBorder="1" applyAlignment="1" applyProtection="1">
      <alignment vertical="center"/>
    </xf>
    <xf numFmtId="0" fontId="70" fillId="2" borderId="0" xfId="71" applyNumberFormat="1" applyFont="1" applyFill="1" applyBorder="1" applyAlignment="1" applyProtection="1">
      <alignment vertical="center"/>
    </xf>
    <xf numFmtId="0" fontId="60" fillId="2" borderId="0" xfId="71" applyFont="1" applyFill="1" applyAlignment="1">
      <alignment wrapText="1"/>
    </xf>
    <xf numFmtId="0" fontId="47" fillId="2" borderId="0" xfId="71" applyFont="1" applyFill="1" applyAlignment="1">
      <alignment horizontal="center" vertical="center" wrapText="1"/>
    </xf>
    <xf numFmtId="0" fontId="47" fillId="2" borderId="0" xfId="71" applyFont="1" applyFill="1" applyBorder="1" applyAlignment="1">
      <alignment vertical="center"/>
    </xf>
    <xf numFmtId="4" fontId="60" fillId="2" borderId="0" xfId="71" applyNumberFormat="1" applyFont="1" applyFill="1" applyBorder="1" applyAlignment="1"/>
    <xf numFmtId="2" fontId="70" fillId="2" borderId="0" xfId="71" applyNumberFormat="1" applyFont="1" applyFill="1" applyBorder="1" applyAlignment="1" applyProtection="1">
      <alignment vertical="top"/>
    </xf>
    <xf numFmtId="0" fontId="70" fillId="2" borderId="0" xfId="71" applyNumberFormat="1" applyFont="1" applyFill="1" applyBorder="1" applyAlignment="1" applyProtection="1">
      <alignment vertical="top"/>
    </xf>
    <xf numFmtId="0" fontId="70" fillId="2" borderId="0" xfId="71" applyNumberFormat="1" applyFont="1" applyFill="1" applyBorder="1" applyAlignment="1" applyProtection="1">
      <alignment horizontal="center" vertical="center"/>
    </xf>
    <xf numFmtId="14" fontId="48" fillId="2" borderId="0" xfId="25" applyNumberFormat="1" applyFont="1" applyFill="1"/>
    <xf numFmtId="1" fontId="66" fillId="2" borderId="1" xfId="71" applyNumberFormat="1" applyFont="1" applyFill="1" applyBorder="1" applyAlignment="1" applyProtection="1">
      <alignment horizontal="center" vertical="top"/>
    </xf>
    <xf numFmtId="4" fontId="66" fillId="2" borderId="1" xfId="71" applyNumberFormat="1" applyFont="1" applyFill="1" applyBorder="1" applyAlignment="1" applyProtection="1">
      <alignment horizontal="center" vertical="top"/>
    </xf>
    <xf numFmtId="167" fontId="16" fillId="0" borderId="17" xfId="3" applyNumberFormat="1" applyFont="1" applyBorder="1"/>
    <xf numFmtId="4" fontId="16" fillId="0" borderId="1" xfId="3" applyNumberFormat="1" applyFont="1" applyBorder="1" applyAlignment="1">
      <alignment horizontal="right"/>
    </xf>
    <xf numFmtId="167" fontId="16" fillId="0" borderId="1" xfId="3" applyNumberFormat="1" applyFont="1" applyBorder="1"/>
    <xf numFmtId="167" fontId="104" fillId="0" borderId="18" xfId="3" applyNumberFormat="1" applyFont="1" applyBorder="1"/>
    <xf numFmtId="167" fontId="104" fillId="2" borderId="1" xfId="3" applyNumberFormat="1" applyFont="1" applyFill="1" applyBorder="1"/>
    <xf numFmtId="167" fontId="17" fillId="0" borderId="36" xfId="3" applyNumberFormat="1" applyFont="1" applyBorder="1"/>
    <xf numFmtId="4" fontId="17" fillId="0" borderId="40" xfId="3" applyNumberFormat="1" applyFont="1" applyBorder="1" applyAlignment="1">
      <alignment horizontal="right"/>
    </xf>
    <xf numFmtId="167" fontId="17" fillId="0" borderId="40" xfId="3" applyNumberFormat="1" applyFont="1" applyBorder="1"/>
    <xf numFmtId="167" fontId="132" fillId="0" borderId="37" xfId="3" applyNumberFormat="1" applyFont="1" applyBorder="1"/>
    <xf numFmtId="167" fontId="132" fillId="2" borderId="1" xfId="3" applyNumberFormat="1" applyFont="1" applyFill="1" applyBorder="1"/>
    <xf numFmtId="167" fontId="16" fillId="0" borderId="71" xfId="3" applyNumberFormat="1" applyFont="1" applyBorder="1"/>
    <xf numFmtId="4" fontId="16" fillId="0" borderId="4" xfId="3" applyNumberFormat="1" applyFont="1" applyBorder="1" applyAlignment="1">
      <alignment horizontal="right"/>
    </xf>
    <xf numFmtId="167" fontId="16" fillId="0" borderId="4" xfId="3" applyNumberFormat="1" applyFont="1" applyBorder="1"/>
    <xf numFmtId="167" fontId="104" fillId="0" borderId="19" xfId="3" applyNumberFormat="1" applyFont="1" applyBorder="1"/>
    <xf numFmtId="167" fontId="17" fillId="0" borderId="17" xfId="3" applyNumberFormat="1" applyFont="1" applyBorder="1"/>
    <xf numFmtId="4" fontId="17" fillId="0" borderId="1" xfId="3" applyNumberFormat="1" applyFont="1" applyBorder="1" applyAlignment="1">
      <alignment horizontal="right"/>
    </xf>
    <xf numFmtId="167" fontId="17" fillId="0" borderId="1" xfId="3" applyNumberFormat="1" applyFont="1" applyBorder="1"/>
    <xf numFmtId="167" fontId="132" fillId="0" borderId="1" xfId="3" applyNumberFormat="1" applyFont="1" applyBorder="1"/>
    <xf numFmtId="167" fontId="16" fillId="0" borderId="36" xfId="3" applyNumberFormat="1" applyFont="1" applyBorder="1"/>
    <xf numFmtId="167" fontId="16" fillId="0" borderId="40" xfId="3" applyNumberFormat="1" applyFont="1" applyBorder="1"/>
    <xf numFmtId="167" fontId="104" fillId="0" borderId="37" xfId="3" applyNumberFormat="1" applyFont="1" applyBorder="1"/>
    <xf numFmtId="1" fontId="16" fillId="2" borderId="1" xfId="3" applyNumberFormat="1" applyFont="1" applyFill="1" applyBorder="1" applyAlignment="1">
      <alignment horizontal="center"/>
    </xf>
    <xf numFmtId="167" fontId="16" fillId="2" borderId="1" xfId="3" applyNumberFormat="1" applyFont="1" applyFill="1" applyBorder="1" applyAlignment="1">
      <alignment wrapText="1"/>
    </xf>
    <xf numFmtId="0" fontId="74" fillId="2" borderId="0" xfId="25" applyFont="1" applyFill="1" applyBorder="1" applyAlignment="1">
      <alignment vertical="center" wrapText="1"/>
    </xf>
    <xf numFmtId="0" fontId="74" fillId="2" borderId="0" xfId="25" applyFont="1" applyFill="1" applyBorder="1" applyAlignment="1">
      <alignment vertical="center"/>
    </xf>
    <xf numFmtId="0" fontId="74" fillId="2" borderId="0" xfId="25" applyFont="1" applyFill="1"/>
    <xf numFmtId="0" fontId="74" fillId="2" borderId="0" xfId="25" applyFont="1" applyFill="1" applyBorder="1" applyAlignment="1">
      <alignment horizontal="right" vertical="center"/>
    </xf>
    <xf numFmtId="0" fontId="74" fillId="2" borderId="1" xfId="25" applyFont="1" applyFill="1" applyBorder="1" applyAlignment="1">
      <alignment horizontal="center" vertical="center" textRotation="90" wrapText="1"/>
    </xf>
    <xf numFmtId="0" fontId="74" fillId="2" borderId="1" xfId="25" applyFont="1" applyFill="1" applyBorder="1" applyAlignment="1">
      <alignment horizontal="center" vertical="center" wrapText="1"/>
    </xf>
    <xf numFmtId="0" fontId="74" fillId="2" borderId="1" xfId="25" applyFont="1" applyFill="1" applyBorder="1" applyAlignment="1">
      <alignment vertical="center" wrapText="1"/>
    </xf>
    <xf numFmtId="4" fontId="74" fillId="2" borderId="1" xfId="25" applyNumberFormat="1" applyFont="1" applyFill="1" applyBorder="1" applyAlignment="1">
      <alignment horizontal="center" vertical="center" wrapText="1"/>
    </xf>
    <xf numFmtId="4" fontId="169" fillId="2" borderId="1" xfId="25" applyNumberFormat="1" applyFont="1" applyFill="1" applyBorder="1" applyAlignment="1">
      <alignment horizontal="left" vertical="center" wrapText="1"/>
    </xf>
    <xf numFmtId="4" fontId="74" fillId="2" borderId="0" xfId="25" applyNumberFormat="1" applyFont="1" applyFill="1" applyBorder="1" applyAlignment="1">
      <alignment vertical="center" wrapText="1"/>
    </xf>
    <xf numFmtId="0" fontId="75" fillId="2" borderId="1" xfId="25" applyFont="1" applyFill="1" applyBorder="1" applyAlignment="1">
      <alignment horizontal="center" vertical="center" wrapText="1"/>
    </xf>
    <xf numFmtId="0" fontId="75" fillId="2" borderId="1" xfId="25" applyFont="1" applyFill="1" applyBorder="1" applyAlignment="1">
      <alignment vertical="center" wrapText="1"/>
    </xf>
    <xf numFmtId="4" fontId="76" fillId="2" borderId="1" xfId="25" applyNumberFormat="1" applyFont="1" applyFill="1" applyBorder="1" applyAlignment="1">
      <alignment horizontal="center" vertical="center" wrapText="1"/>
    </xf>
    <xf numFmtId="16" fontId="75" fillId="2" borderId="1" xfId="25" applyNumberFormat="1" applyFont="1" applyFill="1" applyBorder="1" applyAlignment="1">
      <alignment horizontal="center" vertical="center" wrapText="1"/>
    </xf>
    <xf numFmtId="0" fontId="78" fillId="2" borderId="1" xfId="25" applyFont="1" applyFill="1" applyBorder="1" applyAlignment="1">
      <alignment horizontal="center" vertical="center" wrapText="1"/>
    </xf>
    <xf numFmtId="0" fontId="78" fillId="2" borderId="1" xfId="25" applyFont="1" applyFill="1" applyBorder="1" applyAlignment="1">
      <alignment vertical="center" wrapText="1"/>
    </xf>
    <xf numFmtId="4" fontId="77" fillId="2" borderId="1" xfId="25" applyNumberFormat="1" applyFont="1" applyFill="1" applyBorder="1" applyAlignment="1">
      <alignment horizontal="center" vertical="center" wrapText="1"/>
    </xf>
    <xf numFmtId="0" fontId="77" fillId="2" borderId="0" xfId="25" applyFont="1" applyFill="1" applyBorder="1" applyAlignment="1">
      <alignment vertical="center" wrapText="1"/>
    </xf>
    <xf numFmtId="4" fontId="74" fillId="2" borderId="0" xfId="25" applyNumberFormat="1" applyFont="1" applyFill="1" applyBorder="1" applyAlignment="1">
      <alignment horizontal="center" vertical="center" wrapText="1"/>
    </xf>
    <xf numFmtId="0" fontId="43" fillId="0" borderId="0" xfId="71" applyFont="1" applyAlignment="1">
      <alignment horizontal="center" vertical="center" wrapText="1"/>
    </xf>
    <xf numFmtId="0" fontId="43" fillId="0" borderId="0" xfId="71" applyFont="1" applyAlignment="1">
      <alignment horizontal="left" vertical="center" wrapText="1"/>
    </xf>
    <xf numFmtId="0" fontId="43" fillId="0" borderId="0" xfId="71" applyFont="1" applyAlignment="1">
      <alignment vertical="center" wrapText="1"/>
    </xf>
    <xf numFmtId="2" fontId="43" fillId="0" borderId="0" xfId="71" applyNumberFormat="1" applyFont="1" applyAlignment="1">
      <alignment horizontal="center" vertical="center" wrapText="1"/>
    </xf>
    <xf numFmtId="166" fontId="43" fillId="0" borderId="0" xfId="71" applyNumberFormat="1" applyFont="1" applyAlignment="1">
      <alignment horizontal="center" vertical="center" wrapText="1"/>
    </xf>
    <xf numFmtId="4" fontId="43" fillId="0" borderId="0" xfId="71" applyNumberFormat="1" applyFont="1" applyAlignment="1">
      <alignment horizontal="center" vertical="center" wrapText="1"/>
    </xf>
    <xf numFmtId="0" fontId="43" fillId="2" borderId="0" xfId="71" applyFont="1" applyFill="1" applyAlignment="1">
      <alignment horizontal="center" vertical="center" wrapText="1"/>
    </xf>
    <xf numFmtId="167" fontId="43" fillId="2" borderId="0" xfId="71" applyNumberFormat="1" applyFont="1" applyFill="1" applyAlignment="1">
      <alignment horizontal="center" vertical="center" wrapText="1"/>
    </xf>
    <xf numFmtId="4" fontId="43" fillId="2" borderId="0" xfId="71" applyNumberFormat="1" applyFont="1" applyFill="1" applyAlignment="1">
      <alignment horizontal="center" vertical="center" wrapText="1"/>
    </xf>
    <xf numFmtId="0" fontId="18" fillId="0" borderId="1" xfId="71" applyFont="1" applyBorder="1" applyAlignment="1">
      <alignment horizontal="center" vertical="center" wrapText="1"/>
    </xf>
    <xf numFmtId="0" fontId="43" fillId="0" borderId="1" xfId="71" applyFont="1" applyBorder="1" applyAlignment="1">
      <alignment horizontal="center" vertical="center" wrapText="1"/>
    </xf>
    <xf numFmtId="0" fontId="82" fillId="8" borderId="1" xfId="71" applyFont="1" applyFill="1" applyBorder="1" applyAlignment="1">
      <alignment horizontal="center" vertical="center" wrapText="1"/>
    </xf>
    <xf numFmtId="0" fontId="82" fillId="8" borderId="1" xfId="71" applyFont="1" applyFill="1" applyBorder="1" applyAlignment="1">
      <alignment vertical="center" wrapText="1"/>
    </xf>
    <xf numFmtId="4" fontId="44" fillId="8" borderId="1" xfId="71" applyNumberFormat="1" applyFont="1" applyFill="1" applyBorder="1" applyAlignment="1">
      <alignment horizontal="center" vertical="center" wrapText="1"/>
    </xf>
    <xf numFmtId="4" fontId="43" fillId="8" borderId="1" xfId="71" applyNumberFormat="1" applyFont="1" applyFill="1" applyBorder="1" applyAlignment="1">
      <alignment horizontal="left" vertical="center" wrapText="1"/>
    </xf>
    <xf numFmtId="0" fontId="82" fillId="0" borderId="0" xfId="71" applyFont="1" applyAlignment="1">
      <alignment horizontal="center" vertical="center" wrapText="1"/>
    </xf>
    <xf numFmtId="0" fontId="82" fillId="0" borderId="1" xfId="71" applyFont="1" applyFill="1" applyBorder="1" applyAlignment="1">
      <alignment horizontal="center" vertical="center" wrapText="1"/>
    </xf>
    <xf numFmtId="0" fontId="18" fillId="0" borderId="1" xfId="71" applyFont="1" applyFill="1" applyBorder="1" applyAlignment="1">
      <alignment horizontal="center" vertical="center" wrapText="1"/>
    </xf>
    <xf numFmtId="4" fontId="43" fillId="2" borderId="1" xfId="71" applyNumberFormat="1" applyFont="1" applyFill="1" applyBorder="1" applyAlignment="1">
      <alignment horizontal="center" vertical="center" wrapText="1"/>
    </xf>
    <xf numFmtId="3" fontId="43" fillId="2" borderId="1" xfId="71" applyNumberFormat="1" applyFont="1" applyFill="1" applyBorder="1" applyAlignment="1">
      <alignment horizontal="center" vertical="center" wrapText="1"/>
    </xf>
    <xf numFmtId="167" fontId="43" fillId="2" borderId="1" xfId="71" applyNumberFormat="1" applyFont="1" applyFill="1" applyBorder="1" applyAlignment="1">
      <alignment horizontal="center" vertical="center" wrapText="1"/>
    </xf>
    <xf numFmtId="4" fontId="43" fillId="2" borderId="1" xfId="71" applyNumberFormat="1" applyFont="1" applyFill="1" applyBorder="1" applyAlignment="1">
      <alignment horizontal="left" vertical="center" wrapText="1"/>
    </xf>
    <xf numFmtId="0" fontId="82" fillId="0" borderId="0" xfId="71" applyFont="1" applyFill="1" applyAlignment="1">
      <alignment horizontal="center" vertical="center" wrapText="1"/>
    </xf>
    <xf numFmtId="0" fontId="16" fillId="0" borderId="1" xfId="71" applyFont="1" applyFill="1" applyBorder="1" applyAlignment="1">
      <alignment horizontal="left" vertical="center"/>
    </xf>
    <xf numFmtId="0" fontId="82" fillId="0" borderId="1" xfId="71" applyFont="1" applyFill="1" applyBorder="1" applyAlignment="1">
      <alignment vertical="center" wrapText="1"/>
    </xf>
    <xf numFmtId="167" fontId="43" fillId="0" borderId="1" xfId="71" applyNumberFormat="1" applyFont="1" applyFill="1" applyBorder="1" applyAlignment="1">
      <alignment horizontal="center" vertical="center" wrapText="1"/>
    </xf>
    <xf numFmtId="164" fontId="43" fillId="0" borderId="1" xfId="71" applyNumberFormat="1" applyFont="1" applyFill="1" applyBorder="1" applyAlignment="1">
      <alignment horizontal="center" vertical="center" wrapText="1"/>
    </xf>
    <xf numFmtId="176" fontId="43" fillId="0" borderId="1" xfId="71" applyNumberFormat="1" applyFont="1" applyFill="1" applyBorder="1" applyAlignment="1">
      <alignment horizontal="center" vertical="center" wrapText="1"/>
    </xf>
    <xf numFmtId="4" fontId="43" fillId="0" borderId="1" xfId="71" applyNumberFormat="1" applyFont="1" applyFill="1" applyBorder="1" applyAlignment="1">
      <alignment horizontal="left" vertical="center" wrapText="1"/>
    </xf>
    <xf numFmtId="167" fontId="44" fillId="8" borderId="1" xfId="71" applyNumberFormat="1" applyFont="1" applyFill="1" applyBorder="1" applyAlignment="1">
      <alignment horizontal="center" vertical="center" wrapText="1"/>
    </xf>
    <xf numFmtId="0" fontId="82" fillId="2" borderId="1" xfId="71" applyFont="1" applyFill="1" applyBorder="1" applyAlignment="1">
      <alignment horizontal="center" vertical="center" wrapText="1"/>
    </xf>
    <xf numFmtId="164" fontId="43" fillId="2" borderId="1" xfId="71" applyNumberFormat="1" applyFont="1" applyFill="1" applyBorder="1" applyAlignment="1">
      <alignment horizontal="center" vertical="center" wrapText="1"/>
    </xf>
    <xf numFmtId="176" fontId="43" fillId="2" borderId="1" xfId="71" applyNumberFormat="1" applyFont="1" applyFill="1" applyBorder="1" applyAlignment="1">
      <alignment horizontal="center" vertical="center" wrapText="1"/>
    </xf>
    <xf numFmtId="0" fontId="82" fillId="2" borderId="0" xfId="71" applyFont="1" applyFill="1" applyAlignment="1">
      <alignment horizontal="center" vertical="center" wrapText="1"/>
    </xf>
    <xf numFmtId="164" fontId="44" fillId="8" borderId="1" xfId="71" applyNumberFormat="1" applyFont="1" applyFill="1" applyBorder="1" applyAlignment="1">
      <alignment horizontal="center" vertical="center" wrapText="1"/>
    </xf>
    <xf numFmtId="176" fontId="44" fillId="8" borderId="1" xfId="71" applyNumberFormat="1" applyFont="1" applyFill="1" applyBorder="1" applyAlignment="1">
      <alignment horizontal="center" vertical="center" wrapText="1"/>
    </xf>
    <xf numFmtId="3" fontId="44" fillId="8" borderId="1" xfId="71" applyNumberFormat="1" applyFont="1" applyFill="1" applyBorder="1" applyAlignment="1">
      <alignment horizontal="center" vertical="center" wrapText="1"/>
    </xf>
    <xf numFmtId="4" fontId="43" fillId="0" borderId="1" xfId="71" applyNumberFormat="1" applyFont="1" applyFill="1" applyBorder="1" applyAlignment="1">
      <alignment horizontal="center" vertical="center" wrapText="1"/>
    </xf>
    <xf numFmtId="3" fontId="43" fillId="0" borderId="1" xfId="71" applyNumberFormat="1" applyFont="1" applyFill="1" applyBorder="1" applyAlignment="1">
      <alignment horizontal="center" vertical="center" wrapText="1"/>
    </xf>
    <xf numFmtId="1" fontId="43" fillId="0" borderId="1" xfId="71" applyNumberFormat="1" applyFont="1" applyFill="1" applyBorder="1" applyAlignment="1">
      <alignment horizontal="center" vertical="center" wrapText="1"/>
    </xf>
    <xf numFmtId="0" fontId="18" fillId="0" borderId="0" xfId="71" applyFont="1" applyFill="1" applyAlignment="1">
      <alignment horizontal="center" vertical="center" wrapText="1"/>
    </xf>
    <xf numFmtId="0" fontId="43" fillId="2" borderId="1" xfId="71" applyFont="1" applyFill="1" applyBorder="1" applyAlignment="1">
      <alignment horizontal="center" vertical="center" wrapText="1"/>
    </xf>
    <xf numFmtId="2" fontId="43" fillId="2" borderId="1" xfId="71" applyNumberFormat="1" applyFont="1" applyFill="1" applyBorder="1" applyAlignment="1">
      <alignment horizontal="center" vertical="center" wrapText="1"/>
    </xf>
    <xf numFmtId="1" fontId="43" fillId="2" borderId="1" xfId="71" applyNumberFormat="1" applyFont="1" applyFill="1" applyBorder="1" applyAlignment="1">
      <alignment horizontal="center" vertical="center" wrapText="1"/>
    </xf>
    <xf numFmtId="0" fontId="18" fillId="0" borderId="1" xfId="71" applyFont="1" applyFill="1" applyBorder="1" applyAlignment="1">
      <alignment vertical="center" wrapText="1"/>
    </xf>
    <xf numFmtId="174" fontId="43" fillId="2" borderId="1" xfId="71" applyNumberFormat="1" applyFont="1" applyFill="1" applyBorder="1" applyAlignment="1">
      <alignment horizontal="center" vertical="center" wrapText="1"/>
    </xf>
    <xf numFmtId="180" fontId="43" fillId="2" borderId="1" xfId="71" applyNumberFormat="1" applyFont="1" applyFill="1" applyBorder="1" applyAlignment="1">
      <alignment horizontal="center" vertical="center" wrapText="1"/>
    </xf>
    <xf numFmtId="4" fontId="43" fillId="0" borderId="1" xfId="71" applyNumberFormat="1" applyFont="1" applyFill="1" applyBorder="1" applyAlignment="1">
      <alignment vertical="center" wrapText="1"/>
    </xf>
    <xf numFmtId="4" fontId="43" fillId="8" borderId="7" xfId="71" applyNumberFormat="1" applyFont="1" applyFill="1" applyBorder="1" applyAlignment="1">
      <alignment horizontal="left" vertical="center" wrapText="1"/>
    </xf>
    <xf numFmtId="2" fontId="44" fillId="8" borderId="1" xfId="71" applyNumberFormat="1" applyFont="1" applyFill="1" applyBorder="1" applyAlignment="1">
      <alignment horizontal="center" vertical="center" wrapText="1"/>
    </xf>
    <xf numFmtId="1" fontId="44" fillId="8" borderId="1" xfId="71" applyNumberFormat="1" applyFont="1" applyFill="1" applyBorder="1" applyAlignment="1">
      <alignment horizontal="center" vertical="center" wrapText="1"/>
    </xf>
    <xf numFmtId="0" fontId="82" fillId="0" borderId="0" xfId="71" applyFont="1" applyAlignment="1">
      <alignment vertical="center" wrapText="1"/>
    </xf>
    <xf numFmtId="0" fontId="82" fillId="9" borderId="1" xfId="71" applyFont="1" applyFill="1" applyBorder="1" applyAlignment="1">
      <alignment horizontal="center" vertical="center" wrapText="1"/>
    </xf>
    <xf numFmtId="0" fontId="82" fillId="9" borderId="1" xfId="71" applyFont="1" applyFill="1" applyBorder="1" applyAlignment="1">
      <alignment vertical="center" wrapText="1"/>
    </xf>
    <xf numFmtId="4" fontId="44" fillId="9" borderId="1" xfId="71" applyNumberFormat="1" applyFont="1" applyFill="1" applyBorder="1" applyAlignment="1">
      <alignment horizontal="center" vertical="center" wrapText="1"/>
    </xf>
    <xf numFmtId="1" fontId="44" fillId="9" borderId="1" xfId="71" applyNumberFormat="1" applyFont="1" applyFill="1" applyBorder="1" applyAlignment="1">
      <alignment horizontal="center" vertical="center" wrapText="1"/>
    </xf>
    <xf numFmtId="167" fontId="44" fillId="9" borderId="1" xfId="71" applyNumberFormat="1" applyFont="1" applyFill="1" applyBorder="1" applyAlignment="1">
      <alignment horizontal="center" vertical="center" wrapText="1"/>
    </xf>
    <xf numFmtId="0" fontId="44" fillId="9" borderId="1" xfId="71" applyFont="1" applyFill="1" applyBorder="1" applyAlignment="1">
      <alignment horizontal="center" vertical="center" wrapText="1"/>
    </xf>
    <xf numFmtId="4" fontId="44" fillId="9" borderId="1" xfId="71" applyNumberFormat="1" applyFont="1" applyFill="1" applyBorder="1" applyAlignment="1">
      <alignment horizontal="left" vertical="center" wrapText="1"/>
    </xf>
    <xf numFmtId="4" fontId="44" fillId="9" borderId="1" xfId="71" applyNumberFormat="1" applyFont="1" applyFill="1" applyBorder="1" applyAlignment="1">
      <alignment vertical="center" wrapText="1"/>
    </xf>
    <xf numFmtId="0" fontId="18" fillId="0" borderId="1" xfId="71" applyFont="1" applyBorder="1" applyAlignment="1">
      <alignment vertical="center" wrapText="1"/>
    </xf>
    <xf numFmtId="167" fontId="43" fillId="0" borderId="1" xfId="71" applyNumberFormat="1" applyFont="1" applyBorder="1" applyAlignment="1">
      <alignment horizontal="center" vertical="center" wrapText="1"/>
    </xf>
    <xf numFmtId="4" fontId="43" fillId="0" borderId="1" xfId="71" applyNumberFormat="1" applyFont="1" applyBorder="1" applyAlignment="1">
      <alignment horizontal="center" vertical="center" wrapText="1"/>
    </xf>
    <xf numFmtId="4" fontId="43" fillId="0" borderId="1" xfId="71" applyNumberFormat="1" applyFont="1" applyBorder="1" applyAlignment="1">
      <alignment horizontal="left" vertical="center" wrapText="1"/>
    </xf>
    <xf numFmtId="4" fontId="43" fillId="0" borderId="1" xfId="71" applyNumberFormat="1" applyFont="1" applyBorder="1" applyAlignment="1">
      <alignment vertical="center" wrapText="1"/>
    </xf>
    <xf numFmtId="4" fontId="43" fillId="9" borderId="1" xfId="71" applyNumberFormat="1" applyFont="1" applyFill="1" applyBorder="1" applyAlignment="1">
      <alignment horizontal="left" vertical="center" wrapText="1"/>
    </xf>
    <xf numFmtId="0" fontId="82" fillId="0" borderId="0" xfId="71" applyFont="1" applyBorder="1" applyAlignment="1">
      <alignment horizontal="center" vertical="center" wrapText="1"/>
    </xf>
    <xf numFmtId="0" fontId="44" fillId="0" borderId="0" xfId="71" applyFont="1" applyFill="1" applyBorder="1" applyAlignment="1">
      <alignment vertical="center" wrapText="1"/>
    </xf>
    <xf numFmtId="0" fontId="17" fillId="0" borderId="0" xfId="71" applyFont="1" applyFill="1" applyBorder="1" applyAlignment="1">
      <alignment horizontal="center" vertical="center" wrapText="1"/>
    </xf>
    <xf numFmtId="167" fontId="17" fillId="0" borderId="0" xfId="71" applyNumberFormat="1" applyFont="1" applyFill="1" applyBorder="1" applyAlignment="1">
      <alignment horizontal="center" vertical="center" wrapText="1"/>
    </xf>
    <xf numFmtId="4" fontId="17" fillId="0" borderId="0" xfId="71" applyNumberFormat="1" applyFont="1" applyFill="1" applyBorder="1" applyAlignment="1">
      <alignment horizontal="center" vertical="center" wrapText="1"/>
    </xf>
    <xf numFmtId="2" fontId="44" fillId="0" borderId="0" xfId="71" applyNumberFormat="1" applyFont="1" applyFill="1" applyAlignment="1">
      <alignment horizontal="center"/>
    </xf>
    <xf numFmtId="4" fontId="133" fillId="0" borderId="0" xfId="71" applyNumberFormat="1" applyFont="1" applyFill="1" applyBorder="1" applyAlignment="1">
      <alignment horizontal="center" vertical="center" wrapText="1"/>
    </xf>
    <xf numFmtId="0" fontId="44" fillId="0" borderId="0" xfId="71" applyFont="1" applyFill="1"/>
    <xf numFmtId="4" fontId="44" fillId="0" borderId="0" xfId="71" applyNumberFormat="1" applyFont="1" applyFill="1" applyAlignment="1">
      <alignment horizontal="center"/>
    </xf>
    <xf numFmtId="0" fontId="38" fillId="0" borderId="0" xfId="71" applyFont="1"/>
    <xf numFmtId="0" fontId="38" fillId="0" borderId="0" xfId="71" applyFont="1" applyAlignment="1">
      <alignment horizontal="right"/>
    </xf>
    <xf numFmtId="0" fontId="38" fillId="0" borderId="17" xfId="71" applyFont="1" applyBorder="1" applyAlignment="1">
      <alignment horizontal="center" vertical="center" wrapText="1"/>
    </xf>
    <xf numFmtId="0" fontId="38" fillId="0" borderId="1" xfId="71" applyFont="1" applyBorder="1" applyAlignment="1">
      <alignment horizontal="center" vertical="center" wrapText="1"/>
    </xf>
    <xf numFmtId="0" fontId="38" fillId="0" borderId="2" xfId="71" applyFont="1" applyBorder="1" applyAlignment="1">
      <alignment horizontal="center" vertical="center" wrapText="1"/>
    </xf>
    <xf numFmtId="0" fontId="38" fillId="0" borderId="18" xfId="71" applyFont="1" applyBorder="1" applyAlignment="1">
      <alignment horizontal="center" vertical="center" wrapText="1"/>
    </xf>
    <xf numFmtId="0" fontId="38" fillId="0" borderId="6" xfId="71" applyFont="1" applyBorder="1" applyAlignment="1">
      <alignment horizontal="center" vertical="center" wrapText="1"/>
    </xf>
    <xf numFmtId="3" fontId="38" fillId="0" borderId="1" xfId="71" applyNumberFormat="1" applyFont="1" applyBorder="1" applyAlignment="1">
      <alignment horizontal="center" vertical="center" wrapText="1"/>
    </xf>
    <xf numFmtId="0" fontId="37" fillId="3" borderId="17" xfId="71" applyFont="1" applyFill="1" applyBorder="1" applyAlignment="1">
      <alignment horizontal="center" vertical="center" wrapText="1"/>
    </xf>
    <xf numFmtId="0" fontId="37" fillId="3" borderId="1" xfId="71" applyFont="1" applyFill="1" applyBorder="1" applyAlignment="1">
      <alignment vertical="center" wrapText="1"/>
    </xf>
    <xf numFmtId="0" fontId="37" fillId="3" borderId="18" xfId="71" applyFont="1" applyFill="1" applyBorder="1" applyAlignment="1">
      <alignment horizontal="center" vertical="center" wrapText="1"/>
    </xf>
    <xf numFmtId="167" fontId="37" fillId="3" borderId="17" xfId="71" applyNumberFormat="1" applyFont="1" applyFill="1" applyBorder="1" applyAlignment="1">
      <alignment horizontal="center" vertical="center" wrapText="1"/>
    </xf>
    <xf numFmtId="0" fontId="37" fillId="3" borderId="1" xfId="71" applyFont="1" applyFill="1" applyBorder="1" applyAlignment="1">
      <alignment horizontal="center" vertical="center" wrapText="1"/>
    </xf>
    <xf numFmtId="167" fontId="37" fillId="3" borderId="1" xfId="71" applyNumberFormat="1" applyFont="1" applyFill="1" applyBorder="1" applyAlignment="1">
      <alignment horizontal="center" vertical="center" wrapText="1"/>
    </xf>
    <xf numFmtId="167" fontId="37" fillId="3" borderId="5" xfId="71" applyNumberFormat="1" applyFont="1" applyFill="1" applyBorder="1" applyAlignment="1">
      <alignment horizontal="center" vertical="center" wrapText="1"/>
    </xf>
    <xf numFmtId="167" fontId="37" fillId="3" borderId="53" xfId="71" applyNumberFormat="1" applyFont="1" applyFill="1" applyBorder="1" applyAlignment="1">
      <alignment horizontal="center" vertical="center" wrapText="1"/>
    </xf>
    <xf numFmtId="0" fontId="37" fillId="3" borderId="6" xfId="71" applyFont="1" applyFill="1" applyBorder="1" applyAlignment="1">
      <alignment horizontal="center" vertical="center" wrapText="1"/>
    </xf>
    <xf numFmtId="0" fontId="37" fillId="0" borderId="17" xfId="71" applyFont="1" applyFill="1" applyBorder="1" applyAlignment="1">
      <alignment horizontal="center" vertical="center" wrapText="1"/>
    </xf>
    <xf numFmtId="0" fontId="37" fillId="0" borderId="1" xfId="71" applyFont="1" applyFill="1" applyBorder="1" applyAlignment="1">
      <alignment vertical="center" wrapText="1"/>
    </xf>
    <xf numFmtId="0" fontId="37" fillId="0" borderId="18" xfId="71" applyFont="1" applyFill="1" applyBorder="1" applyAlignment="1">
      <alignment horizontal="center" vertical="center" wrapText="1"/>
    </xf>
    <xf numFmtId="167" fontId="37" fillId="0" borderId="17" xfId="71" applyNumberFormat="1" applyFont="1" applyFill="1" applyBorder="1" applyAlignment="1">
      <alignment horizontal="center" vertical="center" wrapText="1"/>
    </xf>
    <xf numFmtId="0" fontId="37" fillId="0" borderId="1" xfId="71" applyFont="1" applyFill="1" applyBorder="1" applyAlignment="1">
      <alignment horizontal="center" vertical="center" wrapText="1"/>
    </xf>
    <xf numFmtId="167" fontId="37" fillId="0" borderId="1" xfId="71" applyNumberFormat="1" applyFont="1" applyFill="1" applyBorder="1" applyAlignment="1">
      <alignment horizontal="center" vertical="center" wrapText="1"/>
    </xf>
    <xf numFmtId="167" fontId="37" fillId="0" borderId="2" xfId="71" applyNumberFormat="1" applyFont="1" applyFill="1" applyBorder="1" applyAlignment="1">
      <alignment horizontal="center" vertical="center" wrapText="1"/>
    </xf>
    <xf numFmtId="167" fontId="37" fillId="0" borderId="18" xfId="71" applyNumberFormat="1" applyFont="1" applyFill="1" applyBorder="1" applyAlignment="1">
      <alignment horizontal="center" vertical="center" wrapText="1"/>
    </xf>
    <xf numFmtId="0" fontId="37" fillId="0" borderId="6" xfId="71" applyFont="1" applyFill="1" applyBorder="1" applyAlignment="1">
      <alignment horizontal="center" vertical="center" wrapText="1"/>
    </xf>
    <xf numFmtId="0" fontId="37" fillId="0" borderId="0" xfId="71" applyFont="1"/>
    <xf numFmtId="0" fontId="38" fillId="0" borderId="17" xfId="71" applyFont="1" applyFill="1" applyBorder="1" applyAlignment="1">
      <alignment horizontal="center" vertical="center" wrapText="1"/>
    </xf>
    <xf numFmtId="0" fontId="38" fillId="0" borderId="1" xfId="71" applyFont="1" applyFill="1" applyBorder="1" applyAlignment="1">
      <alignment vertical="center" wrapText="1"/>
    </xf>
    <xf numFmtId="0" fontId="38" fillId="0" borderId="18" xfId="71" applyFont="1" applyFill="1" applyBorder="1" applyAlignment="1">
      <alignment horizontal="center" vertical="center" wrapText="1"/>
    </xf>
    <xf numFmtId="167" fontId="38" fillId="0" borderId="17" xfId="71" applyNumberFormat="1" applyFont="1" applyFill="1" applyBorder="1" applyAlignment="1">
      <alignment horizontal="center" vertical="center" wrapText="1"/>
    </xf>
    <xf numFmtId="167" fontId="38" fillId="0" borderId="1" xfId="71" applyNumberFormat="1" applyFont="1" applyFill="1" applyBorder="1" applyAlignment="1">
      <alignment horizontal="center" vertical="center" wrapText="1"/>
    </xf>
    <xf numFmtId="167" fontId="38" fillId="0" borderId="2" xfId="71" applyNumberFormat="1" applyFont="1" applyFill="1" applyBorder="1" applyAlignment="1">
      <alignment horizontal="center" vertical="center" wrapText="1"/>
    </xf>
    <xf numFmtId="167" fontId="38" fillId="0" borderId="18" xfId="71" applyNumberFormat="1" applyFont="1" applyFill="1" applyBorder="1" applyAlignment="1">
      <alignment horizontal="center" vertical="center" wrapText="1"/>
    </xf>
    <xf numFmtId="167" fontId="38" fillId="0" borderId="6" xfId="71" applyNumberFormat="1" applyFont="1" applyFill="1" applyBorder="1" applyAlignment="1">
      <alignment horizontal="center" vertical="center" wrapText="1"/>
    </xf>
    <xf numFmtId="167" fontId="37" fillId="0" borderId="6" xfId="71" applyNumberFormat="1" applyFont="1" applyFill="1" applyBorder="1" applyAlignment="1">
      <alignment horizontal="center" vertical="center" wrapText="1"/>
    </xf>
    <xf numFmtId="0" fontId="38" fillId="0" borderId="18" xfId="71" applyFont="1" applyFill="1" applyBorder="1" applyAlignment="1">
      <alignment horizontal="left" vertical="center" wrapText="1"/>
    </xf>
    <xf numFmtId="167" fontId="37" fillId="3" borderId="2" xfId="71" applyNumberFormat="1" applyFont="1" applyFill="1" applyBorder="1" applyAlignment="1">
      <alignment horizontal="center" vertical="center" wrapText="1"/>
    </xf>
    <xf numFmtId="167" fontId="37" fillId="3" borderId="18" xfId="71" applyNumberFormat="1" applyFont="1" applyFill="1" applyBorder="1" applyAlignment="1">
      <alignment horizontal="center" vertical="center" wrapText="1"/>
    </xf>
    <xf numFmtId="0" fontId="37" fillId="5" borderId="17" xfId="71" applyFont="1" applyFill="1" applyBorder="1" applyAlignment="1">
      <alignment horizontal="center" vertical="center" wrapText="1"/>
    </xf>
    <xf numFmtId="0" fontId="37" fillId="5" borderId="1" xfId="71" applyFont="1" applyFill="1" applyBorder="1" applyAlignment="1">
      <alignment vertical="center" wrapText="1"/>
    </xf>
    <xf numFmtId="0" fontId="37" fillId="5" borderId="18" xfId="71" applyFont="1" applyFill="1" applyBorder="1" applyAlignment="1">
      <alignment horizontal="center" vertical="center" wrapText="1"/>
    </xf>
    <xf numFmtId="167" fontId="37" fillId="5" borderId="17" xfId="71" applyNumberFormat="1" applyFont="1" applyFill="1" applyBorder="1" applyAlignment="1">
      <alignment horizontal="center" vertical="center" wrapText="1"/>
    </xf>
    <xf numFmtId="167" fontId="37" fillId="5" borderId="1" xfId="71" applyNumberFormat="1" applyFont="1" applyFill="1" applyBorder="1" applyAlignment="1">
      <alignment horizontal="center" vertical="center" wrapText="1"/>
    </xf>
    <xf numFmtId="167" fontId="37" fillId="5" borderId="2" xfId="71" applyNumberFormat="1" applyFont="1" applyFill="1" applyBorder="1" applyAlignment="1">
      <alignment horizontal="center" vertical="center" wrapText="1"/>
    </xf>
    <xf numFmtId="167" fontId="37" fillId="5" borderId="18" xfId="71" applyNumberFormat="1" applyFont="1" applyFill="1" applyBorder="1" applyAlignment="1">
      <alignment horizontal="center" vertical="center" wrapText="1"/>
    </xf>
    <xf numFmtId="0" fontId="48" fillId="0" borderId="17" xfId="71" applyFont="1" applyFill="1" applyBorder="1" applyAlignment="1">
      <alignment horizontal="center" vertical="center" wrapText="1"/>
    </xf>
    <xf numFmtId="0" fontId="48" fillId="0" borderId="18" xfId="71" applyFont="1" applyFill="1" applyBorder="1" applyAlignment="1">
      <alignment horizontal="center" vertical="center" wrapText="1"/>
    </xf>
    <xf numFmtId="167" fontId="48" fillId="0" borderId="17" xfId="71" applyNumberFormat="1" applyFont="1" applyFill="1" applyBorder="1" applyAlignment="1">
      <alignment horizontal="center" vertical="center" wrapText="1"/>
    </xf>
    <xf numFmtId="167" fontId="48" fillId="0" borderId="1" xfId="71" applyNumberFormat="1" applyFont="1" applyFill="1" applyBorder="1" applyAlignment="1">
      <alignment horizontal="center" vertical="center" wrapText="1"/>
    </xf>
    <xf numFmtId="167" fontId="48" fillId="0" borderId="18" xfId="71" applyNumberFormat="1" applyFont="1" applyFill="1" applyBorder="1" applyAlignment="1">
      <alignment horizontal="center" vertical="center" wrapText="1"/>
    </xf>
    <xf numFmtId="167" fontId="48" fillId="0" borderId="2" xfId="71" applyNumberFormat="1" applyFont="1" applyFill="1" applyBorder="1" applyAlignment="1">
      <alignment horizontal="center" vertical="center" wrapText="1"/>
    </xf>
    <xf numFmtId="0" fontId="48" fillId="0" borderId="18" xfId="71" applyFont="1" applyFill="1" applyBorder="1" applyAlignment="1">
      <alignment horizontal="left" vertical="center" wrapText="1"/>
    </xf>
    <xf numFmtId="0" fontId="48" fillId="0" borderId="0" xfId="71" applyFont="1" applyFill="1"/>
    <xf numFmtId="0" fontId="48" fillId="0" borderId="1" xfId="71" applyFont="1" applyFill="1" applyBorder="1" applyAlignment="1">
      <alignment vertical="center" wrapText="1"/>
    </xf>
    <xf numFmtId="167" fontId="38" fillId="0" borderId="18" xfId="71" applyNumberFormat="1" applyFont="1" applyFill="1" applyBorder="1" applyAlignment="1">
      <alignment horizontal="left" vertical="center" wrapText="1"/>
    </xf>
    <xf numFmtId="0" fontId="48" fillId="0" borderId="18" xfId="71" applyFont="1" applyBorder="1" applyAlignment="1">
      <alignment horizontal="center" vertical="center" wrapText="1"/>
    </xf>
    <xf numFmtId="0" fontId="38" fillId="0" borderId="1" xfId="71" applyFont="1" applyFill="1" applyBorder="1" applyAlignment="1">
      <alignment horizontal="center" vertical="center" wrapText="1"/>
    </xf>
    <xf numFmtId="167" fontId="48" fillId="2" borderId="17" xfId="71" applyNumberFormat="1" applyFont="1" applyFill="1" applyBorder="1" applyAlignment="1">
      <alignment horizontal="center" vertical="center" wrapText="1"/>
    </xf>
    <xf numFmtId="167" fontId="48" fillId="2" borderId="1" xfId="71" applyNumberFormat="1" applyFont="1" applyFill="1" applyBorder="1" applyAlignment="1">
      <alignment horizontal="center" vertical="center" wrapText="1"/>
    </xf>
    <xf numFmtId="167" fontId="48" fillId="2" borderId="18" xfId="71" applyNumberFormat="1" applyFont="1" applyFill="1" applyBorder="1" applyAlignment="1">
      <alignment horizontal="center" vertical="center" wrapText="1"/>
    </xf>
    <xf numFmtId="167" fontId="48" fillId="2" borderId="2" xfId="71" applyNumberFormat="1" applyFont="1" applyFill="1" applyBorder="1" applyAlignment="1">
      <alignment horizontal="center" vertical="center" wrapText="1"/>
    </xf>
    <xf numFmtId="0" fontId="48" fillId="0" borderId="18" xfId="71" applyFont="1" applyBorder="1" applyAlignment="1">
      <alignment horizontal="left" vertical="center" wrapText="1"/>
    </xf>
    <xf numFmtId="0" fontId="48" fillId="0" borderId="0" xfId="71" applyFont="1"/>
    <xf numFmtId="167" fontId="37" fillId="5" borderId="6" xfId="71" applyNumberFormat="1" applyFont="1" applyFill="1" applyBorder="1" applyAlignment="1">
      <alignment horizontal="center" vertical="center" wrapText="1"/>
    </xf>
    <xf numFmtId="0" fontId="38" fillId="0" borderId="1" xfId="71" applyFont="1" applyBorder="1" applyAlignment="1">
      <alignment vertical="center" wrapText="1"/>
    </xf>
    <xf numFmtId="4" fontId="38" fillId="0" borderId="17" xfId="71" applyNumberFormat="1" applyFont="1" applyBorder="1" applyAlignment="1">
      <alignment horizontal="center" vertical="center" wrapText="1"/>
    </xf>
    <xf numFmtId="4" fontId="38" fillId="0" borderId="1" xfId="71" applyNumberFormat="1" applyFont="1" applyBorder="1" applyAlignment="1">
      <alignment horizontal="center" vertical="center" wrapText="1"/>
    </xf>
    <xf numFmtId="4" fontId="38" fillId="0" borderId="2" xfId="71" applyNumberFormat="1" applyFont="1" applyBorder="1" applyAlignment="1">
      <alignment horizontal="center" vertical="center" wrapText="1"/>
    </xf>
    <xf numFmtId="4" fontId="38" fillId="0" borderId="18" xfId="71" applyNumberFormat="1" applyFont="1" applyBorder="1" applyAlignment="1">
      <alignment horizontal="center" vertical="center" wrapText="1"/>
    </xf>
    <xf numFmtId="167" fontId="38" fillId="0" borderId="6" xfId="71" applyNumberFormat="1" applyFont="1" applyBorder="1" applyAlignment="1">
      <alignment horizontal="center" vertical="center" wrapText="1"/>
    </xf>
    <xf numFmtId="167" fontId="38" fillId="0" borderId="1" xfId="71" applyNumberFormat="1" applyFont="1" applyBorder="1" applyAlignment="1">
      <alignment horizontal="center" vertical="center" wrapText="1"/>
    </xf>
    <xf numFmtId="167" fontId="38" fillId="0" borderId="2" xfId="71" applyNumberFormat="1" applyFont="1" applyBorder="1" applyAlignment="1">
      <alignment horizontal="center" vertical="center" wrapText="1"/>
    </xf>
    <xf numFmtId="167" fontId="38" fillId="0" borderId="17" xfId="71" applyNumberFormat="1" applyFont="1" applyBorder="1" applyAlignment="1">
      <alignment horizontal="center" vertical="center" wrapText="1"/>
    </xf>
    <xf numFmtId="167" fontId="38" fillId="0" borderId="18" xfId="71" applyNumberFormat="1" applyFont="1" applyBorder="1" applyAlignment="1">
      <alignment horizontal="center" vertical="center" wrapText="1"/>
    </xf>
    <xf numFmtId="0" fontId="38" fillId="0" borderId="36" xfId="71" applyFont="1" applyBorder="1" applyAlignment="1">
      <alignment horizontal="center" vertical="center" wrapText="1"/>
    </xf>
    <xf numFmtId="0" fontId="38" fillId="0" borderId="40" xfId="71" applyFont="1" applyBorder="1" applyAlignment="1">
      <alignment vertical="center" wrapText="1"/>
    </xf>
    <xf numFmtId="0" fontId="38" fillId="0" borderId="37" xfId="71" applyFont="1" applyBorder="1" applyAlignment="1">
      <alignment horizontal="center" vertical="center" wrapText="1"/>
    </xf>
    <xf numFmtId="4" fontId="38" fillId="0" borderId="36" xfId="71" applyNumberFormat="1" applyFont="1" applyBorder="1" applyAlignment="1">
      <alignment horizontal="center" vertical="center" wrapText="1"/>
    </xf>
    <xf numFmtId="0" fontId="38" fillId="0" borderId="40" xfId="71" applyFont="1" applyBorder="1" applyAlignment="1">
      <alignment horizontal="center" vertical="center" wrapText="1"/>
    </xf>
    <xf numFmtId="4" fontId="38" fillId="0" borderId="40" xfId="71" applyNumberFormat="1" applyFont="1" applyBorder="1" applyAlignment="1">
      <alignment horizontal="center" vertical="center" wrapText="1"/>
    </xf>
    <xf numFmtId="4" fontId="38" fillId="0" borderId="38" xfId="71" applyNumberFormat="1" applyFont="1" applyBorder="1" applyAlignment="1">
      <alignment horizontal="center" vertical="center" wrapText="1"/>
    </xf>
    <xf numFmtId="4" fontId="38" fillId="0" borderId="37" xfId="71" applyNumberFormat="1" applyFont="1" applyBorder="1" applyAlignment="1">
      <alignment horizontal="center" vertical="center" wrapText="1"/>
    </xf>
    <xf numFmtId="0" fontId="38" fillId="0" borderId="39" xfId="71" applyFont="1" applyBorder="1" applyAlignment="1">
      <alignment horizontal="center" vertical="center" wrapText="1"/>
    </xf>
    <xf numFmtId="167" fontId="38" fillId="0" borderId="39" xfId="71" applyNumberFormat="1" applyFont="1" applyBorder="1" applyAlignment="1">
      <alignment horizontal="center" vertical="center" wrapText="1"/>
    </xf>
    <xf numFmtId="167" fontId="38" fillId="0" borderId="40" xfId="71" applyNumberFormat="1" applyFont="1" applyBorder="1" applyAlignment="1">
      <alignment horizontal="center" vertical="center" wrapText="1"/>
    </xf>
    <xf numFmtId="167" fontId="38" fillId="0" borderId="38" xfId="71" applyNumberFormat="1" applyFont="1" applyBorder="1" applyAlignment="1">
      <alignment horizontal="center" vertical="center" wrapText="1"/>
    </xf>
    <xf numFmtId="167" fontId="38" fillId="0" borderId="36" xfId="71" applyNumberFormat="1" applyFont="1" applyBorder="1" applyAlignment="1">
      <alignment horizontal="center" vertical="center" wrapText="1"/>
    </xf>
    <xf numFmtId="167" fontId="38" fillId="0" borderId="37" xfId="71" applyNumberFormat="1" applyFont="1" applyBorder="1" applyAlignment="1">
      <alignment horizontal="center" vertical="center" wrapText="1"/>
    </xf>
    <xf numFmtId="0" fontId="122" fillId="0" borderId="0" xfId="71" applyFont="1"/>
    <xf numFmtId="14" fontId="38" fillId="0" borderId="0" xfId="71" applyNumberFormat="1" applyFont="1"/>
    <xf numFmtId="14" fontId="48" fillId="0" borderId="0" xfId="71" applyNumberFormat="1" applyFont="1" applyFill="1"/>
    <xf numFmtId="0" fontId="48" fillId="0" borderId="1" xfId="71" applyFont="1" applyBorder="1" applyAlignment="1">
      <alignment horizontal="center" vertical="center" wrapText="1"/>
    </xf>
    <xf numFmtId="0" fontId="48" fillId="0" borderId="2" xfId="71" applyFont="1" applyBorder="1" applyAlignment="1">
      <alignment horizontal="center" vertical="center" wrapText="1"/>
    </xf>
    <xf numFmtId="0" fontId="48" fillId="0" borderId="6" xfId="71" applyFont="1" applyBorder="1" applyAlignment="1">
      <alignment horizontal="center" vertical="center" wrapText="1"/>
    </xf>
    <xf numFmtId="0" fontId="48" fillId="0" borderId="1" xfId="71" applyFont="1" applyFill="1" applyBorder="1" applyAlignment="1">
      <alignment horizontal="center" vertical="center" wrapText="1"/>
    </xf>
    <xf numFmtId="0" fontId="48" fillId="0" borderId="2" xfId="71" applyFont="1" applyFill="1" applyBorder="1" applyAlignment="1">
      <alignment horizontal="center" vertical="center" wrapText="1"/>
    </xf>
    <xf numFmtId="171" fontId="48" fillId="0" borderId="2" xfId="71" applyNumberFormat="1" applyFont="1" applyFill="1" applyBorder="1" applyAlignment="1">
      <alignment horizontal="center" vertical="center" wrapText="1"/>
    </xf>
    <xf numFmtId="0" fontId="48" fillId="0" borderId="1" xfId="71" applyFont="1" applyBorder="1" applyAlignment="1">
      <alignment wrapText="1"/>
    </xf>
    <xf numFmtId="0" fontId="48" fillId="0" borderId="1" xfId="71" applyFont="1" applyBorder="1" applyAlignment="1">
      <alignment vertical="center" wrapText="1"/>
    </xf>
    <xf numFmtId="0" fontId="48" fillId="0" borderId="1" xfId="71" applyFont="1" applyBorder="1"/>
    <xf numFmtId="167" fontId="48" fillId="0" borderId="1" xfId="71" applyNumberFormat="1" applyFont="1" applyBorder="1" applyAlignment="1">
      <alignment horizontal="center" vertical="center" wrapText="1"/>
    </xf>
    <xf numFmtId="167" fontId="48" fillId="0" borderId="2" xfId="71" applyNumberFormat="1" applyFont="1" applyBorder="1" applyAlignment="1">
      <alignment horizontal="center" vertical="center" wrapText="1"/>
    </xf>
    <xf numFmtId="0" fontId="45" fillId="4" borderId="1" xfId="71" applyFont="1" applyFill="1" applyBorder="1" applyAlignment="1">
      <alignment horizontal="center" vertical="center" wrapText="1"/>
    </xf>
    <xf numFmtId="0" fontId="45" fillId="4" borderId="1" xfId="71" applyFont="1" applyFill="1" applyBorder="1" applyAlignment="1">
      <alignment vertical="center" wrapText="1"/>
    </xf>
    <xf numFmtId="0" fontId="45" fillId="4" borderId="2" xfId="71" applyFont="1" applyFill="1" applyBorder="1" applyAlignment="1">
      <alignment horizontal="center" vertical="center" wrapText="1"/>
    </xf>
    <xf numFmtId="167" fontId="45" fillId="4" borderId="1" xfId="71" applyNumberFormat="1" applyFont="1" applyFill="1" applyBorder="1" applyAlignment="1">
      <alignment horizontal="center" vertical="center" wrapText="1"/>
    </xf>
    <xf numFmtId="171" fontId="45" fillId="4" borderId="2" xfId="71" applyNumberFormat="1" applyFont="1" applyFill="1" applyBorder="1" applyAlignment="1">
      <alignment horizontal="center" vertical="center" wrapText="1"/>
    </xf>
    <xf numFmtId="0" fontId="48" fillId="4" borderId="1" xfId="71" applyFont="1" applyFill="1" applyBorder="1"/>
    <xf numFmtId="0" fontId="48" fillId="4" borderId="0" xfId="71" applyFont="1" applyFill="1"/>
    <xf numFmtId="0" fontId="83" fillId="0" borderId="0" xfId="71" applyFont="1" applyAlignment="1">
      <alignment vertical="center" wrapText="1"/>
    </xf>
    <xf numFmtId="0" fontId="59" fillId="0" borderId="0" xfId="71" applyFont="1" applyAlignment="1">
      <alignment horizontal="center" vertical="top" wrapText="1"/>
    </xf>
    <xf numFmtId="0" fontId="48" fillId="0" borderId="1" xfId="71" applyFont="1" applyBorder="1" applyAlignment="1">
      <alignment horizontal="center"/>
    </xf>
    <xf numFmtId="171" fontId="48" fillId="0" borderId="1" xfId="71" applyNumberFormat="1" applyFont="1" applyBorder="1" applyAlignment="1">
      <alignment horizontal="center"/>
    </xf>
    <xf numFmtId="4" fontId="48" fillId="0" borderId="1" xfId="71" applyNumberFormat="1" applyFont="1" applyBorder="1" applyAlignment="1">
      <alignment horizontal="center"/>
    </xf>
    <xf numFmtId="0" fontId="48" fillId="0" borderId="0" xfId="71" applyFont="1" applyAlignment="1">
      <alignment horizontal="right"/>
    </xf>
    <xf numFmtId="0" fontId="16" fillId="0" borderId="0" xfId="26" applyFont="1" applyAlignment="1">
      <alignment horizontal="right"/>
    </xf>
    <xf numFmtId="0" fontId="16" fillId="0" borderId="1" xfId="26" applyFont="1" applyFill="1" applyBorder="1" applyAlignment="1">
      <alignment horizontal="center"/>
    </xf>
    <xf numFmtId="0" fontId="16" fillId="2" borderId="1" xfId="26" applyFont="1" applyFill="1" applyBorder="1" applyAlignment="1">
      <alignment wrapText="1"/>
    </xf>
    <xf numFmtId="167" fontId="16" fillId="0" borderId="1" xfId="26" applyNumberFormat="1" applyFont="1" applyFill="1" applyBorder="1" applyAlignment="1">
      <alignment horizontal="center"/>
    </xf>
    <xf numFmtId="167" fontId="16" fillId="2" borderId="1" xfId="26" applyNumberFormat="1" applyFont="1" applyFill="1" applyBorder="1" applyAlignment="1">
      <alignment horizontal="center"/>
    </xf>
    <xf numFmtId="184" fontId="16" fillId="0" borderId="1" xfId="26" applyNumberFormat="1" applyFont="1" applyFill="1" applyBorder="1"/>
    <xf numFmtId="184" fontId="16" fillId="0" borderId="1" xfId="26" applyNumberFormat="1" applyFont="1" applyBorder="1"/>
    <xf numFmtId="0" fontId="83" fillId="0" borderId="0" xfId="71" applyFont="1" applyAlignment="1">
      <alignment vertical="center"/>
    </xf>
    <xf numFmtId="0" fontId="58" fillId="0" borderId="10" xfId="71" applyFont="1" applyBorder="1" applyAlignment="1"/>
    <xf numFmtId="0" fontId="58" fillId="0" borderId="0" xfId="71" applyFont="1" applyBorder="1" applyAlignment="1"/>
    <xf numFmtId="0" fontId="59" fillId="0" borderId="0" xfId="71" applyFont="1" applyBorder="1" applyAlignment="1">
      <alignment horizontal="center" vertical="top"/>
    </xf>
    <xf numFmtId="0" fontId="59" fillId="0" borderId="0" xfId="71" applyFont="1" applyBorder="1" applyAlignment="1">
      <alignment vertical="top"/>
    </xf>
    <xf numFmtId="0" fontId="18" fillId="0" borderId="0" xfId="71" applyFont="1" applyBorder="1" applyAlignment="1">
      <alignment horizontal="center" vertical="top"/>
    </xf>
    <xf numFmtId="0" fontId="18" fillId="0" borderId="0" xfId="71" applyFont="1" applyBorder="1" applyAlignment="1"/>
    <xf numFmtId="0" fontId="60" fillId="0" borderId="0" xfId="71" applyFont="1" applyBorder="1"/>
    <xf numFmtId="0" fontId="60" fillId="0" borderId="0" xfId="71" applyFont="1"/>
    <xf numFmtId="0" fontId="16" fillId="0" borderId="1" xfId="26" applyFont="1" applyFill="1" applyBorder="1"/>
    <xf numFmtId="4" fontId="16" fillId="0" borderId="1" xfId="26" applyNumberFormat="1" applyFont="1" applyFill="1" applyBorder="1" applyAlignment="1">
      <alignment horizontal="center"/>
    </xf>
    <xf numFmtId="4" fontId="16" fillId="0" borderId="1" xfId="26" applyNumberFormat="1" applyFont="1" applyBorder="1" applyAlignment="1">
      <alignment horizontal="center"/>
    </xf>
    <xf numFmtId="0" fontId="39" fillId="0" borderId="0" xfId="73" applyFont="1" applyFill="1"/>
    <xf numFmtId="0" fontId="39" fillId="0" borderId="0" xfId="73" applyFont="1" applyFill="1" applyAlignment="1">
      <alignment horizontal="left" vertical="center"/>
    </xf>
    <xf numFmtId="167" fontId="39" fillId="0" borderId="0" xfId="73" applyNumberFormat="1" applyFont="1" applyFill="1" applyAlignment="1">
      <alignment horizontal="right" vertical="center"/>
    </xf>
    <xf numFmtId="0" fontId="39" fillId="0" borderId="0" xfId="73" applyFont="1" applyFill="1" applyBorder="1"/>
    <xf numFmtId="167" fontId="39" fillId="0" borderId="0" xfId="73" applyNumberFormat="1" applyFont="1" applyFill="1" applyBorder="1" applyAlignment="1">
      <alignment horizontal="center" vertical="center"/>
    </xf>
    <xf numFmtId="167" fontId="39" fillId="12" borderId="0" xfId="73" applyNumberFormat="1" applyFont="1" applyFill="1" applyBorder="1"/>
    <xf numFmtId="167" fontId="39" fillId="0" borderId="0" xfId="73" applyNumberFormat="1" applyFont="1" applyFill="1" applyBorder="1"/>
    <xf numFmtId="14" fontId="39" fillId="0" borderId="0" xfId="73" applyNumberFormat="1" applyFont="1" applyFill="1" applyAlignment="1">
      <alignment horizontal="right" vertical="center"/>
    </xf>
    <xf numFmtId="0" fontId="39" fillId="0" borderId="0" xfId="73" applyFont="1"/>
    <xf numFmtId="167" fontId="39" fillId="0" borderId="0" xfId="73" applyNumberFormat="1" applyFont="1"/>
    <xf numFmtId="167" fontId="38" fillId="12" borderId="1" xfId="73" applyNumberFormat="1" applyFont="1" applyFill="1" applyBorder="1" applyAlignment="1">
      <alignment horizontal="center" vertical="center" wrapText="1"/>
    </xf>
    <xf numFmtId="167" fontId="38" fillId="0" borderId="1" xfId="73" applyNumberFormat="1" applyFont="1" applyBorder="1" applyAlignment="1">
      <alignment horizontal="center" vertical="center" wrapText="1"/>
    </xf>
    <xf numFmtId="0" fontId="84" fillId="0" borderId="1" xfId="73" applyFont="1" applyBorder="1" applyAlignment="1">
      <alignment horizontal="center" vertical="center" wrapText="1"/>
    </xf>
    <xf numFmtId="0" fontId="84" fillId="12" borderId="1" xfId="73" applyFont="1" applyFill="1" applyBorder="1" applyAlignment="1">
      <alignment horizontal="center" vertical="center" wrapText="1"/>
    </xf>
    <xf numFmtId="0" fontId="39" fillId="0" borderId="1" xfId="73" applyFont="1" applyBorder="1" applyAlignment="1">
      <alignment horizontal="center" vertical="center"/>
    </xf>
    <xf numFmtId="0" fontId="39" fillId="0" borderId="0" xfId="73" applyFont="1" applyAlignment="1">
      <alignment horizontal="center"/>
    </xf>
    <xf numFmtId="0" fontId="55" fillId="0" borderId="7" xfId="73" applyFont="1" applyBorder="1" applyAlignment="1">
      <alignment horizontal="center" vertical="center" wrapText="1"/>
    </xf>
    <xf numFmtId="0" fontId="55" fillId="2" borderId="7" xfId="73" applyFont="1" applyFill="1" applyBorder="1" applyAlignment="1">
      <alignment horizontal="left" vertical="center" wrapText="1"/>
    </xf>
    <xf numFmtId="167" fontId="55" fillId="2" borderId="7" xfId="73" applyNumberFormat="1" applyFont="1" applyFill="1" applyBorder="1" applyAlignment="1">
      <alignment horizontal="right" vertical="center" wrapText="1"/>
    </xf>
    <xf numFmtId="0" fontId="55" fillId="0" borderId="7" xfId="73" applyFont="1" applyFill="1" applyBorder="1" applyAlignment="1">
      <alignment horizontal="center" vertical="center" wrapText="1"/>
    </xf>
    <xf numFmtId="167" fontId="55" fillId="0" borderId="7" xfId="73" applyNumberFormat="1" applyFont="1" applyFill="1" applyBorder="1" applyAlignment="1">
      <alignment horizontal="center" vertical="center"/>
    </xf>
    <xf numFmtId="167" fontId="55" fillId="12" borderId="7" xfId="73" applyNumberFormat="1" applyFont="1" applyFill="1" applyBorder="1" applyAlignment="1">
      <alignment horizontal="center" vertical="center"/>
    </xf>
    <xf numFmtId="167" fontId="55" fillId="0" borderId="7" xfId="73" applyNumberFormat="1" applyFont="1" applyFill="1" applyBorder="1"/>
    <xf numFmtId="167" fontId="55" fillId="0" borderId="7" xfId="73" applyNumberFormat="1" applyFont="1" applyFill="1" applyBorder="1" applyAlignment="1">
      <alignment horizontal="right"/>
    </xf>
    <xf numFmtId="0" fontId="39" fillId="0" borderId="1" xfId="73" applyFont="1" applyBorder="1" applyAlignment="1">
      <alignment horizontal="left" vertical="center" wrapText="1"/>
    </xf>
    <xf numFmtId="0" fontId="55" fillId="0" borderId="0" xfId="73" applyFont="1"/>
    <xf numFmtId="0" fontId="55" fillId="6" borderId="1" xfId="73" applyFont="1" applyFill="1" applyBorder="1" applyAlignment="1">
      <alignment horizontal="center" vertical="center" wrapText="1"/>
    </xf>
    <xf numFmtId="0" fontId="55" fillId="6" borderId="1" xfId="73" applyFont="1" applyFill="1" applyBorder="1" applyAlignment="1">
      <alignment horizontal="left" vertical="center" wrapText="1"/>
    </xf>
    <xf numFmtId="167" fontId="55" fillId="6" borderId="1" xfId="73" applyNumberFormat="1" applyFont="1" applyFill="1" applyBorder="1" applyAlignment="1">
      <alignment horizontal="right" vertical="center" wrapText="1"/>
    </xf>
    <xf numFmtId="167" fontId="55" fillId="6" borderId="1" xfId="73" applyNumberFormat="1" applyFont="1" applyFill="1" applyBorder="1" applyAlignment="1">
      <alignment horizontal="center" vertical="center"/>
    </xf>
    <xf numFmtId="167" fontId="55" fillId="6" borderId="1" xfId="73" applyNumberFormat="1" applyFont="1" applyFill="1" applyBorder="1"/>
    <xf numFmtId="167" fontId="55" fillId="6" borderId="1" xfId="73" applyNumberFormat="1" applyFont="1" applyFill="1" applyBorder="1" applyAlignment="1">
      <alignment horizontal="right"/>
    </xf>
    <xf numFmtId="0" fontId="39" fillId="6" borderId="1" xfId="73" applyFont="1" applyFill="1" applyBorder="1" applyAlignment="1">
      <alignment horizontal="left" vertical="center"/>
    </xf>
    <xf numFmtId="0" fontId="55" fillId="6" borderId="0" xfId="73" applyFont="1" applyFill="1"/>
    <xf numFmtId="0" fontId="39" fillId="0" borderId="0" xfId="73" applyFont="1" applyAlignment="1">
      <alignment horizontal="left" vertical="center"/>
    </xf>
    <xf numFmtId="167" fontId="39" fillId="0" borderId="0" xfId="73" applyNumberFormat="1" applyFont="1" applyAlignment="1">
      <alignment horizontal="right" vertical="center"/>
    </xf>
    <xf numFmtId="167" fontId="39" fillId="0" borderId="0" xfId="73" applyNumberFormat="1" applyFont="1" applyFill="1" applyAlignment="1">
      <alignment horizontal="center" vertical="center"/>
    </xf>
    <xf numFmtId="167" fontId="39" fillId="12" borderId="0" xfId="73" applyNumberFormat="1" applyFont="1" applyFill="1"/>
    <xf numFmtId="167" fontId="39" fillId="0" borderId="0" xfId="73" applyNumberFormat="1" applyFont="1" applyFill="1"/>
    <xf numFmtId="0" fontId="60" fillId="0" borderId="0" xfId="71" applyFont="1" applyAlignment="1">
      <alignment horizontal="right"/>
    </xf>
    <xf numFmtId="0" fontId="85" fillId="0" borderId="0" xfId="71" applyFont="1" applyAlignment="1">
      <alignment horizontal="center" wrapText="1"/>
    </xf>
    <xf numFmtId="14" fontId="60" fillId="0" borderId="0" xfId="71" applyNumberFormat="1" applyFont="1"/>
    <xf numFmtId="0" fontId="60" fillId="0" borderId="1" xfId="71" applyFont="1" applyBorder="1" applyAlignment="1">
      <alignment horizontal="center" vertical="center" wrapText="1"/>
    </xf>
    <xf numFmtId="0" fontId="60" fillId="0" borderId="2" xfId="71" applyFont="1" applyBorder="1" applyAlignment="1">
      <alignment horizontal="center" vertical="center" wrapText="1"/>
    </xf>
    <xf numFmtId="0" fontId="80" fillId="0" borderId="1" xfId="71" applyFont="1" applyBorder="1" applyAlignment="1">
      <alignment wrapText="1"/>
    </xf>
    <xf numFmtId="0" fontId="80" fillId="0" borderId="1" xfId="71" applyFont="1" applyBorder="1"/>
    <xf numFmtId="0" fontId="80" fillId="0" borderId="2" xfId="71" applyFont="1" applyBorder="1"/>
    <xf numFmtId="0" fontId="80" fillId="0" borderId="0" xfId="71" applyFont="1"/>
    <xf numFmtId="0" fontId="60" fillId="0" borderId="1" xfId="71" applyFont="1" applyBorder="1" applyAlignment="1">
      <alignment wrapText="1"/>
    </xf>
    <xf numFmtId="0" fontId="60" fillId="0" borderId="1" xfId="71" applyFont="1" applyBorder="1"/>
    <xf numFmtId="169" fontId="60" fillId="0" borderId="1" xfId="71" applyNumberFormat="1" applyFont="1" applyBorder="1"/>
    <xf numFmtId="169" fontId="60" fillId="0" borderId="2" xfId="71" applyNumberFormat="1" applyFont="1" applyBorder="1"/>
    <xf numFmtId="169" fontId="80" fillId="0" borderId="1" xfId="71" applyNumberFormat="1" applyFont="1" applyBorder="1"/>
    <xf numFmtId="169" fontId="80" fillId="0" borderId="2" xfId="71" applyNumberFormat="1" applyFont="1" applyBorder="1"/>
    <xf numFmtId="0" fontId="60" fillId="0" borderId="1" xfId="71" applyFont="1" applyBorder="1" applyAlignment="1">
      <alignment horizontal="left"/>
    </xf>
    <xf numFmtId="0" fontId="60" fillId="0" borderId="1" xfId="71" applyFont="1" applyBorder="1" applyAlignment="1">
      <alignment horizontal="center"/>
    </xf>
    <xf numFmtId="169" fontId="60" fillId="0" borderId="1" xfId="71" applyNumberFormat="1" applyFont="1" applyBorder="1" applyAlignment="1">
      <alignment horizontal="center"/>
    </xf>
    <xf numFmtId="0" fontId="85" fillId="0" borderId="0" xfId="71" applyFont="1"/>
    <xf numFmtId="169" fontId="60" fillId="0" borderId="0" xfId="71" applyNumberFormat="1" applyFont="1"/>
    <xf numFmtId="4" fontId="60" fillId="0" borderId="1" xfId="71" applyNumberFormat="1" applyFont="1" applyBorder="1"/>
    <xf numFmtId="0" fontId="47" fillId="0" borderId="0" xfId="71" applyFont="1"/>
    <xf numFmtId="0" fontId="61" fillId="0" borderId="0" xfId="71" applyFont="1" applyAlignment="1">
      <alignment horizontal="center" wrapText="1"/>
    </xf>
    <xf numFmtId="14" fontId="47" fillId="0" borderId="0" xfId="71" applyNumberFormat="1" applyFont="1"/>
    <xf numFmtId="0" fontId="39" fillId="0" borderId="4" xfId="71" applyFont="1" applyBorder="1" applyAlignment="1">
      <alignment horizontal="center" vertical="center" wrapText="1"/>
    </xf>
    <xf numFmtId="0" fontId="55" fillId="0" borderId="4" xfId="71" applyFont="1" applyBorder="1" applyAlignment="1">
      <alignment horizontal="center" vertical="center" wrapText="1"/>
    </xf>
    <xf numFmtId="0" fontId="39" fillId="0" borderId="1" xfId="71" applyFont="1" applyBorder="1" applyAlignment="1">
      <alignment horizontal="center" vertical="center" wrapText="1"/>
    </xf>
    <xf numFmtId="0" fontId="47" fillId="0" borderId="1" xfId="71" applyFont="1" applyBorder="1" applyAlignment="1">
      <alignment horizontal="center"/>
    </xf>
    <xf numFmtId="0" fontId="61" fillId="0" borderId="1" xfId="71" applyFont="1" applyBorder="1" applyAlignment="1">
      <alignment horizontal="center" vertical="center"/>
    </xf>
    <xf numFmtId="0" fontId="55" fillId="0" borderId="1" xfId="71" applyFont="1" applyBorder="1" applyAlignment="1">
      <alignment horizontal="left" vertical="center"/>
    </xf>
    <xf numFmtId="0" fontId="39" fillId="0" borderId="7" xfId="71" applyFont="1" applyBorder="1" applyAlignment="1">
      <alignment horizontal="center" vertical="center" wrapText="1"/>
    </xf>
    <xf numFmtId="2" fontId="39" fillId="0" borderId="1" xfId="71" applyNumberFormat="1" applyFont="1" applyBorder="1" applyAlignment="1">
      <alignment horizontal="center" vertical="center" wrapText="1"/>
    </xf>
    <xf numFmtId="0" fontId="47" fillId="0" borderId="1" xfId="71" applyFont="1" applyBorder="1" applyAlignment="1">
      <alignment wrapText="1"/>
    </xf>
    <xf numFmtId="0" fontId="39" fillId="0" borderId="1" xfId="71" applyFont="1" applyBorder="1" applyAlignment="1">
      <alignment horizontal="left" vertical="center" wrapText="1"/>
    </xf>
    <xf numFmtId="0" fontId="47" fillId="0" borderId="1" xfId="71" applyFont="1" applyBorder="1"/>
    <xf numFmtId="0" fontId="55" fillId="0" borderId="1" xfId="71" applyFont="1" applyBorder="1" applyAlignment="1">
      <alignment horizontal="center" vertical="center" wrapText="1"/>
    </xf>
    <xf numFmtId="0" fontId="55" fillId="0" borderId="1" xfId="71" applyFont="1" applyBorder="1" applyAlignment="1">
      <alignment horizontal="left" vertical="center" wrapText="1"/>
    </xf>
    <xf numFmtId="169" fontId="39" fillId="0" borderId="7" xfId="71" applyNumberFormat="1" applyFont="1" applyBorder="1" applyAlignment="1">
      <alignment horizontal="center" vertical="center" wrapText="1"/>
    </xf>
    <xf numFmtId="0" fontId="61" fillId="0" borderId="1" xfId="71" applyFont="1" applyBorder="1"/>
    <xf numFmtId="0" fontId="47" fillId="6" borderId="0" xfId="71" applyFont="1" applyFill="1"/>
    <xf numFmtId="0" fontId="64" fillId="0" borderId="0" xfId="71" applyFont="1"/>
    <xf numFmtId="2" fontId="47" fillId="0" borderId="1" xfId="71" applyNumberFormat="1" applyFont="1" applyBorder="1" applyAlignment="1">
      <alignment horizontal="center"/>
    </xf>
    <xf numFmtId="0" fontId="68" fillId="0" borderId="0" xfId="24" applyFont="1" applyFill="1" applyAlignment="1">
      <alignment wrapText="1"/>
    </xf>
    <xf numFmtId="0" fontId="110" fillId="0" borderId="7" xfId="24" applyFont="1" applyFill="1" applyBorder="1" applyAlignment="1">
      <alignment horizontal="center" vertical="center" wrapText="1"/>
    </xf>
    <xf numFmtId="0" fontId="117" fillId="0" borderId="1" xfId="24" applyFont="1" applyFill="1" applyBorder="1" applyAlignment="1">
      <alignment horizontal="left" vertical="center" wrapText="1"/>
    </xf>
    <xf numFmtId="169" fontId="120" fillId="0" borderId="1" xfId="24" applyNumberFormat="1" applyFont="1" applyFill="1" applyBorder="1" applyAlignment="1">
      <alignment horizontal="center" vertical="center" wrapText="1"/>
    </xf>
    <xf numFmtId="169" fontId="120" fillId="0" borderId="1" xfId="24" applyNumberFormat="1" applyFont="1" applyFill="1" applyBorder="1" applyAlignment="1">
      <alignment wrapText="1"/>
    </xf>
    <xf numFmtId="2" fontId="110" fillId="0" borderId="1" xfId="24" applyNumberFormat="1" applyFont="1" applyFill="1" applyBorder="1" applyAlignment="1">
      <alignment horizontal="center" vertical="center" wrapText="1"/>
    </xf>
    <xf numFmtId="169" fontId="110" fillId="0" borderId="1" xfId="24" applyNumberFormat="1" applyFont="1" applyFill="1" applyBorder="1" applyAlignment="1">
      <alignment horizontal="center" vertical="center" wrapText="1"/>
    </xf>
    <xf numFmtId="169" fontId="110" fillId="0" borderId="1" xfId="24" applyNumberFormat="1" applyFont="1" applyFill="1" applyBorder="1" applyAlignment="1">
      <alignment wrapText="1"/>
    </xf>
    <xf numFmtId="0" fontId="126" fillId="0" borderId="0" xfId="31" applyFont="1"/>
    <xf numFmtId="0" fontId="59" fillId="0" borderId="0" xfId="31" applyFont="1"/>
    <xf numFmtId="14" fontId="43" fillId="0" borderId="0" xfId="71" applyNumberFormat="1" applyFont="1" applyAlignment="1">
      <alignment horizontal="right" vertical="center" wrapText="1"/>
    </xf>
    <xf numFmtId="0" fontId="44" fillId="0" borderId="1" xfId="71" applyFont="1" applyBorder="1" applyAlignment="1">
      <alignment horizontal="center" vertical="center" wrapText="1"/>
    </xf>
    <xf numFmtId="0" fontId="80" fillId="0" borderId="1" xfId="71" applyFont="1" applyFill="1" applyBorder="1" applyAlignment="1">
      <alignment horizontal="left" vertical="center" wrapText="1"/>
    </xf>
    <xf numFmtId="4" fontId="44" fillId="0" borderId="1" xfId="71" applyNumberFormat="1" applyFont="1" applyBorder="1" applyAlignment="1">
      <alignment horizontal="center" vertical="center" wrapText="1"/>
    </xf>
    <xf numFmtId="0" fontId="44" fillId="0" borderId="0" xfId="71" applyFont="1" applyAlignment="1">
      <alignment horizontal="center" vertical="center" wrapText="1"/>
    </xf>
    <xf numFmtId="0" fontId="18" fillId="0" borderId="1" xfId="71" applyFont="1" applyFill="1" applyBorder="1" applyAlignment="1">
      <alignment horizontal="left" vertical="center" wrapText="1"/>
    </xf>
    <xf numFmtId="169" fontId="48" fillId="0" borderId="1" xfId="71" applyNumberFormat="1" applyFont="1" applyBorder="1" applyAlignment="1">
      <alignment horizontal="center" vertical="center" wrapText="1"/>
    </xf>
    <xf numFmtId="0" fontId="44" fillId="0" borderId="1" xfId="71" applyFont="1" applyBorder="1" applyAlignment="1">
      <alignment vertical="center" wrapText="1"/>
    </xf>
    <xf numFmtId="169" fontId="43" fillId="0" borderId="1" xfId="71" applyNumberFormat="1" applyFont="1" applyBorder="1" applyAlignment="1">
      <alignment horizontal="center" vertical="center" wrapText="1"/>
    </xf>
    <xf numFmtId="0" fontId="44" fillId="8" borderId="0" xfId="71" applyFont="1" applyFill="1" applyAlignment="1">
      <alignment horizontal="left" vertical="center" wrapText="1"/>
    </xf>
    <xf numFmtId="0" fontId="43" fillId="8" borderId="0" xfId="71" applyFont="1" applyFill="1" applyAlignment="1">
      <alignment horizontal="center" vertical="center" wrapText="1"/>
    </xf>
    <xf numFmtId="0" fontId="44" fillId="0" borderId="0" xfId="71" applyFont="1" applyAlignment="1">
      <alignment horizontal="left" vertical="center" wrapText="1"/>
    </xf>
    <xf numFmtId="0" fontId="47" fillId="0" borderId="1" xfId="71" applyFont="1" applyBorder="1" applyAlignment="1">
      <alignment horizontal="center" vertical="center" wrapText="1"/>
    </xf>
    <xf numFmtId="0" fontId="47" fillId="0" borderId="1" xfId="71" applyFont="1" applyBorder="1" applyAlignment="1">
      <alignment horizontal="center" vertical="center"/>
    </xf>
    <xf numFmtId="0" fontId="47" fillId="0" borderId="0" xfId="71" applyFont="1" applyBorder="1"/>
    <xf numFmtId="0" fontId="61" fillId="0" borderId="0" xfId="71" applyFont="1" applyBorder="1"/>
    <xf numFmtId="0" fontId="64" fillId="2" borderId="0" xfId="71" applyFont="1" applyFill="1" applyBorder="1"/>
    <xf numFmtId="0" fontId="61" fillId="2" borderId="0" xfId="71" applyFont="1" applyFill="1" applyBorder="1"/>
    <xf numFmtId="0" fontId="47" fillId="2" borderId="0" xfId="71" applyFont="1" applyFill="1" applyBorder="1"/>
    <xf numFmtId="0" fontId="47" fillId="2" borderId="0" xfId="71" applyFont="1" applyFill="1"/>
    <xf numFmtId="0" fontId="60" fillId="0" borderId="0" xfId="71" applyFont="1" applyFill="1"/>
    <xf numFmtId="0" fontId="47" fillId="0" borderId="0" xfId="71" applyFont="1" applyFill="1"/>
    <xf numFmtId="0" fontId="59" fillId="0" borderId="0" xfId="71" applyFont="1" applyFill="1" applyBorder="1" applyAlignment="1">
      <alignment vertical="top"/>
    </xf>
    <xf numFmtId="0" fontId="47" fillId="0" borderId="0" xfId="71" applyFont="1" applyAlignment="1">
      <alignment horizontal="right"/>
    </xf>
    <xf numFmtId="0" fontId="39" fillId="0" borderId="1" xfId="71" applyFont="1" applyBorder="1" applyAlignment="1">
      <alignment horizontal="left" vertical="center"/>
    </xf>
    <xf numFmtId="0" fontId="170" fillId="0" borderId="0" xfId="25" applyFont="1" applyAlignment="1">
      <alignment horizontal="center"/>
    </xf>
    <xf numFmtId="0" fontId="170" fillId="0" borderId="0" xfId="25" applyFont="1" applyAlignment="1">
      <alignment horizontal="center" vertical="center"/>
    </xf>
    <xf numFmtId="0" fontId="48" fillId="0" borderId="0" xfId="25" applyFont="1" applyAlignment="1">
      <alignment horizontal="center" vertical="center"/>
    </xf>
    <xf numFmtId="0" fontId="48" fillId="0" borderId="0" xfId="25" applyFont="1" applyFill="1"/>
    <xf numFmtId="0" fontId="63" fillId="0" borderId="0" xfId="25" applyFont="1" applyAlignment="1">
      <alignment horizontal="left"/>
    </xf>
    <xf numFmtId="0" fontId="63" fillId="0" borderId="0" xfId="25" applyFont="1" applyAlignment="1">
      <alignment horizontal="center" vertical="center"/>
    </xf>
    <xf numFmtId="0" fontId="63" fillId="0" borderId="0" xfId="25" applyFont="1" applyFill="1" applyAlignment="1">
      <alignment horizontal="left"/>
    </xf>
    <xf numFmtId="0" fontId="48" fillId="5" borderId="1" xfId="25" applyFont="1" applyFill="1" applyBorder="1" applyAlignment="1">
      <alignment horizontal="center" vertical="center"/>
    </xf>
    <xf numFmtId="0" fontId="48" fillId="5" borderId="1" xfId="25" applyFont="1" applyFill="1" applyBorder="1" applyAlignment="1">
      <alignment horizontal="left" vertical="center" wrapText="1"/>
    </xf>
    <xf numFmtId="4" fontId="48" fillId="5" borderId="1" xfId="25" applyNumberFormat="1" applyFont="1" applyFill="1" applyBorder="1" applyAlignment="1">
      <alignment horizontal="center" vertical="center" wrapText="1"/>
    </xf>
    <xf numFmtId="0" fontId="48" fillId="5" borderId="1" xfId="25" applyFont="1" applyFill="1" applyBorder="1" applyAlignment="1">
      <alignment horizontal="center" vertical="center" wrapText="1"/>
    </xf>
    <xf numFmtId="4" fontId="48" fillId="5" borderId="1" xfId="25" applyNumberFormat="1" applyFont="1" applyFill="1" applyBorder="1" applyAlignment="1">
      <alignment horizontal="center" vertical="center"/>
    </xf>
    <xf numFmtId="0" fontId="38" fillId="5" borderId="1" xfId="25" applyFont="1" applyFill="1" applyBorder="1" applyAlignment="1">
      <alignment horizontal="left" vertical="center" wrapText="1"/>
    </xf>
    <xf numFmtId="0" fontId="45" fillId="5" borderId="1" xfId="25" applyFont="1" applyFill="1" applyBorder="1" applyAlignment="1">
      <alignment horizontal="left" vertical="center"/>
    </xf>
    <xf numFmtId="0" fontId="45" fillId="5" borderId="1" xfId="25" applyFont="1" applyFill="1" applyBorder="1" applyAlignment="1">
      <alignment horizontal="center" vertical="center" wrapText="1"/>
    </xf>
    <xf numFmtId="4" fontId="45" fillId="5" borderId="1" xfId="25" applyNumberFormat="1" applyFont="1" applyFill="1" applyBorder="1" applyAlignment="1">
      <alignment horizontal="center" vertical="center" wrapText="1"/>
    </xf>
    <xf numFmtId="4" fontId="48" fillId="0" borderId="0" xfId="25" applyNumberFormat="1" applyFont="1" applyFill="1"/>
    <xf numFmtId="0" fontId="129" fillId="5" borderId="1" xfId="25" applyFont="1" applyFill="1" applyBorder="1" applyAlignment="1">
      <alignment horizontal="left" vertical="center"/>
    </xf>
    <xf numFmtId="1" fontId="45" fillId="5" borderId="1" xfId="25" applyNumberFormat="1" applyFont="1" applyFill="1" applyBorder="1" applyAlignment="1">
      <alignment horizontal="center" vertical="center" wrapText="1"/>
    </xf>
    <xf numFmtId="4" fontId="45" fillId="5" borderId="6" xfId="25" applyNumberFormat="1" applyFont="1" applyFill="1" applyBorder="1" applyAlignment="1">
      <alignment horizontal="center" vertical="center" wrapText="1"/>
    </xf>
    <xf numFmtId="4" fontId="45" fillId="8" borderId="1" xfId="25" applyNumberFormat="1" applyFont="1" applyFill="1" applyBorder="1" applyAlignment="1">
      <alignment horizontal="center" vertical="center" wrapText="1"/>
    </xf>
    <xf numFmtId="0" fontId="45" fillId="0" borderId="1" xfId="25" applyFont="1" applyFill="1" applyBorder="1" applyAlignment="1">
      <alignment horizontal="left" vertical="center"/>
    </xf>
    <xf numFmtId="0" fontId="84" fillId="8" borderId="1" xfId="25" applyFont="1" applyFill="1" applyBorder="1" applyAlignment="1">
      <alignment horizontal="center" vertical="center" wrapText="1"/>
    </xf>
    <xf numFmtId="0" fontId="45" fillId="0" borderId="1" xfId="25" applyFont="1" applyFill="1" applyBorder="1" applyAlignment="1">
      <alignment horizontal="center" vertical="center" wrapText="1"/>
    </xf>
    <xf numFmtId="4" fontId="48" fillId="0" borderId="1" xfId="25" applyNumberFormat="1" applyFont="1" applyBorder="1" applyAlignment="1">
      <alignment horizontal="center" vertical="center"/>
    </xf>
    <xf numFmtId="0" fontId="90" fillId="8" borderId="1" xfId="25" applyFont="1" applyFill="1" applyBorder="1" applyAlignment="1">
      <alignment horizontal="center" vertical="center" wrapText="1"/>
    </xf>
    <xf numFmtId="0" fontId="48" fillId="0" borderId="1" xfId="25" applyFont="1" applyFill="1" applyBorder="1" applyAlignment="1">
      <alignment horizontal="center" vertical="center" wrapText="1"/>
    </xf>
    <xf numFmtId="0" fontId="45" fillId="8" borderId="1" xfId="25" applyFont="1" applyFill="1" applyBorder="1" applyAlignment="1">
      <alignment horizontal="center" vertical="center" wrapText="1"/>
    </xf>
    <xf numFmtId="4" fontId="48" fillId="8" borderId="1" xfId="25" applyNumberFormat="1" applyFont="1" applyFill="1" applyBorder="1" applyAlignment="1">
      <alignment horizontal="center" vertical="center" wrapText="1"/>
    </xf>
    <xf numFmtId="4" fontId="48" fillId="8" borderId="1" xfId="25" applyNumberFormat="1" applyFont="1" applyFill="1" applyBorder="1" applyAlignment="1">
      <alignment horizontal="center" vertical="center"/>
    </xf>
    <xf numFmtId="0" fontId="48" fillId="19" borderId="0" xfId="25" applyFont="1" applyFill="1"/>
    <xf numFmtId="0" fontId="45" fillId="0" borderId="1" xfId="25" applyFont="1" applyFill="1" applyBorder="1" applyAlignment="1">
      <alignment horizontal="center" vertical="center"/>
    </xf>
    <xf numFmtId="4" fontId="45" fillId="3" borderId="1" xfId="25" applyNumberFormat="1" applyFont="1" applyFill="1" applyBorder="1" applyAlignment="1">
      <alignment horizontal="center" vertical="center" wrapText="1"/>
    </xf>
    <xf numFmtId="0" fontId="130" fillId="18" borderId="1" xfId="25" applyFont="1" applyFill="1" applyBorder="1" applyAlignment="1">
      <alignment horizontal="center" vertical="center" wrapText="1"/>
    </xf>
    <xf numFmtId="4" fontId="45" fillId="0" borderId="1" xfId="25" applyNumberFormat="1" applyFont="1" applyFill="1" applyBorder="1" applyAlignment="1">
      <alignment horizontal="center" vertical="center" wrapText="1"/>
    </xf>
    <xf numFmtId="0" fontId="90" fillId="3" borderId="1" xfId="25" applyFont="1" applyFill="1" applyBorder="1" applyAlignment="1">
      <alignment horizontal="center" vertical="center" wrapText="1"/>
    </xf>
    <xf numFmtId="0" fontId="124" fillId="3" borderId="1" xfId="25" applyFont="1" applyFill="1" applyBorder="1" applyAlignment="1">
      <alignment horizontal="center" vertical="center" wrapText="1"/>
    </xf>
    <xf numFmtId="0" fontId="45" fillId="3" borderId="1" xfId="25" applyFont="1" applyFill="1" applyBorder="1" applyAlignment="1">
      <alignment horizontal="center" vertical="center" wrapText="1"/>
    </xf>
    <xf numFmtId="4" fontId="48" fillId="3" borderId="1" xfId="25" applyNumberFormat="1" applyFont="1" applyFill="1" applyBorder="1" applyAlignment="1">
      <alignment horizontal="center" vertical="center" wrapText="1"/>
    </xf>
    <xf numFmtId="1" fontId="48" fillId="0" borderId="1" xfId="25" applyNumberFormat="1" applyFont="1" applyFill="1" applyBorder="1" applyAlignment="1">
      <alignment horizontal="center" vertical="center" wrapText="1"/>
    </xf>
    <xf numFmtId="4" fontId="48" fillId="3" borderId="1" xfId="25" applyNumberFormat="1" applyFont="1" applyFill="1" applyBorder="1" applyAlignment="1">
      <alignment horizontal="center" vertical="center"/>
    </xf>
    <xf numFmtId="0" fontId="130" fillId="3" borderId="1" xfId="25" applyFont="1" applyFill="1" applyBorder="1" applyAlignment="1">
      <alignment horizontal="center" vertical="center" wrapText="1"/>
    </xf>
    <xf numFmtId="0" fontId="45" fillId="18" borderId="1" xfId="25" applyFont="1" applyFill="1" applyBorder="1" applyAlignment="1">
      <alignment horizontal="center" vertical="center" wrapText="1"/>
    </xf>
    <xf numFmtId="0" fontId="48" fillId="0" borderId="1" xfId="25" applyFont="1" applyBorder="1" applyAlignment="1">
      <alignment horizontal="center" vertical="center"/>
    </xf>
    <xf numFmtId="2" fontId="48" fillId="0" borderId="1" xfId="25" applyNumberFormat="1" applyFont="1" applyFill="1" applyBorder="1" applyAlignment="1">
      <alignment horizontal="center" vertical="center"/>
    </xf>
    <xf numFmtId="0" fontId="49" fillId="0" borderId="0" xfId="25" applyFont="1"/>
    <xf numFmtId="0" fontId="49" fillId="0" borderId="0" xfId="25" applyFont="1" applyAlignment="1">
      <alignment horizontal="center" vertical="center"/>
    </xf>
    <xf numFmtId="0" fontId="49" fillId="0" borderId="0" xfId="25" applyFont="1" applyFill="1"/>
    <xf numFmtId="0" fontId="83" fillId="0" borderId="0" xfId="25" applyFont="1"/>
    <xf numFmtId="14" fontId="63" fillId="0" borderId="0" xfId="25" applyNumberFormat="1" applyFont="1" applyAlignment="1">
      <alignment horizontal="center" vertical="center"/>
    </xf>
    <xf numFmtId="0" fontId="174" fillId="0" borderId="0" xfId="25" applyFont="1" applyAlignment="1">
      <alignment horizontal="right"/>
    </xf>
    <xf numFmtId="0" fontId="73" fillId="0" borderId="0" xfId="25" applyAlignment="1">
      <alignment horizontal="center"/>
    </xf>
    <xf numFmtId="0" fontId="53" fillId="2" borderId="2" xfId="25" applyFont="1" applyFill="1" applyBorder="1" applyAlignment="1">
      <alignment horizontal="center" vertical="center" wrapText="1"/>
    </xf>
    <xf numFmtId="0" fontId="73" fillId="2" borderId="1" xfId="25" applyFill="1" applyBorder="1" applyAlignment="1">
      <alignment horizontal="center" vertical="center" wrapText="1"/>
    </xf>
    <xf numFmtId="0" fontId="73" fillId="2" borderId="7" xfId="25" applyFill="1" applyBorder="1" applyAlignment="1">
      <alignment horizontal="center" vertical="center" wrapText="1"/>
    </xf>
    <xf numFmtId="0" fontId="73" fillId="2" borderId="1" xfId="25" applyFill="1" applyBorder="1" applyAlignment="1">
      <alignment vertical="center" wrapText="1"/>
    </xf>
    <xf numFmtId="0" fontId="73" fillId="2" borderId="1" xfId="25" applyFill="1" applyBorder="1" applyAlignment="1">
      <alignment wrapText="1"/>
    </xf>
    <xf numFmtId="2" fontId="73" fillId="2" borderId="1" xfId="25" applyNumberFormat="1" applyFill="1" applyBorder="1" applyAlignment="1">
      <alignment wrapText="1"/>
    </xf>
    <xf numFmtId="169" fontId="73" fillId="2" borderId="1" xfId="25" applyNumberFormat="1" applyFill="1" applyBorder="1" applyAlignment="1">
      <alignment wrapText="1"/>
    </xf>
    <xf numFmtId="0" fontId="53" fillId="2" borderId="1" xfId="25" applyFont="1" applyFill="1" applyBorder="1" applyAlignment="1">
      <alignment horizontal="left" vertical="center" wrapText="1"/>
    </xf>
    <xf numFmtId="167" fontId="158" fillId="2" borderId="1" xfId="25" applyNumberFormat="1" applyFont="1" applyFill="1" applyBorder="1" applyAlignment="1">
      <alignment vertical="center" wrapText="1"/>
    </xf>
    <xf numFmtId="0" fontId="73" fillId="0" borderId="0" xfId="25" applyAlignment="1">
      <alignment vertical="center" wrapText="1"/>
    </xf>
    <xf numFmtId="167" fontId="176" fillId="0" borderId="0" xfId="25" applyNumberFormat="1" applyFont="1"/>
    <xf numFmtId="167" fontId="73" fillId="0" borderId="0" xfId="25" applyNumberFormat="1"/>
    <xf numFmtId="14" fontId="73" fillId="0" borderId="0" xfId="25" applyNumberFormat="1"/>
    <xf numFmtId="0" fontId="40" fillId="0" borderId="0" xfId="74" applyFill="1" applyAlignment="1">
      <alignment horizontal="center" vertical="center" wrapText="1"/>
    </xf>
    <xf numFmtId="0" fontId="40" fillId="0" borderId="0" xfId="74" applyFill="1" applyAlignment="1">
      <alignment vertical="center" wrapText="1"/>
    </xf>
    <xf numFmtId="0" fontId="14" fillId="0" borderId="0" xfId="74" applyFont="1" applyFill="1" applyAlignment="1">
      <alignment vertical="center" wrapText="1"/>
    </xf>
    <xf numFmtId="0" fontId="14" fillId="0" borderId="0" xfId="74" applyFont="1" applyFill="1" applyAlignment="1">
      <alignment horizontal="center" vertical="center" wrapText="1"/>
    </xf>
    <xf numFmtId="0" fontId="32" fillId="0" borderId="0" xfId="74" applyFont="1" applyFill="1" applyAlignment="1">
      <alignment vertical="center" wrapText="1"/>
    </xf>
    <xf numFmtId="4" fontId="14" fillId="0" borderId="0" xfId="74" applyNumberFormat="1" applyFont="1" applyFill="1" applyAlignment="1">
      <alignment vertical="center" wrapText="1"/>
    </xf>
    <xf numFmtId="183" fontId="178" fillId="0" borderId="0" xfId="74" applyNumberFormat="1" applyFont="1" applyFill="1" applyAlignment="1">
      <alignment vertical="center" wrapText="1"/>
    </xf>
    <xf numFmtId="0" fontId="43" fillId="0" borderId="1" xfId="8" applyFont="1" applyFill="1" applyBorder="1" applyAlignment="1">
      <alignment horizontal="center" vertical="center" textRotation="90" wrapText="1"/>
    </xf>
    <xf numFmtId="0" fontId="40" fillId="0" borderId="1" xfId="74" applyFill="1" applyBorder="1" applyAlignment="1">
      <alignment horizontal="center" vertical="center" textRotation="90" wrapText="1"/>
    </xf>
    <xf numFmtId="4" fontId="48" fillId="0" borderId="0" xfId="71" applyNumberFormat="1" applyFont="1" applyFill="1" applyAlignment="1">
      <alignment horizontal="center" vertical="center" wrapText="1"/>
    </xf>
    <xf numFmtId="0" fontId="40" fillId="0" borderId="1" xfId="74" applyFill="1" applyBorder="1" applyAlignment="1">
      <alignment horizontal="center" vertical="center" wrapText="1"/>
    </xf>
    <xf numFmtId="0" fontId="179" fillId="19" borderId="1" xfId="74" applyFont="1" applyFill="1" applyBorder="1" applyAlignment="1">
      <alignment horizontal="center" vertical="center" wrapText="1"/>
    </xf>
    <xf numFmtId="0" fontId="35" fillId="19" borderId="1" xfId="16" applyFont="1" applyFill="1" applyBorder="1" applyAlignment="1">
      <alignment horizontal="left" vertical="center" wrapText="1"/>
    </xf>
    <xf numFmtId="4" fontId="179" fillId="19" borderId="1" xfId="74" applyNumberFormat="1" applyFont="1" applyFill="1" applyBorder="1" applyAlignment="1">
      <alignment horizontal="center" vertical="center" wrapText="1"/>
    </xf>
    <xf numFmtId="170" fontId="35" fillId="19" borderId="1" xfId="74" applyNumberFormat="1" applyFont="1" applyFill="1" applyBorder="1" applyAlignment="1">
      <alignment horizontal="center" vertical="center"/>
    </xf>
    <xf numFmtId="4" fontId="35" fillId="19" borderId="1" xfId="16" applyNumberFormat="1" applyFont="1" applyFill="1" applyBorder="1" applyAlignment="1">
      <alignment horizontal="center" vertical="center"/>
    </xf>
    <xf numFmtId="167" fontId="35" fillId="19" borderId="1" xfId="16" applyNumberFormat="1" applyFont="1" applyFill="1" applyBorder="1" applyAlignment="1">
      <alignment horizontal="center" vertical="center"/>
    </xf>
    <xf numFmtId="167" fontId="179" fillId="19" borderId="1" xfId="74" applyNumberFormat="1" applyFont="1" applyFill="1" applyBorder="1" applyAlignment="1">
      <alignment horizontal="center" vertical="center" wrapText="1"/>
    </xf>
    <xf numFmtId="4" fontId="179" fillId="19" borderId="1" xfId="8" applyNumberFormat="1" applyFont="1" applyFill="1" applyBorder="1" applyAlignment="1">
      <alignment horizontal="center" vertical="center" wrapText="1"/>
    </xf>
    <xf numFmtId="169" fontId="179" fillId="19" borderId="1" xfId="74" applyNumberFormat="1" applyFont="1" applyFill="1" applyBorder="1" applyAlignment="1">
      <alignment horizontal="center" vertical="center" wrapText="1"/>
    </xf>
    <xf numFmtId="185" fontId="179" fillId="19" borderId="0" xfId="75" applyNumberFormat="1" applyFont="1" applyFill="1" applyAlignment="1">
      <alignment horizontal="center" vertical="center" wrapText="1"/>
    </xf>
    <xf numFmtId="169" fontId="179" fillId="19" borderId="0" xfId="8" applyNumberFormat="1" applyFont="1" applyFill="1" applyAlignment="1">
      <alignment horizontal="center" vertical="center" wrapText="1"/>
    </xf>
    <xf numFmtId="169" fontId="179" fillId="19" borderId="0" xfId="74" applyNumberFormat="1" applyFont="1" applyFill="1" applyAlignment="1">
      <alignment horizontal="center" vertical="center" wrapText="1"/>
    </xf>
    <xf numFmtId="168" fontId="179" fillId="19" borderId="0" xfId="74" applyNumberFormat="1" applyFont="1" applyFill="1" applyAlignment="1">
      <alignment horizontal="center" vertical="center" wrapText="1"/>
    </xf>
    <xf numFmtId="167" fontId="35" fillId="19" borderId="0" xfId="74" applyNumberFormat="1" applyFont="1" applyFill="1" applyAlignment="1">
      <alignment vertical="center" wrapText="1"/>
    </xf>
    <xf numFmtId="4" fontId="179" fillId="19" borderId="0" xfId="74" applyNumberFormat="1" applyFont="1" applyFill="1" applyAlignment="1">
      <alignment horizontal="center" vertical="center" wrapText="1"/>
    </xf>
    <xf numFmtId="0" fontId="179" fillId="19" borderId="0" xfId="74" applyFont="1" applyFill="1" applyAlignment="1">
      <alignment horizontal="center" vertical="center" wrapText="1"/>
    </xf>
    <xf numFmtId="167" fontId="35" fillId="19" borderId="1" xfId="74" applyNumberFormat="1" applyFont="1" applyFill="1" applyBorder="1" applyAlignment="1">
      <alignment horizontal="center" vertical="center" wrapText="1"/>
    </xf>
    <xf numFmtId="0" fontId="179" fillId="0" borderId="1" xfId="74" applyFont="1" applyFill="1" applyBorder="1" applyAlignment="1">
      <alignment horizontal="center" vertical="center" wrapText="1"/>
    </xf>
    <xf numFmtId="0" fontId="35" fillId="0" borderId="1" xfId="74" applyFont="1" applyFill="1" applyBorder="1" applyAlignment="1">
      <alignment horizontal="left" vertical="center" wrapText="1"/>
    </xf>
    <xf numFmtId="4" fontId="35" fillId="0" borderId="1" xfId="74" applyNumberFormat="1" applyFont="1" applyFill="1" applyBorder="1" applyAlignment="1">
      <alignment horizontal="center" vertical="center" wrapText="1"/>
    </xf>
    <xf numFmtId="170" fontId="35" fillId="0" borderId="1" xfId="74" applyNumberFormat="1" applyFont="1" applyFill="1" applyBorder="1" applyAlignment="1">
      <alignment horizontal="center" vertical="center"/>
    </xf>
    <xf numFmtId="167" fontId="35" fillId="0" borderId="1" xfId="74" applyNumberFormat="1" applyFont="1" applyFill="1" applyBorder="1" applyAlignment="1">
      <alignment horizontal="center" vertical="center" wrapText="1"/>
    </xf>
    <xf numFmtId="0" fontId="35" fillId="0" borderId="1" xfId="74" applyFont="1" applyFill="1" applyBorder="1" applyAlignment="1">
      <alignment horizontal="center" vertical="center" wrapText="1"/>
    </xf>
    <xf numFmtId="169" fontId="35" fillId="0" borderId="1" xfId="74" applyNumberFormat="1" applyFont="1" applyFill="1" applyBorder="1" applyAlignment="1">
      <alignment horizontal="center" vertical="center" wrapText="1"/>
    </xf>
    <xf numFmtId="185" fontId="35" fillId="0" borderId="0" xfId="75" applyNumberFormat="1" applyFont="1" applyFill="1" applyAlignment="1">
      <alignment horizontal="center" vertical="center" wrapText="1"/>
    </xf>
    <xf numFmtId="169" fontId="35" fillId="0" borderId="0" xfId="8" applyNumberFormat="1" applyFont="1" applyFill="1" applyAlignment="1">
      <alignment horizontal="center" vertical="center" wrapText="1"/>
    </xf>
    <xf numFmtId="169" fontId="35" fillId="0" borderId="0" xfId="74" applyNumberFormat="1" applyFont="1" applyFill="1" applyAlignment="1">
      <alignment horizontal="center" vertical="center" wrapText="1"/>
    </xf>
    <xf numFmtId="168" fontId="35" fillId="0" borderId="0" xfId="74" applyNumberFormat="1" applyFont="1" applyFill="1" applyAlignment="1">
      <alignment horizontal="center" vertical="center" wrapText="1"/>
    </xf>
    <xf numFmtId="0" fontId="35" fillId="0" borderId="0" xfId="74" applyFont="1" applyFill="1" applyAlignment="1">
      <alignment horizontal="center" vertical="center" wrapText="1"/>
    </xf>
    <xf numFmtId="0" fontId="35" fillId="19" borderId="1" xfId="74" applyFont="1" applyFill="1" applyBorder="1" applyAlignment="1">
      <alignment horizontal="left" vertical="center" wrapText="1"/>
    </xf>
    <xf numFmtId="4" fontId="35" fillId="19" borderId="1" xfId="74" applyNumberFormat="1" applyFont="1" applyFill="1" applyBorder="1" applyAlignment="1">
      <alignment horizontal="center" vertical="center" wrapText="1"/>
    </xf>
    <xf numFmtId="0" fontId="35" fillId="19" borderId="1" xfId="74" applyFont="1" applyFill="1" applyBorder="1" applyAlignment="1">
      <alignment horizontal="center" vertical="center" wrapText="1"/>
    </xf>
    <xf numFmtId="169" fontId="35" fillId="19" borderId="1" xfId="74" applyNumberFormat="1" applyFont="1" applyFill="1" applyBorder="1" applyAlignment="1">
      <alignment horizontal="center" vertical="center" wrapText="1"/>
    </xf>
    <xf numFmtId="185" fontId="35" fillId="19" borderId="0" xfId="75" applyNumberFormat="1" applyFont="1" applyFill="1" applyAlignment="1">
      <alignment horizontal="center" vertical="center" wrapText="1"/>
    </xf>
    <xf numFmtId="169" fontId="35" fillId="19" borderId="0" xfId="8" applyNumberFormat="1" applyFont="1" applyFill="1" applyAlignment="1">
      <alignment horizontal="center" vertical="center" wrapText="1"/>
    </xf>
    <xf numFmtId="169" fontId="35" fillId="19" borderId="0" xfId="74" applyNumberFormat="1" applyFont="1" applyFill="1" applyAlignment="1">
      <alignment horizontal="center" vertical="center" wrapText="1"/>
    </xf>
    <xf numFmtId="168" fontId="35" fillId="19" borderId="0" xfId="74" applyNumberFormat="1" applyFont="1" applyFill="1" applyAlignment="1">
      <alignment horizontal="center" vertical="center" wrapText="1"/>
    </xf>
    <xf numFmtId="0" fontId="35" fillId="19" borderId="0" xfId="74" applyFont="1" applyFill="1" applyAlignment="1">
      <alignment horizontal="center" vertical="center" wrapText="1"/>
    </xf>
    <xf numFmtId="4" fontId="45" fillId="0" borderId="1" xfId="74" applyNumberFormat="1" applyFont="1" applyFill="1" applyBorder="1" applyAlignment="1">
      <alignment horizontal="center" vertical="center" wrapText="1"/>
    </xf>
    <xf numFmtId="167" fontId="45" fillId="0" borderId="1" xfId="74" applyNumberFormat="1" applyFont="1" applyFill="1" applyBorder="1" applyAlignment="1">
      <alignment horizontal="center" vertical="center" wrapText="1"/>
    </xf>
    <xf numFmtId="170" fontId="40" fillId="0" borderId="0" xfId="74" applyNumberFormat="1" applyFill="1" applyAlignment="1">
      <alignment horizontal="center" vertical="center" wrapText="1"/>
    </xf>
    <xf numFmtId="171" fontId="40" fillId="0" borderId="0" xfId="74" applyNumberFormat="1" applyFill="1" applyAlignment="1">
      <alignment horizontal="center" vertical="center" wrapText="1"/>
    </xf>
    <xf numFmtId="171" fontId="40" fillId="0" borderId="0" xfId="74" applyNumberFormat="1" applyFill="1" applyAlignment="1">
      <alignment vertical="center" wrapText="1"/>
    </xf>
    <xf numFmtId="186" fontId="40" fillId="0" borderId="0" xfId="74" applyNumberFormat="1" applyFill="1" applyAlignment="1">
      <alignment vertical="center" wrapText="1"/>
    </xf>
    <xf numFmtId="171" fontId="47" fillId="0" borderId="0" xfId="74" applyNumberFormat="1" applyFont="1" applyFill="1" applyAlignment="1">
      <alignment vertical="center" wrapText="1"/>
    </xf>
    <xf numFmtId="0" fontId="43" fillId="0" borderId="0" xfId="74" applyFont="1" applyFill="1" applyAlignment="1">
      <alignment horizontal="center" vertical="center" wrapText="1"/>
    </xf>
    <xf numFmtId="172" fontId="61" fillId="0" borderId="0" xfId="74" applyNumberFormat="1" applyFont="1" applyFill="1" applyAlignment="1">
      <alignment vertical="center" wrapText="1"/>
    </xf>
    <xf numFmtId="0" fontId="45" fillId="0" borderId="0" xfId="71" applyFont="1" applyFill="1" applyBorder="1" applyAlignment="1">
      <alignment horizontal="center" vertical="center" wrapText="1"/>
    </xf>
    <xf numFmtId="4" fontId="45" fillId="0" borderId="0" xfId="71" applyNumberFormat="1" applyFont="1" applyFill="1" applyBorder="1" applyAlignment="1">
      <alignment horizontal="center" vertical="center" wrapText="1"/>
    </xf>
    <xf numFmtId="171" fontId="61" fillId="0" borderId="0" xfId="74" applyNumberFormat="1" applyFont="1" applyFill="1" applyBorder="1" applyAlignment="1">
      <alignment vertical="center" wrapText="1"/>
    </xf>
    <xf numFmtId="0" fontId="48" fillId="0" borderId="0" xfId="71" applyFont="1" applyFill="1" applyBorder="1" applyAlignment="1">
      <alignment horizontal="center" vertical="center" wrapText="1"/>
    </xf>
    <xf numFmtId="0" fontId="34" fillId="0" borderId="1" xfId="71" applyFont="1" applyFill="1" applyBorder="1" applyAlignment="1">
      <alignment horizontal="center" vertical="center" wrapText="1"/>
    </xf>
    <xf numFmtId="172" fontId="48" fillId="0" borderId="0" xfId="71" applyNumberFormat="1" applyFont="1" applyFill="1" applyBorder="1" applyAlignment="1">
      <alignment vertical="center" wrapText="1"/>
    </xf>
    <xf numFmtId="4" fontId="48" fillId="0" borderId="0" xfId="71" applyNumberFormat="1" applyFont="1" applyFill="1" applyBorder="1" applyAlignment="1">
      <alignment horizontal="center" vertical="center" wrapText="1"/>
    </xf>
    <xf numFmtId="1" fontId="37" fillId="0" borderId="1" xfId="71" applyNumberFormat="1" applyFont="1" applyFill="1" applyBorder="1" applyAlignment="1">
      <alignment horizontal="center" vertical="center" wrapText="1"/>
    </xf>
    <xf numFmtId="3" fontId="37" fillId="0" borderId="1" xfId="71" applyNumberFormat="1" applyFont="1" applyFill="1" applyBorder="1" applyAlignment="1">
      <alignment horizontal="center" vertical="center" wrapText="1"/>
    </xf>
    <xf numFmtId="0" fontId="48" fillId="0" borderId="0" xfId="71" applyFont="1" applyFill="1" applyAlignment="1">
      <alignment horizontal="center" vertical="center" wrapText="1"/>
    </xf>
    <xf numFmtId="4" fontId="35" fillId="0" borderId="1" xfId="71" applyNumberFormat="1" applyFont="1" applyFill="1" applyBorder="1" applyAlignment="1">
      <alignment horizontal="center" vertical="center" wrapText="1"/>
    </xf>
    <xf numFmtId="172" fontId="35" fillId="0" borderId="1" xfId="71" applyNumberFormat="1" applyFont="1" applyFill="1" applyBorder="1" applyAlignment="1">
      <alignment horizontal="center" vertical="center" wrapText="1"/>
    </xf>
    <xf numFmtId="172" fontId="35" fillId="0" borderId="1" xfId="71" applyNumberFormat="1" applyFont="1" applyFill="1" applyBorder="1" applyAlignment="1">
      <alignment horizontal="right" vertical="center" wrapText="1"/>
    </xf>
    <xf numFmtId="4" fontId="38" fillId="0" borderId="1" xfId="71" applyNumberFormat="1" applyFont="1" applyFill="1" applyBorder="1" applyAlignment="1">
      <alignment horizontal="center" vertical="center" wrapText="1"/>
    </xf>
    <xf numFmtId="171" fontId="38" fillId="0" borderId="1" xfId="71" applyNumberFormat="1" applyFont="1" applyFill="1" applyBorder="1" applyAlignment="1">
      <alignment horizontal="center" vertical="center" wrapText="1"/>
    </xf>
    <xf numFmtId="4" fontId="48" fillId="0" borderId="0" xfId="71" applyNumberFormat="1" applyFont="1" applyFill="1" applyBorder="1" applyAlignment="1">
      <alignment horizontal="left" vertical="center" wrapText="1"/>
    </xf>
    <xf numFmtId="172" fontId="48" fillId="0" borderId="0" xfId="71" applyNumberFormat="1" applyFont="1" applyFill="1" applyBorder="1" applyAlignment="1">
      <alignment horizontal="right" vertical="center" wrapText="1"/>
    </xf>
    <xf numFmtId="171" fontId="48" fillId="0" borderId="0" xfId="71" applyNumberFormat="1" applyFont="1" applyFill="1" applyBorder="1" applyAlignment="1">
      <alignment horizontal="center" vertical="center" wrapText="1"/>
    </xf>
    <xf numFmtId="3" fontId="48" fillId="0" borderId="0" xfId="71" applyNumberFormat="1" applyFont="1" applyFill="1" applyBorder="1" applyAlignment="1">
      <alignment horizontal="center" vertical="center" wrapText="1"/>
    </xf>
    <xf numFmtId="4" fontId="48" fillId="0" borderId="0" xfId="71" applyNumberFormat="1" applyFont="1" applyFill="1" applyBorder="1" applyAlignment="1">
      <alignment horizontal="right" vertical="center" wrapText="1"/>
    </xf>
    <xf numFmtId="49" fontId="36" fillId="0" borderId="0" xfId="71" applyNumberFormat="1" applyFont="1" applyFill="1" applyBorder="1" applyAlignment="1" applyProtection="1">
      <alignment horizontal="center" vertical="center" wrapText="1"/>
    </xf>
    <xf numFmtId="4" fontId="36" fillId="0" borderId="0" xfId="71" applyNumberFormat="1" applyFont="1" applyFill="1" applyBorder="1" applyAlignment="1" applyProtection="1">
      <alignment horizontal="right" vertical="center" wrapText="1"/>
    </xf>
    <xf numFmtId="0" fontId="43" fillId="0" borderId="0" xfId="74" applyFont="1" applyFill="1" applyAlignment="1">
      <alignment vertical="center" wrapText="1"/>
    </xf>
    <xf numFmtId="0" fontId="180" fillId="0" borderId="0" xfId="71" applyFont="1" applyFill="1" applyBorder="1" applyAlignment="1">
      <alignment horizontal="center" vertical="center" wrapText="1"/>
    </xf>
    <xf numFmtId="4" fontId="180" fillId="0" borderId="1" xfId="71" applyNumberFormat="1" applyFont="1" applyFill="1" applyBorder="1" applyAlignment="1">
      <alignment horizontal="left" vertical="center" wrapText="1"/>
    </xf>
    <xf numFmtId="4" fontId="180" fillId="0" borderId="1" xfId="71" applyNumberFormat="1" applyFont="1" applyFill="1" applyBorder="1" applyAlignment="1">
      <alignment horizontal="right" vertical="center" wrapText="1"/>
    </xf>
    <xf numFmtId="4" fontId="33" fillId="0" borderId="0" xfId="71" applyNumberFormat="1" applyFont="1" applyFill="1" applyBorder="1" applyAlignment="1">
      <alignment horizontal="right" vertical="center" wrapText="1"/>
    </xf>
    <xf numFmtId="172" fontId="33" fillId="0" borderId="1" xfId="71" applyNumberFormat="1" applyFont="1" applyFill="1" applyBorder="1" applyAlignment="1">
      <alignment vertical="center" wrapText="1"/>
    </xf>
    <xf numFmtId="0" fontId="33" fillId="0" borderId="0" xfId="71" applyFont="1" applyFill="1" applyBorder="1" applyAlignment="1">
      <alignment horizontal="center" vertical="center" wrapText="1"/>
    </xf>
    <xf numFmtId="4" fontId="33" fillId="8" borderId="1" xfId="71" applyNumberFormat="1" applyFont="1" applyFill="1" applyBorder="1" applyAlignment="1">
      <alignment horizontal="left" vertical="center" wrapText="1"/>
    </xf>
    <xf numFmtId="4" fontId="33" fillId="0" borderId="1" xfId="71" applyNumberFormat="1" applyFont="1" applyFill="1" applyBorder="1" applyAlignment="1">
      <alignment horizontal="right" vertical="center" wrapText="1"/>
    </xf>
    <xf numFmtId="4" fontId="33" fillId="8" borderId="1" xfId="71" applyNumberFormat="1" applyFont="1" applyFill="1" applyBorder="1" applyAlignment="1">
      <alignment horizontal="center" vertical="center" wrapText="1"/>
    </xf>
    <xf numFmtId="4" fontId="33" fillId="0" borderId="1" xfId="71" applyNumberFormat="1" applyFont="1" applyFill="1" applyBorder="1" applyAlignment="1">
      <alignment horizontal="center" vertical="center" wrapText="1"/>
    </xf>
    <xf numFmtId="172" fontId="122" fillId="0" borderId="0" xfId="71" applyNumberFormat="1" applyFont="1" applyFill="1" applyBorder="1" applyAlignment="1">
      <alignment vertical="center"/>
    </xf>
    <xf numFmtId="4" fontId="122" fillId="0" borderId="0" xfId="71" applyNumberFormat="1" applyFont="1" applyFill="1" applyBorder="1" applyAlignment="1">
      <alignment horizontal="center" vertical="center"/>
    </xf>
    <xf numFmtId="4" fontId="122" fillId="0" borderId="0" xfId="71" applyNumberFormat="1" applyFont="1" applyFill="1" applyAlignment="1">
      <alignment horizontal="center" vertical="center"/>
    </xf>
    <xf numFmtId="0" fontId="122" fillId="0" borderId="0" xfId="71" applyFont="1" applyFill="1" applyAlignment="1">
      <alignment horizontal="center" vertical="center"/>
    </xf>
    <xf numFmtId="0" fontId="33" fillId="0" borderId="1" xfId="71" applyFont="1" applyFill="1" applyBorder="1" applyAlignment="1">
      <alignment horizontal="left" vertical="center"/>
    </xf>
    <xf numFmtId="0" fontId="33" fillId="0" borderId="1" xfId="71" applyFont="1" applyFill="1" applyBorder="1" applyAlignment="1">
      <alignment horizontal="left" vertical="center" wrapText="1"/>
    </xf>
    <xf numFmtId="4" fontId="47" fillId="0" borderId="0" xfId="71" applyNumberFormat="1" applyFont="1" applyFill="1" applyBorder="1" applyAlignment="1">
      <alignment horizontal="left" vertical="center"/>
    </xf>
    <xf numFmtId="171" fontId="122" fillId="0" borderId="0" xfId="71" applyNumberFormat="1" applyFont="1" applyFill="1" applyBorder="1" applyAlignment="1">
      <alignment horizontal="center" vertical="center"/>
    </xf>
    <xf numFmtId="10" fontId="33" fillId="0" borderId="1" xfId="71" applyNumberFormat="1" applyFont="1" applyFill="1" applyBorder="1" applyAlignment="1">
      <alignment horizontal="left" vertical="center"/>
    </xf>
    <xf numFmtId="4" fontId="33" fillId="8" borderId="1" xfId="71" applyNumberFormat="1" applyFont="1" applyFill="1" applyBorder="1" applyAlignment="1">
      <alignment horizontal="left" vertical="center"/>
    </xf>
    <xf numFmtId="4" fontId="33" fillId="0" borderId="1" xfId="71" applyNumberFormat="1" applyFont="1" applyFill="1" applyBorder="1" applyAlignment="1">
      <alignment horizontal="left" vertical="center"/>
    </xf>
    <xf numFmtId="4" fontId="33" fillId="0" borderId="0" xfId="71" applyNumberFormat="1" applyFont="1" applyFill="1" applyBorder="1" applyAlignment="1">
      <alignment horizontal="left" vertical="center"/>
    </xf>
    <xf numFmtId="0" fontId="48" fillId="8" borderId="1" xfId="71" applyFont="1" applyFill="1" applyBorder="1" applyAlignment="1">
      <alignment horizontal="center" vertical="center" wrapText="1"/>
    </xf>
    <xf numFmtId="4" fontId="33" fillId="0" borderId="1" xfId="71" applyNumberFormat="1" applyFont="1" applyFill="1" applyBorder="1" applyAlignment="1">
      <alignment horizontal="center" vertical="center"/>
    </xf>
    <xf numFmtId="4" fontId="47" fillId="0" borderId="0" xfId="71" applyNumberFormat="1" applyFont="1" applyFill="1" applyBorder="1" applyAlignment="1">
      <alignment horizontal="center" vertical="center" wrapText="1"/>
    </xf>
    <xf numFmtId="0" fontId="33" fillId="0" borderId="1" xfId="71" applyFont="1" applyFill="1" applyBorder="1" applyAlignment="1">
      <alignment horizontal="center" vertical="center" wrapText="1"/>
    </xf>
    <xf numFmtId="170" fontId="33" fillId="8" borderId="1" xfId="71" applyNumberFormat="1" applyFont="1" applyFill="1" applyBorder="1" applyAlignment="1">
      <alignment horizontal="center" vertical="center" wrapText="1"/>
    </xf>
    <xf numFmtId="170" fontId="33" fillId="0" borderId="1" xfId="71" applyNumberFormat="1" applyFont="1" applyFill="1" applyBorder="1" applyAlignment="1">
      <alignment horizontal="center" vertical="center" wrapText="1"/>
    </xf>
    <xf numFmtId="171" fontId="48" fillId="0" borderId="0" xfId="71" applyNumberFormat="1" applyFont="1" applyFill="1" applyAlignment="1">
      <alignment horizontal="center" vertical="center" wrapText="1"/>
    </xf>
    <xf numFmtId="171" fontId="48" fillId="0" borderId="0" xfId="71" applyNumberFormat="1" applyFont="1" applyFill="1" applyAlignment="1">
      <alignment vertical="center" wrapText="1"/>
    </xf>
    <xf numFmtId="171" fontId="45" fillId="0" borderId="0" xfId="71" applyNumberFormat="1" applyFont="1" applyFill="1" applyBorder="1" applyAlignment="1">
      <alignment horizontal="center" vertical="center" wrapText="1"/>
    </xf>
    <xf numFmtId="4" fontId="49" fillId="0" borderId="0" xfId="71" applyNumberFormat="1" applyFont="1" applyFill="1" applyAlignment="1">
      <alignment horizontal="center" vertical="center" wrapText="1"/>
    </xf>
    <xf numFmtId="0" fontId="43" fillId="0" borderId="0" xfId="8" applyFont="1" applyFill="1" applyAlignment="1">
      <alignment horizontal="center" vertical="center" wrapText="1"/>
    </xf>
    <xf numFmtId="168" fontId="43" fillId="0" borderId="0" xfId="74" applyNumberFormat="1" applyFont="1" applyFill="1" applyAlignment="1">
      <alignment vertical="center" wrapText="1"/>
    </xf>
    <xf numFmtId="4" fontId="43" fillId="0" borderId="0" xfId="74" applyNumberFormat="1" applyFont="1" applyFill="1" applyAlignment="1">
      <alignment vertical="center" wrapText="1"/>
    </xf>
    <xf numFmtId="171" fontId="79" fillId="0" borderId="0" xfId="8" applyNumberFormat="1" applyFont="1" applyFill="1" applyAlignment="1">
      <alignment horizontal="center" vertical="center" wrapText="1"/>
    </xf>
    <xf numFmtId="171" fontId="79" fillId="0" borderId="0" xfId="74" applyNumberFormat="1" applyFont="1" applyFill="1" applyAlignment="1">
      <alignment vertical="center" wrapText="1"/>
    </xf>
    <xf numFmtId="172" fontId="79" fillId="0" borderId="0" xfId="8" applyNumberFormat="1" applyFont="1" applyFill="1" applyAlignment="1">
      <alignment vertical="center" wrapText="1"/>
    </xf>
    <xf numFmtId="168" fontId="79" fillId="0" borderId="0" xfId="8" applyNumberFormat="1" applyFont="1" applyFill="1" applyAlignment="1">
      <alignment vertical="center" wrapText="1"/>
    </xf>
    <xf numFmtId="172" fontId="131" fillId="0" borderId="0" xfId="74" applyNumberFormat="1" applyFont="1" applyFill="1" applyAlignment="1">
      <alignment horizontal="center"/>
    </xf>
    <xf numFmtId="172" fontId="131" fillId="0" borderId="0" xfId="74" applyNumberFormat="1" applyFont="1" applyFill="1"/>
    <xf numFmtId="171" fontId="131" fillId="0" borderId="0" xfId="74" applyNumberFormat="1" applyFont="1" applyFill="1"/>
    <xf numFmtId="168" fontId="40" fillId="0" borderId="0" xfId="74" applyNumberFormat="1" applyFill="1" applyAlignment="1">
      <alignment vertical="center" wrapText="1"/>
    </xf>
    <xf numFmtId="0" fontId="16" fillId="0" borderId="0" xfId="74" applyFont="1" applyFill="1"/>
    <xf numFmtId="0" fontId="22" fillId="0" borderId="0" xfId="74" applyFont="1" applyFill="1" applyAlignment="1">
      <alignment horizontal="center" vertical="center" wrapText="1"/>
    </xf>
    <xf numFmtId="0" fontId="22" fillId="0" borderId="0" xfId="74" applyFont="1" applyFill="1" applyAlignment="1">
      <alignment vertical="center" wrapText="1"/>
    </xf>
    <xf numFmtId="171" fontId="43" fillId="0" borderId="0" xfId="74" applyNumberFormat="1" applyFont="1" applyFill="1" applyAlignment="1">
      <alignment vertical="center" wrapText="1"/>
    </xf>
    <xf numFmtId="171" fontId="44" fillId="0" borderId="0" xfId="74" applyNumberFormat="1" applyFont="1" applyFill="1" applyAlignment="1">
      <alignment vertical="center" wrapText="1"/>
    </xf>
    <xf numFmtId="14" fontId="22" fillId="0" borderId="0" xfId="74" applyNumberFormat="1" applyFont="1" applyFill="1" applyAlignment="1">
      <alignment vertical="center" wrapText="1"/>
    </xf>
    <xf numFmtId="49" fontId="181" fillId="0" borderId="0" xfId="71" applyNumberFormat="1" applyFont="1" applyFill="1" applyBorder="1" applyAlignment="1" applyProtection="1">
      <alignment horizontal="center" vertical="center" wrapText="1"/>
    </xf>
    <xf numFmtId="4" fontId="181" fillId="0" borderId="0" xfId="71" applyNumberFormat="1" applyFont="1" applyFill="1" applyBorder="1" applyAlignment="1" applyProtection="1">
      <alignment horizontal="right" vertical="center" wrapText="1"/>
    </xf>
    <xf numFmtId="0" fontId="45" fillId="0" borderId="1" xfId="71" applyFont="1" applyFill="1" applyBorder="1" applyAlignment="1">
      <alignment horizontal="center" vertical="center" wrapText="1"/>
    </xf>
    <xf numFmtId="4" fontId="48" fillId="0" borderId="1" xfId="71" applyNumberFormat="1" applyFont="1" applyFill="1" applyBorder="1" applyAlignment="1">
      <alignment horizontal="center" vertical="center" wrapText="1"/>
    </xf>
    <xf numFmtId="0" fontId="41" fillId="0" borderId="0" xfId="74" applyFont="1" applyFill="1" applyAlignment="1">
      <alignment vertical="center" wrapText="1"/>
    </xf>
    <xf numFmtId="0" fontId="39" fillId="0" borderId="0" xfId="73" applyFont="1" applyFill="1" applyAlignment="1">
      <alignment horizontal="center" vertical="center"/>
    </xf>
    <xf numFmtId="4" fontId="39" fillId="0" borderId="0" xfId="73" applyNumberFormat="1" applyFont="1" applyFill="1" applyBorder="1"/>
    <xf numFmtId="167" fontId="39" fillId="2" borderId="0" xfId="73" applyNumberFormat="1" applyFont="1" applyFill="1" applyBorder="1"/>
    <xf numFmtId="167" fontId="39" fillId="0" borderId="1" xfId="73" applyNumberFormat="1" applyFont="1" applyBorder="1" applyAlignment="1">
      <alignment horizontal="center" vertical="center" wrapText="1"/>
    </xf>
    <xf numFmtId="167" fontId="38" fillId="0" borderId="1" xfId="73" applyNumberFormat="1" applyFont="1" applyFill="1" applyBorder="1" applyAlignment="1">
      <alignment horizontal="center" vertical="center" wrapText="1"/>
    </xf>
    <xf numFmtId="4" fontId="84" fillId="0" borderId="1" xfId="73" applyNumberFormat="1" applyFont="1" applyBorder="1" applyAlignment="1">
      <alignment horizontal="center" vertical="center" wrapText="1"/>
    </xf>
    <xf numFmtId="0" fontId="84" fillId="0" borderId="1" xfId="73" applyFont="1" applyFill="1" applyBorder="1" applyAlignment="1">
      <alignment horizontal="center" vertical="center" wrapText="1"/>
    </xf>
    <xf numFmtId="3" fontId="84" fillId="0" borderId="1" xfId="73" applyNumberFormat="1" applyFont="1" applyFill="1" applyBorder="1" applyAlignment="1">
      <alignment horizontal="center" vertical="center" wrapText="1"/>
    </xf>
    <xf numFmtId="49" fontId="84" fillId="0" borderId="1" xfId="73" applyNumberFormat="1" applyFont="1" applyFill="1" applyBorder="1" applyAlignment="1">
      <alignment horizontal="center" vertical="center" wrapText="1"/>
    </xf>
    <xf numFmtId="167" fontId="84" fillId="0" borderId="1" xfId="73" applyNumberFormat="1" applyFont="1" applyBorder="1" applyAlignment="1">
      <alignment horizontal="center" vertical="center" wrapText="1"/>
    </xf>
    <xf numFmtId="0" fontId="135" fillId="0" borderId="6" xfId="73" applyFont="1" applyBorder="1" applyAlignment="1">
      <alignment vertical="center" wrapText="1"/>
    </xf>
    <xf numFmtId="0" fontId="55" fillId="0" borderId="6" xfId="73" applyFont="1" applyBorder="1" applyAlignment="1">
      <alignment vertical="center" wrapText="1"/>
    </xf>
    <xf numFmtId="0" fontId="55" fillId="3" borderId="1" xfId="73" applyFont="1" applyFill="1" applyBorder="1" applyAlignment="1">
      <alignment horizontal="center" vertical="center" wrapText="1"/>
    </xf>
    <xf numFmtId="0" fontId="55" fillId="3" borderId="1" xfId="73" applyFont="1" applyFill="1" applyBorder="1" applyAlignment="1">
      <alignment horizontal="left" vertical="center" wrapText="1"/>
    </xf>
    <xf numFmtId="4" fontId="55" fillId="3" borderId="1" xfId="73" applyNumberFormat="1" applyFont="1" applyFill="1" applyBorder="1" applyAlignment="1">
      <alignment horizontal="center" vertical="center" wrapText="1"/>
    </xf>
    <xf numFmtId="167" fontId="55" fillId="3" borderId="1" xfId="73" applyNumberFormat="1" applyFont="1" applyFill="1" applyBorder="1" applyAlignment="1">
      <alignment horizontal="center" vertical="center" wrapText="1"/>
    </xf>
    <xf numFmtId="167" fontId="55" fillId="3" borderId="1" xfId="73" applyNumberFormat="1" applyFont="1" applyFill="1" applyBorder="1" applyAlignment="1">
      <alignment horizontal="center" vertical="center"/>
    </xf>
    <xf numFmtId="0" fontId="55" fillId="3" borderId="0" xfId="73" applyFont="1" applyFill="1"/>
    <xf numFmtId="0" fontId="55" fillId="0" borderId="1" xfId="73" applyFont="1" applyFill="1" applyBorder="1" applyAlignment="1">
      <alignment horizontal="center" vertical="center" wrapText="1"/>
    </xf>
    <xf numFmtId="0" fontId="55" fillId="0" borderId="1" xfId="73" applyFont="1" applyFill="1" applyBorder="1" applyAlignment="1">
      <alignment horizontal="left" vertical="center" wrapText="1"/>
    </xf>
    <xf numFmtId="4" fontId="55" fillId="0" borderId="1" xfId="73" applyNumberFormat="1" applyFont="1" applyFill="1" applyBorder="1" applyAlignment="1">
      <alignment horizontal="right" vertical="center" wrapText="1"/>
    </xf>
    <xf numFmtId="167" fontId="55" fillId="0" borderId="1" xfId="73" applyNumberFormat="1" applyFont="1" applyFill="1" applyBorder="1" applyAlignment="1">
      <alignment horizontal="right" vertical="center" wrapText="1"/>
    </xf>
    <xf numFmtId="167" fontId="55" fillId="0" borderId="1" xfId="73" applyNumberFormat="1" applyFont="1" applyFill="1" applyBorder="1" applyAlignment="1">
      <alignment horizontal="center" vertical="center" wrapText="1"/>
    </xf>
    <xf numFmtId="167" fontId="39" fillId="0" borderId="1" xfId="73" applyNumberFormat="1" applyFont="1" applyFill="1" applyBorder="1" applyAlignment="1">
      <alignment horizontal="center" vertical="center"/>
    </xf>
    <xf numFmtId="167" fontId="55" fillId="0" borderId="1" xfId="73" applyNumberFormat="1" applyFont="1" applyBorder="1" applyAlignment="1">
      <alignment horizontal="center" vertical="center"/>
    </xf>
    <xf numFmtId="0" fontId="55" fillId="0" borderId="0" xfId="73" applyFont="1" applyFill="1"/>
    <xf numFmtId="0" fontId="39" fillId="0" borderId="1" xfId="73" applyFont="1" applyFill="1" applyBorder="1" applyAlignment="1">
      <alignment horizontal="center" vertical="center" wrapText="1"/>
    </xf>
    <xf numFmtId="0" fontId="39" fillId="0" borderId="1" xfId="73" applyFont="1" applyFill="1" applyBorder="1" applyAlignment="1">
      <alignment horizontal="left" vertical="center" wrapText="1"/>
    </xf>
    <xf numFmtId="0" fontId="39" fillId="0" borderId="1" xfId="73" applyFont="1" applyFill="1" applyBorder="1" applyAlignment="1">
      <alignment horizontal="right" vertical="center" wrapText="1"/>
    </xf>
    <xf numFmtId="4" fontId="39" fillId="0" borderId="1" xfId="73" applyNumberFormat="1" applyFont="1" applyFill="1" applyBorder="1" applyAlignment="1">
      <alignment horizontal="right" vertical="center" wrapText="1"/>
    </xf>
    <xf numFmtId="167" fontId="39" fillId="0" borderId="1" xfId="73" applyNumberFormat="1" applyFont="1" applyFill="1" applyBorder="1" applyAlignment="1">
      <alignment horizontal="right" vertical="center" wrapText="1"/>
    </xf>
    <xf numFmtId="167" fontId="39" fillId="0" borderId="1" xfId="73" applyNumberFormat="1" applyFont="1" applyFill="1" applyBorder="1" applyAlignment="1">
      <alignment horizontal="center" vertical="center" wrapText="1"/>
    </xf>
    <xf numFmtId="167" fontId="39" fillId="0" borderId="1" xfId="73" applyNumberFormat="1" applyFont="1" applyBorder="1" applyAlignment="1">
      <alignment horizontal="center" vertical="center"/>
    </xf>
    <xf numFmtId="0" fontId="39" fillId="0" borderId="1" xfId="73" applyFont="1" applyFill="1" applyBorder="1" applyAlignment="1">
      <alignment horizontal="center" vertical="center"/>
    </xf>
    <xf numFmtId="4" fontId="39" fillId="0" borderId="1" xfId="73" applyNumberFormat="1" applyFont="1" applyFill="1" applyBorder="1" applyAlignment="1">
      <alignment horizontal="center" vertical="center"/>
    </xf>
    <xf numFmtId="4" fontId="55" fillId="0" borderId="1" xfId="73" applyNumberFormat="1" applyFont="1" applyFill="1" applyBorder="1" applyAlignment="1">
      <alignment horizontal="center" vertical="center" wrapText="1"/>
    </xf>
    <xf numFmtId="4" fontId="39" fillId="0" borderId="1" xfId="73" applyNumberFormat="1" applyFont="1" applyFill="1" applyBorder="1" applyAlignment="1">
      <alignment horizontal="center" vertical="center" wrapText="1"/>
    </xf>
    <xf numFmtId="0" fontId="55" fillId="0" borderId="1" xfId="73" applyFont="1" applyFill="1" applyBorder="1" applyAlignment="1">
      <alignment horizontal="center" vertical="center"/>
    </xf>
    <xf numFmtId="0" fontId="55" fillId="0" borderId="1" xfId="73" applyFont="1" applyFill="1" applyBorder="1" applyAlignment="1">
      <alignment horizontal="right" vertical="center" wrapText="1"/>
    </xf>
    <xf numFmtId="167" fontId="55" fillId="0" borderId="1" xfId="73" applyNumberFormat="1" applyFont="1" applyFill="1" applyBorder="1" applyAlignment="1">
      <alignment horizontal="center" vertical="center"/>
    </xf>
    <xf numFmtId="0" fontId="55" fillId="2" borderId="1" xfId="26" applyFont="1" applyFill="1" applyBorder="1" applyAlignment="1">
      <alignment horizontal="left" vertical="center" wrapText="1"/>
    </xf>
    <xf numFmtId="4" fontId="55" fillId="0" borderId="1" xfId="73" applyNumberFormat="1" applyFont="1" applyFill="1" applyBorder="1" applyAlignment="1">
      <alignment horizontal="center" vertical="center"/>
    </xf>
    <xf numFmtId="0" fontId="55" fillId="3" borderId="1" xfId="73" applyFont="1" applyFill="1" applyBorder="1" applyAlignment="1">
      <alignment horizontal="center" vertical="center"/>
    </xf>
    <xf numFmtId="0" fontId="55" fillId="3" borderId="1" xfId="73" applyFont="1" applyFill="1" applyBorder="1" applyAlignment="1">
      <alignment horizontal="right" vertical="center" wrapText="1"/>
    </xf>
    <xf numFmtId="4" fontId="55" fillId="3" borderId="1" xfId="73" applyNumberFormat="1" applyFont="1" applyFill="1" applyBorder="1" applyAlignment="1">
      <alignment horizontal="right" vertical="center" wrapText="1"/>
    </xf>
    <xf numFmtId="167" fontId="55" fillId="3" borderId="1" xfId="73" applyNumberFormat="1" applyFont="1" applyFill="1" applyBorder="1" applyAlignment="1">
      <alignment horizontal="right" vertical="center" wrapText="1"/>
    </xf>
    <xf numFmtId="0" fontId="39" fillId="2" borderId="1" xfId="26" applyFont="1" applyFill="1" applyBorder="1" applyAlignment="1">
      <alignment horizontal="left" vertical="center" wrapText="1"/>
    </xf>
    <xf numFmtId="0" fontId="39" fillId="0" borderId="0" xfId="73" applyFont="1" applyFill="1" applyBorder="1" applyAlignment="1">
      <alignment horizontal="center" vertical="center" wrapText="1"/>
    </xf>
    <xf numFmtId="0" fontId="39" fillId="0" borderId="0" xfId="73" applyFont="1" applyFill="1" applyBorder="1" applyAlignment="1">
      <alignment horizontal="center" vertical="center"/>
    </xf>
    <xf numFmtId="0" fontId="39" fillId="0" borderId="0" xfId="73" applyFont="1" applyFill="1" applyBorder="1" applyAlignment="1">
      <alignment horizontal="left" vertical="center" wrapText="1"/>
    </xf>
    <xf numFmtId="0" fontId="39" fillId="0" borderId="0" xfId="73" applyFont="1" applyFill="1" applyBorder="1" applyAlignment="1">
      <alignment horizontal="right" vertical="center" wrapText="1"/>
    </xf>
    <xf numFmtId="4" fontId="39" fillId="0" borderId="0" xfId="73" applyNumberFormat="1" applyFont="1" applyFill="1" applyBorder="1" applyAlignment="1">
      <alignment horizontal="right" vertical="center" wrapText="1"/>
    </xf>
    <xf numFmtId="167" fontId="39" fillId="0" borderId="0" xfId="73" applyNumberFormat="1" applyFont="1" applyFill="1" applyBorder="1" applyAlignment="1">
      <alignment horizontal="right" vertical="center" wrapText="1"/>
    </xf>
    <xf numFmtId="167" fontId="39" fillId="0" borderId="0" xfId="73" applyNumberFormat="1" applyFont="1" applyFill="1" applyBorder="1" applyAlignment="1">
      <alignment horizontal="center" vertical="center" wrapText="1"/>
    </xf>
    <xf numFmtId="167" fontId="39" fillId="0" borderId="0" xfId="73" applyNumberFormat="1" applyFont="1" applyBorder="1" applyAlignment="1">
      <alignment horizontal="center" vertical="center"/>
    </xf>
    <xf numFmtId="0" fontId="123" fillId="0" borderId="0" xfId="73" applyFont="1"/>
    <xf numFmtId="0" fontId="123" fillId="0" borderId="0" xfId="73" applyFont="1" applyAlignment="1">
      <alignment horizontal="center" vertical="center"/>
    </xf>
    <xf numFmtId="0" fontId="123" fillId="0" borderId="0" xfId="73" applyFont="1" applyAlignment="1">
      <alignment horizontal="left" vertical="center"/>
    </xf>
    <xf numFmtId="167" fontId="123" fillId="0" borderId="0" xfId="73" applyNumberFormat="1" applyFont="1" applyAlignment="1">
      <alignment horizontal="right" vertical="center"/>
    </xf>
    <xf numFmtId="4" fontId="123" fillId="0" borderId="0" xfId="73" applyNumberFormat="1" applyFont="1" applyAlignment="1">
      <alignment horizontal="right" vertical="center"/>
    </xf>
    <xf numFmtId="167" fontId="123" fillId="0" borderId="0" xfId="73" applyNumberFormat="1" applyFont="1" applyFill="1" applyAlignment="1">
      <alignment horizontal="right" vertical="center"/>
    </xf>
    <xf numFmtId="0" fontId="123" fillId="0" borderId="0" xfId="73" applyFont="1" applyFill="1"/>
    <xf numFmtId="0" fontId="123" fillId="0" borderId="1" xfId="73" applyFont="1" applyFill="1" applyBorder="1" applyAlignment="1">
      <alignment horizontal="center" vertical="center"/>
    </xf>
    <xf numFmtId="0" fontId="123" fillId="0" borderId="1" xfId="73" applyFont="1" applyFill="1" applyBorder="1" applyAlignment="1">
      <alignment horizontal="left" vertical="center"/>
    </xf>
    <xf numFmtId="167" fontId="123" fillId="0" borderId="1" xfId="73" applyNumberFormat="1" applyFont="1" applyFill="1" applyBorder="1"/>
    <xf numFmtId="4" fontId="123" fillId="0" borderId="1" xfId="73" applyNumberFormat="1" applyFont="1" applyFill="1" applyBorder="1"/>
    <xf numFmtId="3" fontId="123" fillId="0" borderId="1" xfId="73" applyNumberFormat="1" applyFont="1" applyFill="1" applyBorder="1" applyAlignment="1">
      <alignment horizontal="center" vertical="center"/>
    </xf>
    <xf numFmtId="0" fontId="123" fillId="0" borderId="0" xfId="73" applyFont="1" applyFill="1" applyAlignment="1">
      <alignment horizontal="left" vertical="center"/>
    </xf>
    <xf numFmtId="0" fontId="39" fillId="0" borderId="1" xfId="73" applyFont="1" applyFill="1" applyBorder="1" applyAlignment="1">
      <alignment horizontal="left" vertical="center"/>
    </xf>
    <xf numFmtId="167" fontId="39" fillId="0" borderId="1" xfId="73" applyNumberFormat="1" applyFont="1" applyFill="1" applyBorder="1"/>
    <xf numFmtId="4" fontId="39" fillId="0" borderId="1" xfId="73" applyNumberFormat="1" applyFont="1" applyFill="1" applyBorder="1"/>
    <xf numFmtId="0" fontId="55" fillId="0" borderId="0" xfId="73" applyFont="1" applyAlignment="1">
      <alignment horizontal="center" vertical="center"/>
    </xf>
    <xf numFmtId="4" fontId="55" fillId="3" borderId="1" xfId="73" applyNumberFormat="1" applyFont="1" applyFill="1" applyBorder="1" applyAlignment="1">
      <alignment horizontal="center" vertical="center"/>
    </xf>
    <xf numFmtId="167" fontId="39" fillId="0" borderId="1" xfId="73" applyNumberFormat="1" applyFont="1" applyFill="1" applyBorder="1" applyAlignment="1">
      <alignment horizontal="center"/>
    </xf>
    <xf numFmtId="4" fontId="39" fillId="0" borderId="1" xfId="73" applyNumberFormat="1" applyFont="1" applyFill="1" applyBorder="1" applyAlignment="1">
      <alignment horizontal="center"/>
    </xf>
    <xf numFmtId="0" fontId="39" fillId="0" borderId="0" xfId="73" applyFont="1" applyAlignment="1">
      <alignment horizontal="center" vertical="center"/>
    </xf>
    <xf numFmtId="167" fontId="39" fillId="0" borderId="0" xfId="73" applyNumberFormat="1" applyFont="1" applyAlignment="1">
      <alignment horizontal="center" vertical="center"/>
    </xf>
    <xf numFmtId="4" fontId="39" fillId="0" borderId="0" xfId="73" applyNumberFormat="1" applyFont="1" applyAlignment="1">
      <alignment horizontal="center" vertical="center"/>
    </xf>
    <xf numFmtId="167" fontId="39" fillId="0" borderId="1" xfId="73" applyNumberFormat="1" applyFont="1" applyFill="1" applyBorder="1" applyAlignment="1">
      <alignment horizontal="right" vertical="center"/>
    </xf>
    <xf numFmtId="4" fontId="39" fillId="0" borderId="0" xfId="73" applyNumberFormat="1" applyFont="1" applyFill="1"/>
    <xf numFmtId="1" fontId="123" fillId="0" borderId="1" xfId="73" applyNumberFormat="1" applyFont="1" applyFill="1" applyBorder="1"/>
    <xf numFmtId="1" fontId="123" fillId="0" borderId="1" xfId="73" applyNumberFormat="1" applyFont="1" applyFill="1" applyBorder="1" applyAlignment="1">
      <alignment horizontal="center" vertical="center"/>
    </xf>
    <xf numFmtId="14" fontId="39" fillId="0" borderId="0" xfId="73" applyNumberFormat="1" applyFont="1" applyFill="1"/>
    <xf numFmtId="187" fontId="66" fillId="2" borderId="1" xfId="31" applyNumberFormat="1" applyFont="1" applyFill="1" applyBorder="1" applyAlignment="1" applyProtection="1">
      <alignment vertical="top"/>
    </xf>
    <xf numFmtId="0" fontId="113" fillId="2" borderId="1" xfId="31" applyNumberFormat="1" applyFont="1" applyFill="1" applyBorder="1" applyAlignment="1" applyProtection="1">
      <alignment horizontal="left" vertical="center" indent="1"/>
    </xf>
    <xf numFmtId="0" fontId="113" fillId="2" borderId="1" xfId="31" applyNumberFormat="1" applyFont="1" applyFill="1" applyBorder="1" applyAlignment="1" applyProtection="1">
      <alignment horizontal="center" vertical="center"/>
    </xf>
    <xf numFmtId="0" fontId="113" fillId="2" borderId="0" xfId="31" applyNumberFormat="1" applyFont="1" applyFill="1" applyBorder="1" applyAlignment="1" applyProtection="1">
      <alignment vertical="top"/>
    </xf>
    <xf numFmtId="4" fontId="71" fillId="2" borderId="1" xfId="31" applyNumberFormat="1" applyFont="1" applyFill="1" applyBorder="1" applyAlignment="1" applyProtection="1">
      <alignment vertical="top" wrapText="1"/>
    </xf>
    <xf numFmtId="2" fontId="113" fillId="2" borderId="1" xfId="31" applyNumberFormat="1" applyFont="1" applyFill="1" applyBorder="1" applyAlignment="1" applyProtection="1">
      <alignment vertical="top"/>
    </xf>
    <xf numFmtId="167" fontId="114" fillId="2" borderId="1" xfId="31" applyNumberFormat="1" applyFont="1" applyFill="1" applyBorder="1" applyAlignment="1" applyProtection="1">
      <alignment vertical="top"/>
    </xf>
    <xf numFmtId="2" fontId="114" fillId="2" borderId="1" xfId="31" applyNumberFormat="1" applyFont="1" applyFill="1" applyBorder="1" applyAlignment="1" applyProtection="1">
      <alignment vertical="top"/>
    </xf>
    <xf numFmtId="0" fontId="113" fillId="2" borderId="1" xfId="31" applyNumberFormat="1" applyFont="1" applyFill="1" applyBorder="1" applyAlignment="1" applyProtection="1">
      <alignment vertical="center" wrapText="1"/>
    </xf>
    <xf numFmtId="0" fontId="114" fillId="2" borderId="1" xfId="31" applyNumberFormat="1" applyFont="1" applyFill="1" applyBorder="1" applyAlignment="1" applyProtection="1">
      <alignment vertical="center" wrapText="1"/>
    </xf>
    <xf numFmtId="2" fontId="113" fillId="2" borderId="1" xfId="31" applyNumberFormat="1" applyFont="1" applyFill="1" applyBorder="1" applyAlignment="1" applyProtection="1">
      <alignment horizontal="right" vertical="top"/>
    </xf>
    <xf numFmtId="2" fontId="66" fillId="2" borderId="1" xfId="31" applyNumberFormat="1" applyFont="1" applyFill="1" applyBorder="1" applyAlignment="1" applyProtection="1">
      <alignment vertical="top"/>
    </xf>
    <xf numFmtId="2" fontId="66" fillId="2" borderId="1" xfId="31" applyNumberFormat="1" applyFont="1" applyFill="1" applyBorder="1" applyAlignment="1" applyProtection="1">
      <alignment horizontal="right" vertical="top"/>
    </xf>
    <xf numFmtId="169" fontId="66" fillId="2" borderId="1" xfId="31" applyNumberFormat="1" applyFont="1" applyFill="1" applyBorder="1" applyAlignment="1" applyProtection="1">
      <alignment vertical="top"/>
    </xf>
    <xf numFmtId="169" fontId="66" fillId="2" borderId="1" xfId="31" applyNumberFormat="1" applyFont="1" applyFill="1" applyBorder="1" applyAlignment="1" applyProtection="1">
      <alignment horizontal="right" vertical="top"/>
    </xf>
    <xf numFmtId="169" fontId="71" fillId="2" borderId="1" xfId="31" applyNumberFormat="1" applyFont="1" applyFill="1" applyBorder="1" applyAlignment="1" applyProtection="1">
      <alignment horizontal="right" vertical="top"/>
    </xf>
    <xf numFmtId="0" fontId="71" fillId="2" borderId="1" xfId="31" applyNumberFormat="1" applyFont="1" applyFill="1" applyBorder="1" applyAlignment="1" applyProtection="1">
      <alignment horizontal="right" vertical="top"/>
    </xf>
    <xf numFmtId="4" fontId="66" fillId="0" borderId="1" xfId="31" applyNumberFormat="1" applyFont="1" applyFill="1" applyBorder="1" applyAlignment="1" applyProtection="1">
      <alignment horizontal="right" vertical="top"/>
    </xf>
    <xf numFmtId="4" fontId="66" fillId="2" borderId="1" xfId="31" applyNumberFormat="1" applyFont="1" applyFill="1" applyBorder="1" applyAlignment="1" applyProtection="1">
      <alignment horizontal="right" vertical="top"/>
    </xf>
    <xf numFmtId="4" fontId="66" fillId="0" borderId="1" xfId="31" applyNumberFormat="1" applyFont="1" applyFill="1" applyBorder="1" applyAlignment="1" applyProtection="1">
      <alignment vertical="top"/>
    </xf>
    <xf numFmtId="0" fontId="111" fillId="2" borderId="1" xfId="31" applyNumberFormat="1" applyFont="1" applyFill="1" applyBorder="1" applyAlignment="1" applyProtection="1">
      <alignment vertical="top" wrapText="1"/>
    </xf>
    <xf numFmtId="0" fontId="117" fillId="2" borderId="1" xfId="31" applyNumberFormat="1" applyFont="1" applyFill="1" applyBorder="1" applyAlignment="1" applyProtection="1">
      <alignment horizontal="center" vertical="center"/>
    </xf>
    <xf numFmtId="0" fontId="117" fillId="2" borderId="1" xfId="31" applyNumberFormat="1" applyFont="1" applyFill="1" applyBorder="1" applyAlignment="1" applyProtection="1">
      <alignment vertical="top"/>
    </xf>
    <xf numFmtId="167" fontId="117" fillId="2" borderId="1" xfId="31" applyNumberFormat="1" applyFont="1" applyFill="1" applyBorder="1" applyAlignment="1" applyProtection="1">
      <alignment vertical="top"/>
    </xf>
    <xf numFmtId="0" fontId="117" fillId="2" borderId="0" xfId="31" applyNumberFormat="1" applyFont="1" applyFill="1" applyBorder="1" applyAlignment="1" applyProtection="1">
      <alignment vertical="top"/>
    </xf>
    <xf numFmtId="0" fontId="74" fillId="0" borderId="0" xfId="25" applyFont="1" applyFill="1" applyBorder="1" applyAlignment="1">
      <alignment vertical="center"/>
    </xf>
    <xf numFmtId="0" fontId="74" fillId="0" borderId="0" xfId="25" applyFont="1" applyFill="1"/>
    <xf numFmtId="14" fontId="74" fillId="0" borderId="0" xfId="25" applyNumberFormat="1" applyFont="1" applyFill="1" applyBorder="1" applyAlignment="1">
      <alignment vertical="center"/>
    </xf>
    <xf numFmtId="0" fontId="74" fillId="0" borderId="1" xfId="25" applyFont="1" applyFill="1" applyBorder="1" applyAlignment="1">
      <alignment horizontal="center" vertical="center" textRotation="90" wrapText="1"/>
    </xf>
    <xf numFmtId="4" fontId="169" fillId="0" borderId="1" xfId="25" applyNumberFormat="1" applyFont="1" applyFill="1" applyBorder="1" applyAlignment="1">
      <alignment horizontal="left" vertical="center" wrapText="1"/>
    </xf>
    <xf numFmtId="4" fontId="74" fillId="0" borderId="0" xfId="25" applyNumberFormat="1" applyFont="1" applyFill="1"/>
    <xf numFmtId="4" fontId="74" fillId="0" borderId="1" xfId="25" applyNumberFormat="1" applyFont="1" applyFill="1" applyBorder="1" applyAlignment="1">
      <alignment horizontal="left" vertical="center" wrapText="1"/>
    </xf>
    <xf numFmtId="4" fontId="182" fillId="0" borderId="1" xfId="25" applyNumberFormat="1" applyFont="1" applyFill="1" applyBorder="1" applyAlignment="1">
      <alignment horizontal="center" vertical="center" wrapText="1"/>
    </xf>
    <xf numFmtId="4" fontId="74" fillId="0" borderId="0" xfId="25" applyNumberFormat="1" applyFont="1" applyFill="1" applyBorder="1" applyAlignment="1">
      <alignment horizontal="center" vertical="center" wrapText="1"/>
    </xf>
    <xf numFmtId="181" fontId="159" fillId="0" borderId="0" xfId="25" applyNumberFormat="1" applyFont="1" applyFill="1" applyBorder="1" applyAlignment="1">
      <alignment vertical="center" wrapText="1"/>
    </xf>
    <xf numFmtId="0" fontId="99" fillId="0" borderId="0" xfId="3" applyFont="1"/>
    <xf numFmtId="0" fontId="15" fillId="0" borderId="0" xfId="3"/>
    <xf numFmtId="0" fontId="100" fillId="0" borderId="0" xfId="3" applyFont="1"/>
    <xf numFmtId="0" fontId="99" fillId="0" borderId="11" xfId="3" applyFont="1" applyBorder="1"/>
    <xf numFmtId="0" fontId="99" fillId="0" borderId="16" xfId="3" applyFont="1" applyBorder="1"/>
    <xf numFmtId="0" fontId="99" fillId="0" borderId="27" xfId="3" applyFont="1" applyBorder="1" applyAlignment="1">
      <alignment horizontal="center"/>
    </xf>
    <xf numFmtId="0" fontId="99" fillId="0" borderId="73" xfId="3" applyFont="1" applyBorder="1" applyAlignment="1">
      <alignment horizontal="center"/>
    </xf>
    <xf numFmtId="0" fontId="99" fillId="0" borderId="28" xfId="3" applyFont="1" applyBorder="1" applyAlignment="1">
      <alignment horizontal="center"/>
    </xf>
    <xf numFmtId="0" fontId="99" fillId="0" borderId="74" xfId="3" applyFont="1" applyBorder="1" applyAlignment="1">
      <alignment horizontal="center"/>
    </xf>
    <xf numFmtId="0" fontId="99" fillId="0" borderId="29" xfId="3" applyFont="1" applyBorder="1" applyAlignment="1">
      <alignment horizontal="center"/>
    </xf>
    <xf numFmtId="0" fontId="99" fillId="0" borderId="75" xfId="3" applyFont="1" applyBorder="1" applyAlignment="1">
      <alignment horizontal="center"/>
    </xf>
    <xf numFmtId="0" fontId="99" fillId="0" borderId="30" xfId="3" applyFont="1" applyBorder="1" applyAlignment="1">
      <alignment horizontal="center"/>
    </xf>
    <xf numFmtId="0" fontId="16" fillId="0" borderId="30" xfId="3" applyFont="1" applyFill="1" applyBorder="1" applyAlignment="1">
      <alignment horizontal="center" vertical="center" wrapText="1"/>
    </xf>
    <xf numFmtId="0" fontId="16" fillId="0" borderId="29" xfId="3" applyFont="1" applyFill="1" applyBorder="1" applyAlignment="1">
      <alignment horizontal="center" vertical="center" wrapText="1"/>
    </xf>
    <xf numFmtId="0" fontId="16" fillId="0" borderId="27" xfId="3" applyFont="1" applyBorder="1" applyAlignment="1">
      <alignment horizontal="center" vertical="center" wrapText="1"/>
    </xf>
    <xf numFmtId="0" fontId="99" fillId="0" borderId="33" xfId="3" applyFont="1" applyBorder="1" applyAlignment="1">
      <alignment horizontal="center"/>
    </xf>
    <xf numFmtId="2" fontId="99" fillId="0" borderId="15" xfId="3" applyNumberFormat="1" applyFont="1" applyBorder="1" applyAlignment="1">
      <alignment horizontal="center"/>
    </xf>
    <xf numFmtId="0" fontId="99" fillId="0" borderId="12" xfId="3" applyFont="1" applyBorder="1" applyAlignment="1">
      <alignment horizontal="center"/>
    </xf>
    <xf numFmtId="2" fontId="99" fillId="0" borderId="13" xfId="3" applyNumberFormat="1" applyFont="1" applyBorder="1" applyAlignment="1">
      <alignment horizontal="center"/>
    </xf>
    <xf numFmtId="0" fontId="99" fillId="0" borderId="33" xfId="3" applyFont="1" applyFill="1" applyBorder="1" applyAlignment="1">
      <alignment horizontal="center"/>
    </xf>
    <xf numFmtId="2" fontId="99" fillId="0" borderId="15" xfId="3" applyNumberFormat="1" applyFont="1" applyFill="1" applyBorder="1" applyAlignment="1">
      <alignment horizontal="center"/>
    </xf>
    <xf numFmtId="0" fontId="99" fillId="0" borderId="12" xfId="3" applyFont="1" applyFill="1" applyBorder="1" applyAlignment="1">
      <alignment horizontal="center"/>
    </xf>
    <xf numFmtId="0" fontId="99" fillId="0" borderId="14" xfId="3" applyFont="1" applyFill="1" applyBorder="1" applyAlignment="1">
      <alignment horizontal="center"/>
    </xf>
    <xf numFmtId="168" fontId="99" fillId="0" borderId="14" xfId="3" applyNumberFormat="1" applyFont="1" applyFill="1" applyBorder="1" applyAlignment="1">
      <alignment horizontal="center"/>
    </xf>
    <xf numFmtId="2" fontId="99" fillId="0" borderId="13" xfId="3" applyNumberFormat="1" applyFont="1" applyFill="1" applyBorder="1" applyAlignment="1">
      <alignment horizontal="center"/>
    </xf>
    <xf numFmtId="168" fontId="99" fillId="0" borderId="33" xfId="3" applyNumberFormat="1" applyFont="1" applyFill="1" applyBorder="1" applyAlignment="1">
      <alignment horizontal="center"/>
    </xf>
    <xf numFmtId="0" fontId="99" fillId="0" borderId="14" xfId="3" applyFont="1" applyBorder="1" applyAlignment="1">
      <alignment horizontal="center"/>
    </xf>
    <xf numFmtId="0" fontId="16" fillId="0" borderId="14" xfId="3" applyFont="1" applyFill="1" applyBorder="1" applyAlignment="1">
      <alignment horizontal="center"/>
    </xf>
    <xf numFmtId="170" fontId="99" fillId="0" borderId="15" xfId="3" applyNumberFormat="1" applyFont="1" applyFill="1" applyBorder="1" applyAlignment="1">
      <alignment horizontal="center"/>
    </xf>
    <xf numFmtId="4" fontId="99" fillId="0" borderId="13" xfId="3" applyNumberFormat="1" applyFont="1" applyFill="1" applyBorder="1" applyAlignment="1">
      <alignment horizontal="center"/>
    </xf>
    <xf numFmtId="4" fontId="160" fillId="0" borderId="14" xfId="3" applyNumberFormat="1" applyFont="1" applyFill="1" applyBorder="1" applyAlignment="1">
      <alignment vertical="center" wrapText="1"/>
    </xf>
    <xf numFmtId="4" fontId="160" fillId="0" borderId="13" xfId="3" applyNumberFormat="1" applyFont="1" applyFill="1" applyBorder="1" applyAlignment="1">
      <alignment vertical="center" wrapText="1"/>
    </xf>
    <xf numFmtId="4" fontId="15" fillId="0" borderId="0" xfId="3" applyNumberFormat="1" applyFill="1"/>
    <xf numFmtId="4" fontId="99" fillId="0" borderId="34" xfId="3" applyNumberFormat="1" applyFont="1" applyBorder="1" applyAlignment="1">
      <alignment horizontal="center"/>
    </xf>
    <xf numFmtId="0" fontId="99" fillId="0" borderId="6" xfId="3" applyFont="1" applyBorder="1" applyAlignment="1">
      <alignment horizontal="center"/>
    </xf>
    <xf numFmtId="2" fontId="99" fillId="0" borderId="2" xfId="3" applyNumberFormat="1" applyFont="1" applyBorder="1" applyAlignment="1">
      <alignment horizontal="center"/>
    </xf>
    <xf numFmtId="0" fontId="99" fillId="0" borderId="17" xfId="3" applyFont="1" applyBorder="1" applyAlignment="1">
      <alignment horizontal="center"/>
    </xf>
    <xf numFmtId="2" fontId="99" fillId="0" borderId="18" xfId="3" applyNumberFormat="1" applyFont="1" applyBorder="1" applyAlignment="1">
      <alignment horizontal="center"/>
    </xf>
    <xf numFmtId="0" fontId="99" fillId="0" borderId="6" xfId="3" applyFont="1" applyFill="1" applyBorder="1" applyAlignment="1">
      <alignment horizontal="center"/>
    </xf>
    <xf numFmtId="2" fontId="99" fillId="0" borderId="2" xfId="3" applyNumberFormat="1" applyFont="1" applyFill="1" applyBorder="1" applyAlignment="1">
      <alignment horizontal="center"/>
    </xf>
    <xf numFmtId="0" fontId="99" fillId="0" borderId="17" xfId="3" applyFont="1" applyFill="1" applyBorder="1" applyAlignment="1">
      <alignment horizontal="center"/>
    </xf>
    <xf numFmtId="0" fontId="99" fillId="0" borderId="1" xfId="3" applyFont="1" applyFill="1" applyBorder="1" applyAlignment="1">
      <alignment horizontal="center"/>
    </xf>
    <xf numFmtId="168" fontId="99" fillId="0" borderId="1" xfId="3" applyNumberFormat="1" applyFont="1" applyFill="1" applyBorder="1" applyAlignment="1">
      <alignment horizontal="center"/>
    </xf>
    <xf numFmtId="2" fontId="99" fillId="0" borderId="18" xfId="3" applyNumberFormat="1" applyFont="1" applyFill="1" applyBorder="1" applyAlignment="1">
      <alignment horizontal="center"/>
    </xf>
    <xf numFmtId="168" fontId="99" fillId="0" borderId="6" xfId="3" applyNumberFormat="1" applyFont="1" applyFill="1" applyBorder="1" applyAlignment="1">
      <alignment horizontal="center"/>
    </xf>
    <xf numFmtId="168" fontId="99" fillId="0" borderId="49" xfId="3" applyNumberFormat="1" applyFont="1" applyFill="1" applyBorder="1" applyAlignment="1">
      <alignment horizontal="center"/>
    </xf>
    <xf numFmtId="0" fontId="99" fillId="0" borderId="1" xfId="3" applyFont="1" applyBorder="1" applyAlignment="1">
      <alignment horizontal="center"/>
    </xf>
    <xf numFmtId="0" fontId="16" fillId="0" borderId="1" xfId="3" applyFont="1" applyFill="1" applyBorder="1" applyAlignment="1">
      <alignment horizontal="center"/>
    </xf>
    <xf numFmtId="170" fontId="99" fillId="0" borderId="51" xfId="3" applyNumberFormat="1" applyFont="1" applyFill="1" applyBorder="1" applyAlignment="1">
      <alignment horizontal="center"/>
    </xf>
    <xf numFmtId="4" fontId="99" fillId="0" borderId="19" xfId="3" applyNumberFormat="1" applyFont="1" applyFill="1" applyBorder="1" applyAlignment="1">
      <alignment horizontal="center"/>
    </xf>
    <xf numFmtId="4" fontId="160" fillId="0" borderId="1" xfId="3" applyNumberFormat="1" applyFont="1" applyFill="1" applyBorder="1" applyAlignment="1">
      <alignment vertical="center" wrapText="1"/>
    </xf>
    <xf numFmtId="4" fontId="160" fillId="0" borderId="18" xfId="3" applyNumberFormat="1" applyFont="1" applyFill="1" applyBorder="1" applyAlignment="1">
      <alignment vertical="center" wrapText="1"/>
    </xf>
    <xf numFmtId="4" fontId="99" fillId="0" borderId="35" xfId="3" applyNumberFormat="1" applyFont="1" applyBorder="1" applyAlignment="1">
      <alignment horizontal="center"/>
    </xf>
    <xf numFmtId="0" fontId="99" fillId="0" borderId="39" xfId="3" applyFont="1" applyBorder="1" applyAlignment="1">
      <alignment horizontal="center"/>
    </xf>
    <xf numFmtId="2" fontId="99" fillId="0" borderId="38" xfId="3" applyNumberFormat="1" applyFont="1" applyBorder="1" applyAlignment="1">
      <alignment horizontal="center"/>
    </xf>
    <xf numFmtId="0" fontId="99" fillId="0" borderId="36" xfId="3" applyFont="1" applyBorder="1" applyAlignment="1">
      <alignment horizontal="center"/>
    </xf>
    <xf numFmtId="2" fontId="99" fillId="0" borderId="37" xfId="3" applyNumberFormat="1" applyFont="1" applyBorder="1" applyAlignment="1">
      <alignment horizontal="center"/>
    </xf>
    <xf numFmtId="0" fontId="99" fillId="0" borderId="39" xfId="3" applyFont="1" applyFill="1" applyBorder="1" applyAlignment="1">
      <alignment horizontal="center"/>
    </xf>
    <xf numFmtId="2" fontId="99" fillId="0" borderId="38" xfId="3" applyNumberFormat="1" applyFont="1" applyFill="1" applyBorder="1" applyAlignment="1">
      <alignment horizontal="center"/>
    </xf>
    <xf numFmtId="0" fontId="99" fillId="0" borderId="36" xfId="3" applyFont="1" applyFill="1" applyBorder="1" applyAlignment="1">
      <alignment horizontal="center"/>
    </xf>
    <xf numFmtId="0" fontId="99" fillId="0" borderId="40" xfId="3" applyFont="1" applyFill="1" applyBorder="1" applyAlignment="1">
      <alignment horizontal="center"/>
    </xf>
    <xf numFmtId="168" fontId="99" fillId="0" borderId="40" xfId="3" applyNumberFormat="1" applyFont="1" applyFill="1" applyBorder="1" applyAlignment="1">
      <alignment horizontal="center"/>
    </xf>
    <xf numFmtId="2" fontId="99" fillId="0" borderId="37" xfId="3" applyNumberFormat="1" applyFont="1" applyFill="1" applyBorder="1" applyAlignment="1">
      <alignment horizontal="center"/>
    </xf>
    <xf numFmtId="168" fontId="99" fillId="0" borderId="22" xfId="3" applyNumberFormat="1" applyFont="1" applyFill="1" applyBorder="1" applyAlignment="1">
      <alignment horizontal="center"/>
    </xf>
    <xf numFmtId="0" fontId="99" fillId="0" borderId="8" xfId="3" applyFont="1" applyFill="1" applyBorder="1" applyAlignment="1">
      <alignment horizontal="center"/>
    </xf>
    <xf numFmtId="168" fontId="99" fillId="0" borderId="26" xfId="3" applyNumberFormat="1" applyFont="1" applyFill="1" applyBorder="1" applyAlignment="1">
      <alignment horizontal="center"/>
    </xf>
    <xf numFmtId="0" fontId="99" fillId="0" borderId="8" xfId="3" applyFont="1" applyBorder="1" applyAlignment="1">
      <alignment horizontal="center"/>
    </xf>
    <xf numFmtId="0" fontId="16" fillId="0" borderId="7" xfId="3" applyFont="1" applyFill="1" applyBorder="1" applyAlignment="1">
      <alignment horizontal="center"/>
    </xf>
    <xf numFmtId="170" fontId="99" fillId="0" borderId="25" xfId="3" applyNumberFormat="1" applyFont="1" applyFill="1" applyBorder="1" applyAlignment="1">
      <alignment horizontal="center"/>
    </xf>
    <xf numFmtId="4" fontId="99" fillId="0" borderId="72" xfId="3" applyNumberFormat="1" applyFont="1" applyFill="1" applyBorder="1" applyAlignment="1">
      <alignment horizontal="center"/>
    </xf>
    <xf numFmtId="4" fontId="160" fillId="0" borderId="40" xfId="3" applyNumberFormat="1" applyFont="1" applyFill="1" applyBorder="1" applyAlignment="1">
      <alignment vertical="center" wrapText="1"/>
    </xf>
    <xf numFmtId="4" fontId="160" fillId="0" borderId="37" xfId="3" applyNumberFormat="1" applyFont="1" applyFill="1" applyBorder="1" applyAlignment="1">
      <alignment vertical="center" wrapText="1"/>
    </xf>
    <xf numFmtId="4" fontId="99" fillId="0" borderId="43" xfId="3" applyNumberFormat="1" applyFont="1" applyBorder="1" applyAlignment="1">
      <alignment horizontal="center"/>
    </xf>
    <xf numFmtId="178" fontId="99" fillId="0" borderId="14" xfId="3" applyNumberFormat="1" applyFont="1" applyBorder="1" applyAlignment="1">
      <alignment horizontal="center"/>
    </xf>
    <xf numFmtId="0" fontId="16" fillId="0" borderId="14" xfId="3" applyFont="1" applyFill="1" applyBorder="1" applyAlignment="1">
      <alignment horizontal="center" wrapText="1"/>
    </xf>
    <xf numFmtId="0" fontId="99" fillId="0" borderId="26" xfId="3" applyFont="1" applyBorder="1" applyAlignment="1">
      <alignment horizontal="center"/>
    </xf>
    <xf numFmtId="2" fontId="99" fillId="0" borderId="25" xfId="3" applyNumberFormat="1" applyFont="1" applyBorder="1" applyAlignment="1">
      <alignment horizontal="center"/>
    </xf>
    <xf numFmtId="0" fontId="99" fillId="0" borderId="24" xfId="3" applyFont="1" applyBorder="1" applyAlignment="1">
      <alignment horizontal="center"/>
    </xf>
    <xf numFmtId="2" fontId="99" fillId="0" borderId="72" xfId="3" applyNumberFormat="1" applyFont="1" applyBorder="1" applyAlignment="1">
      <alignment horizontal="center"/>
    </xf>
    <xf numFmtId="0" fontId="99" fillId="0" borderId="26" xfId="3" applyFont="1" applyFill="1" applyBorder="1" applyAlignment="1">
      <alignment horizontal="center"/>
    </xf>
    <xf numFmtId="2" fontId="99" fillId="0" borderId="25" xfId="3" applyNumberFormat="1" applyFont="1" applyFill="1" applyBorder="1" applyAlignment="1">
      <alignment horizontal="center"/>
    </xf>
    <xf numFmtId="0" fontId="99" fillId="0" borderId="24" xfId="3" applyFont="1" applyFill="1" applyBorder="1" applyAlignment="1">
      <alignment horizontal="center"/>
    </xf>
    <xf numFmtId="168" fontId="99" fillId="0" borderId="8" xfId="3" applyNumberFormat="1" applyFont="1" applyFill="1" applyBorder="1" applyAlignment="1">
      <alignment horizontal="center"/>
    </xf>
    <xf numFmtId="2" fontId="99" fillId="0" borderId="72" xfId="3" applyNumberFormat="1" applyFont="1" applyFill="1" applyBorder="1" applyAlignment="1">
      <alignment horizontal="center"/>
    </xf>
    <xf numFmtId="0" fontId="16" fillId="0" borderId="1" xfId="3" applyFont="1" applyFill="1" applyBorder="1" applyAlignment="1">
      <alignment horizontal="center" wrapText="1"/>
    </xf>
    <xf numFmtId="4" fontId="99" fillId="0" borderId="16" xfId="3" applyNumberFormat="1" applyFont="1" applyBorder="1" applyAlignment="1">
      <alignment horizontal="center"/>
    </xf>
    <xf numFmtId="168" fontId="99" fillId="0" borderId="39" xfId="3" applyNumberFormat="1" applyFont="1" applyFill="1" applyBorder="1" applyAlignment="1">
      <alignment horizontal="center"/>
    </xf>
    <xf numFmtId="168" fontId="99" fillId="0" borderId="44" xfId="3" applyNumberFormat="1" applyFont="1" applyFill="1" applyBorder="1" applyAlignment="1">
      <alignment horizontal="center"/>
    </xf>
    <xf numFmtId="0" fontId="99" fillId="0" borderId="40" xfId="3" applyFont="1" applyBorder="1" applyAlignment="1">
      <alignment horizontal="center"/>
    </xf>
    <xf numFmtId="0" fontId="16" fillId="0" borderId="40" xfId="3" applyFont="1" applyFill="1" applyBorder="1" applyAlignment="1">
      <alignment horizontal="center"/>
    </xf>
    <xf numFmtId="170" fontId="99" fillId="0" borderId="41" xfId="3" applyNumberFormat="1" applyFont="1" applyFill="1" applyBorder="1" applyAlignment="1">
      <alignment horizontal="center"/>
    </xf>
    <xf numFmtId="4" fontId="99" fillId="0" borderId="42" xfId="3" applyNumberFormat="1" applyFont="1" applyFill="1" applyBorder="1" applyAlignment="1">
      <alignment horizontal="center"/>
    </xf>
    <xf numFmtId="0" fontId="99" fillId="0" borderId="4" xfId="3" applyFont="1" applyFill="1" applyBorder="1" applyAlignment="1">
      <alignment horizontal="center"/>
    </xf>
    <xf numFmtId="0" fontId="99" fillId="0" borderId="4" xfId="3" applyFont="1" applyBorder="1" applyAlignment="1">
      <alignment horizontal="center"/>
    </xf>
    <xf numFmtId="0" fontId="16" fillId="0" borderId="4" xfId="3" applyFont="1" applyFill="1" applyBorder="1" applyAlignment="1">
      <alignment horizontal="center" wrapText="1"/>
    </xf>
    <xf numFmtId="0" fontId="15" fillId="0" borderId="0" xfId="3" applyAlignment="1">
      <alignment horizontal="left"/>
    </xf>
    <xf numFmtId="0" fontId="99" fillId="0" borderId="22" xfId="3" applyFont="1" applyBorder="1" applyAlignment="1">
      <alignment horizontal="center"/>
    </xf>
    <xf numFmtId="2" fontId="99" fillId="0" borderId="9" xfId="3" applyNumberFormat="1" applyFont="1" applyBorder="1" applyAlignment="1">
      <alignment horizontal="center"/>
    </xf>
    <xf numFmtId="0" fontId="99" fillId="0" borderId="20" xfId="3" applyFont="1" applyBorder="1" applyAlignment="1">
      <alignment horizontal="center"/>
    </xf>
    <xf numFmtId="2" fontId="99" fillId="0" borderId="21" xfId="3" applyNumberFormat="1" applyFont="1" applyBorder="1" applyAlignment="1">
      <alignment horizontal="center"/>
    </xf>
    <xf numFmtId="0" fontId="99" fillId="0" borderId="22" xfId="3" applyFont="1" applyFill="1" applyBorder="1" applyAlignment="1">
      <alignment horizontal="center"/>
    </xf>
    <xf numFmtId="2" fontId="99" fillId="0" borderId="9" xfId="3" applyNumberFormat="1" applyFont="1" applyFill="1" applyBorder="1" applyAlignment="1">
      <alignment horizontal="center"/>
    </xf>
    <xf numFmtId="0" fontId="99" fillId="0" borderId="20" xfId="3" applyFont="1" applyFill="1" applyBorder="1" applyAlignment="1">
      <alignment horizontal="center"/>
    </xf>
    <xf numFmtId="0" fontId="99" fillId="0" borderId="7" xfId="3" applyFont="1" applyFill="1" applyBorder="1" applyAlignment="1">
      <alignment horizontal="center"/>
    </xf>
    <xf numFmtId="168" fontId="99" fillId="0" borderId="7" xfId="3" applyNumberFormat="1" applyFont="1" applyFill="1" applyBorder="1" applyAlignment="1">
      <alignment horizontal="center"/>
    </xf>
    <xf numFmtId="2" fontId="99" fillId="0" borderId="21" xfId="3" applyNumberFormat="1" applyFont="1" applyFill="1" applyBorder="1" applyAlignment="1">
      <alignment horizontal="center"/>
    </xf>
    <xf numFmtId="0" fontId="99" fillId="0" borderId="7" xfId="3" applyFont="1" applyBorder="1" applyAlignment="1">
      <alignment horizontal="center"/>
    </xf>
    <xf numFmtId="4" fontId="99" fillId="0" borderId="46" xfId="3" applyNumberFormat="1" applyFont="1" applyBorder="1" applyAlignment="1">
      <alignment horizontal="center"/>
    </xf>
    <xf numFmtId="168" fontId="183" fillId="0" borderId="33" xfId="3" applyNumberFormat="1" applyFont="1" applyFill="1" applyBorder="1" applyAlignment="1">
      <alignment horizontal="center"/>
    </xf>
    <xf numFmtId="168" fontId="183" fillId="0" borderId="32" xfId="3" applyNumberFormat="1" applyFont="1" applyFill="1" applyBorder="1" applyAlignment="1">
      <alignment horizontal="center"/>
    </xf>
    <xf numFmtId="0" fontId="16" fillId="0" borderId="33" xfId="3" applyFont="1" applyFill="1" applyBorder="1" applyAlignment="1">
      <alignment horizontal="center"/>
    </xf>
    <xf numFmtId="170" fontId="183" fillId="0" borderId="15" xfId="3" applyNumberFormat="1" applyFont="1" applyFill="1" applyBorder="1" applyAlignment="1">
      <alignment horizontal="center"/>
    </xf>
    <xf numFmtId="168" fontId="99" fillId="0" borderId="10" xfId="3" applyNumberFormat="1" applyFont="1" applyFill="1" applyBorder="1" applyAlignment="1">
      <alignment horizontal="center"/>
    </xf>
    <xf numFmtId="0" fontId="16" fillId="0" borderId="6" xfId="3" applyFont="1" applyFill="1" applyBorder="1" applyAlignment="1">
      <alignment horizontal="center"/>
    </xf>
    <xf numFmtId="0" fontId="99" fillId="0" borderId="47" xfId="3" applyFont="1" applyFill="1" applyBorder="1" applyAlignment="1">
      <alignment horizontal="center"/>
    </xf>
    <xf numFmtId="168" fontId="99" fillId="0" borderId="48" xfId="3" applyNumberFormat="1" applyFont="1" applyFill="1" applyBorder="1" applyAlignment="1">
      <alignment horizontal="center"/>
    </xf>
    <xf numFmtId="0" fontId="16" fillId="0" borderId="39" xfId="3" applyFont="1" applyFill="1" applyBorder="1" applyAlignment="1">
      <alignment horizontal="center"/>
    </xf>
    <xf numFmtId="168" fontId="183" fillId="0" borderId="39" xfId="3" applyNumberFormat="1" applyFont="1" applyFill="1" applyBorder="1" applyAlignment="1">
      <alignment horizontal="center"/>
    </xf>
    <xf numFmtId="168" fontId="183" fillId="0" borderId="44" xfId="3" applyNumberFormat="1" applyFont="1" applyFill="1" applyBorder="1" applyAlignment="1">
      <alignment horizontal="center"/>
    </xf>
    <xf numFmtId="0" fontId="99" fillId="0" borderId="49" xfId="3" applyFont="1" applyBorder="1" applyAlignment="1">
      <alignment horizontal="center"/>
    </xf>
    <xf numFmtId="2" fontId="99" fillId="0" borderId="51" xfId="3" applyNumberFormat="1" applyFont="1" applyBorder="1" applyAlignment="1">
      <alignment horizontal="center"/>
    </xf>
    <xf numFmtId="0" fontId="99" fillId="0" borderId="71" xfId="3" applyFont="1" applyBorder="1" applyAlignment="1">
      <alignment horizontal="center"/>
    </xf>
    <xf numFmtId="2" fontId="99" fillId="0" borderId="19" xfId="3" applyNumberFormat="1" applyFont="1" applyBorder="1" applyAlignment="1">
      <alignment horizontal="center"/>
    </xf>
    <xf numFmtId="0" fontId="99" fillId="0" borderId="49" xfId="3" applyFont="1" applyFill="1" applyBorder="1" applyAlignment="1">
      <alignment horizontal="center"/>
    </xf>
    <xf numFmtId="2" fontId="99" fillId="0" borderId="51" xfId="3" applyNumberFormat="1" applyFont="1" applyFill="1" applyBorder="1" applyAlignment="1">
      <alignment horizontal="center"/>
    </xf>
    <xf numFmtId="0" fontId="99" fillId="0" borderId="71" xfId="3" applyFont="1" applyFill="1" applyBorder="1" applyAlignment="1">
      <alignment horizontal="center"/>
    </xf>
    <xf numFmtId="168" fontId="99" fillId="0" borderId="4" xfId="3" applyNumberFormat="1" applyFont="1" applyFill="1" applyBorder="1" applyAlignment="1">
      <alignment horizontal="center"/>
    </xf>
    <xf numFmtId="2" fontId="99" fillId="0" borderId="19" xfId="3" applyNumberFormat="1" applyFont="1" applyFill="1" applyBorder="1" applyAlignment="1">
      <alignment horizontal="center"/>
    </xf>
    <xf numFmtId="168" fontId="183" fillId="0" borderId="49" xfId="3" applyNumberFormat="1" applyFont="1" applyFill="1" applyBorder="1" applyAlignment="1">
      <alignment horizontal="center"/>
    </xf>
    <xf numFmtId="168" fontId="183" fillId="0" borderId="4" xfId="3" applyNumberFormat="1" applyFont="1" applyFill="1" applyBorder="1" applyAlignment="1">
      <alignment horizontal="center"/>
    </xf>
    <xf numFmtId="0" fontId="16" fillId="0" borderId="4" xfId="3" applyFont="1" applyFill="1" applyBorder="1" applyAlignment="1">
      <alignment horizontal="center"/>
    </xf>
    <xf numFmtId="170" fontId="183" fillId="0" borderId="51" xfId="3" applyNumberFormat="1" applyFont="1" applyFill="1" applyBorder="1" applyAlignment="1">
      <alignment horizontal="center"/>
    </xf>
    <xf numFmtId="4" fontId="99" fillId="0" borderId="80" xfId="3" applyNumberFormat="1" applyFont="1" applyBorder="1" applyAlignment="1">
      <alignment horizontal="center"/>
    </xf>
    <xf numFmtId="0" fontId="99" fillId="0" borderId="44" xfId="3" applyFont="1" applyBorder="1" applyAlignment="1">
      <alignment horizontal="center"/>
    </xf>
    <xf numFmtId="0" fontId="100" fillId="0" borderId="27" xfId="3" applyFont="1" applyBorder="1"/>
    <xf numFmtId="0" fontId="99" fillId="0" borderId="73" xfId="3" applyFont="1" applyBorder="1"/>
    <xf numFmtId="2" fontId="100" fillId="0" borderId="74" xfId="3" applyNumberFormat="1" applyFont="1" applyFill="1" applyBorder="1" applyAlignment="1">
      <alignment horizontal="center"/>
    </xf>
    <xf numFmtId="0" fontId="99" fillId="0" borderId="28" xfId="3" applyFont="1" applyFill="1" applyBorder="1" applyAlignment="1">
      <alignment horizontal="center"/>
    </xf>
    <xf numFmtId="2" fontId="100" fillId="0" borderId="29" xfId="3" applyNumberFormat="1" applyFont="1" applyFill="1" applyBorder="1" applyAlignment="1">
      <alignment horizontal="center"/>
    </xf>
    <xf numFmtId="0" fontId="100" fillId="0" borderId="75" xfId="3" applyFont="1" applyFill="1" applyBorder="1" applyAlignment="1">
      <alignment horizontal="center"/>
    </xf>
    <xf numFmtId="0" fontId="100" fillId="0" borderId="28" xfId="3" applyFont="1" applyFill="1" applyBorder="1" applyAlignment="1">
      <alignment horizontal="center"/>
    </xf>
    <xf numFmtId="0" fontId="100" fillId="0" borderId="30" xfId="3" applyFont="1" applyFill="1" applyBorder="1" applyAlignment="1">
      <alignment horizontal="center"/>
    </xf>
    <xf numFmtId="0" fontId="100" fillId="0" borderId="30" xfId="3" applyFont="1" applyBorder="1" applyAlignment="1">
      <alignment horizontal="center"/>
    </xf>
    <xf numFmtId="2" fontId="100" fillId="0" borderId="29" xfId="3" applyNumberFormat="1" applyFont="1" applyBorder="1" applyAlignment="1">
      <alignment horizontal="center"/>
    </xf>
    <xf numFmtId="0" fontId="100" fillId="0" borderId="75" xfId="3" applyFont="1" applyBorder="1" applyAlignment="1">
      <alignment horizontal="center"/>
    </xf>
    <xf numFmtId="0" fontId="100" fillId="0" borderId="30" xfId="3" applyFont="1" applyBorder="1"/>
    <xf numFmtId="0" fontId="100" fillId="0" borderId="74" xfId="3" applyFont="1" applyFill="1" applyBorder="1"/>
    <xf numFmtId="4" fontId="100" fillId="0" borderId="74" xfId="3" applyNumberFormat="1" applyFont="1" applyFill="1" applyBorder="1"/>
    <xf numFmtId="4" fontId="100" fillId="0" borderId="29" xfId="3" applyNumberFormat="1" applyFont="1" applyFill="1" applyBorder="1" applyAlignment="1">
      <alignment horizontal="center"/>
    </xf>
    <xf numFmtId="4" fontId="161" fillId="0" borderId="47" xfId="3" applyNumberFormat="1" applyFont="1" applyFill="1" applyBorder="1" applyAlignment="1">
      <alignment vertical="center" wrapText="1"/>
    </xf>
    <xf numFmtId="4" fontId="161" fillId="0" borderId="42" xfId="3" applyNumberFormat="1" applyFont="1" applyFill="1" applyBorder="1" applyAlignment="1">
      <alignment vertical="center" wrapText="1"/>
    </xf>
    <xf numFmtId="4" fontId="100" fillId="0" borderId="27" xfId="3" applyNumberFormat="1" applyFont="1" applyBorder="1" applyAlignment="1">
      <alignment horizontal="center"/>
    </xf>
    <xf numFmtId="0" fontId="99" fillId="0" borderId="0" xfId="3" applyFont="1" applyFill="1"/>
    <xf numFmtId="0" fontId="15" fillId="0" borderId="0" xfId="3" applyFill="1"/>
    <xf numFmtId="0" fontId="44" fillId="0" borderId="0" xfId="3" applyFont="1"/>
    <xf numFmtId="0" fontId="106" fillId="0" borderId="0" xfId="3" applyFont="1"/>
    <xf numFmtId="0" fontId="105" fillId="0" borderId="0" xfId="3" applyFont="1"/>
    <xf numFmtId="0" fontId="43" fillId="0" borderId="0" xfId="3" applyFont="1"/>
    <xf numFmtId="0" fontId="15" fillId="0" borderId="0" xfId="3" applyFont="1"/>
    <xf numFmtId="0" fontId="104" fillId="0" borderId="0" xfId="3" applyFont="1" applyAlignment="1">
      <alignment horizontal="center"/>
    </xf>
    <xf numFmtId="0" fontId="17" fillId="0" borderId="1" xfId="3" applyFont="1" applyFill="1" applyBorder="1" applyAlignment="1">
      <alignment horizontal="center" vertical="center"/>
    </xf>
    <xf numFmtId="1" fontId="17" fillId="0" borderId="1" xfId="3" applyNumberFormat="1" applyFont="1" applyFill="1" applyBorder="1" applyAlignment="1">
      <alignment horizontal="center" vertical="center"/>
    </xf>
    <xf numFmtId="0" fontId="132" fillId="0" borderId="1" xfId="3" applyFont="1" applyFill="1" applyBorder="1" applyAlignment="1">
      <alignment horizontal="center" vertical="center"/>
    </xf>
    <xf numFmtId="0" fontId="104" fillId="0" borderId="1" xfId="3" applyFont="1" applyFill="1" applyBorder="1" applyAlignment="1">
      <alignment horizontal="center" vertical="center"/>
    </xf>
    <xf numFmtId="0" fontId="103" fillId="0" borderId="0" xfId="3" applyFont="1" applyFill="1" applyAlignment="1">
      <alignment wrapText="1"/>
    </xf>
    <xf numFmtId="0" fontId="104" fillId="0" borderId="1" xfId="3" applyFont="1" applyFill="1" applyBorder="1" applyAlignment="1">
      <alignment horizontal="center" vertical="center" wrapText="1"/>
    </xf>
    <xf numFmtId="0" fontId="184" fillId="0" borderId="0" xfId="3" applyFont="1" applyFill="1"/>
    <xf numFmtId="0" fontId="104" fillId="0" borderId="0" xfId="3" applyFont="1" applyFill="1"/>
    <xf numFmtId="0" fontId="16" fillId="0" borderId="1" xfId="3" applyFont="1" applyFill="1" applyBorder="1" applyAlignment="1">
      <alignment horizontal="center" vertical="center"/>
    </xf>
    <xf numFmtId="0" fontId="103" fillId="0" borderId="0" xfId="3" applyFont="1" applyFill="1"/>
    <xf numFmtId="4" fontId="16" fillId="0" borderId="1" xfId="3" applyNumberFormat="1" applyFont="1" applyFill="1" applyBorder="1" applyAlignment="1">
      <alignment horizontal="center" vertical="center"/>
    </xf>
    <xf numFmtId="182" fontId="132" fillId="0" borderId="1" xfId="3" applyNumberFormat="1" applyFont="1" applyFill="1" applyBorder="1" applyAlignment="1">
      <alignment horizontal="center" vertical="center"/>
    </xf>
    <xf numFmtId="170" fontId="104" fillId="0" borderId="1" xfId="3" applyNumberFormat="1" applyFont="1" applyFill="1" applyBorder="1" applyAlignment="1">
      <alignment horizontal="center" vertical="center"/>
    </xf>
    <xf numFmtId="0" fontId="102" fillId="0" borderId="0" xfId="3" applyFont="1" applyBorder="1"/>
    <xf numFmtId="0" fontId="17" fillId="0" borderId="0" xfId="3" applyFont="1" applyBorder="1" applyAlignment="1"/>
    <xf numFmtId="0" fontId="100" fillId="0" borderId="0" xfId="3" applyFont="1" applyBorder="1"/>
    <xf numFmtId="0" fontId="100" fillId="0" borderId="1" xfId="3" applyFont="1" applyFill="1" applyBorder="1" applyAlignment="1">
      <alignment vertical="center"/>
    </xf>
    <xf numFmtId="4" fontId="100" fillId="0" borderId="1" xfId="3" applyNumberFormat="1" applyFont="1" applyFill="1" applyBorder="1" applyAlignment="1">
      <alignment horizontal="center" vertical="center"/>
    </xf>
    <xf numFmtId="0" fontId="100" fillId="0" borderId="0" xfId="3" applyFont="1" applyFill="1" applyAlignment="1">
      <alignment vertical="center"/>
    </xf>
    <xf numFmtId="0" fontId="15" fillId="0" borderId="0" xfId="3" applyBorder="1"/>
    <xf numFmtId="0" fontId="15" fillId="0" borderId="0" xfId="3" applyFont="1" applyBorder="1"/>
    <xf numFmtId="4" fontId="100" fillId="0" borderId="0" xfId="3" applyNumberFormat="1" applyFont="1" applyFill="1" applyAlignment="1">
      <alignment horizontal="center" vertical="center"/>
    </xf>
    <xf numFmtId="4" fontId="185" fillId="0" borderId="0" xfId="3" applyNumberFormat="1" applyFont="1" applyFill="1" applyAlignment="1">
      <alignment horizontal="center" vertical="center"/>
    </xf>
    <xf numFmtId="4" fontId="104" fillId="0" borderId="0" xfId="3" applyNumberFormat="1" applyFont="1" applyFill="1" applyAlignment="1">
      <alignment horizontal="center" vertical="center"/>
    </xf>
    <xf numFmtId="0" fontId="100" fillId="2" borderId="0" xfId="3" applyFont="1" applyFill="1" applyAlignment="1">
      <alignment wrapText="1"/>
    </xf>
    <xf numFmtId="0" fontId="3" fillId="0" borderId="0" xfId="71"/>
    <xf numFmtId="0" fontId="64" fillId="0" borderId="0" xfId="71" applyFont="1" applyAlignment="1"/>
    <xf numFmtId="0" fontId="136" fillId="0" borderId="1" xfId="71" applyFont="1" applyBorder="1" applyAlignment="1">
      <alignment horizontal="center"/>
    </xf>
    <xf numFmtId="0" fontId="136" fillId="0" borderId="0" xfId="71" applyFont="1" applyAlignment="1">
      <alignment horizontal="center"/>
    </xf>
    <xf numFmtId="0" fontId="137" fillId="0" borderId="0" xfId="71" applyFont="1" applyAlignment="1">
      <alignment horizontal="center"/>
    </xf>
    <xf numFmtId="0" fontId="48" fillId="0" borderId="1" xfId="71" applyFont="1" applyBorder="1" applyAlignment="1">
      <alignment horizontal="center" vertical="center"/>
    </xf>
    <xf numFmtId="4" fontId="48" fillId="0" borderId="1" xfId="71" applyNumberFormat="1" applyFont="1" applyBorder="1" applyAlignment="1">
      <alignment horizontal="center" vertical="center"/>
    </xf>
    <xf numFmtId="182" fontId="48" fillId="0" borderId="1" xfId="71" applyNumberFormat="1" applyFont="1" applyBorder="1" applyAlignment="1">
      <alignment horizontal="center" vertical="center"/>
    </xf>
    <xf numFmtId="0" fontId="83" fillId="0" borderId="1" xfId="71" applyFont="1" applyFill="1" applyBorder="1" applyAlignment="1">
      <alignment horizontal="center" vertical="center" wrapText="1"/>
    </xf>
    <xf numFmtId="0" fontId="45" fillId="0" borderId="1" xfId="71" applyFont="1" applyBorder="1" applyAlignment="1">
      <alignment horizontal="center" vertical="center"/>
    </xf>
    <xf numFmtId="2" fontId="45" fillId="0" borderId="1" xfId="71" applyNumberFormat="1" applyFont="1" applyBorder="1" applyAlignment="1">
      <alignment horizontal="center" vertical="center"/>
    </xf>
    <xf numFmtId="182" fontId="45" fillId="0" borderId="1" xfId="71" applyNumberFormat="1" applyFont="1" applyBorder="1" applyAlignment="1">
      <alignment horizontal="center" vertical="center"/>
    </xf>
    <xf numFmtId="0" fontId="48" fillId="0" borderId="0" xfId="71" applyFont="1" applyBorder="1"/>
    <xf numFmtId="0" fontId="3" fillId="0" borderId="0" xfId="71" applyBorder="1"/>
    <xf numFmtId="0" fontId="47" fillId="0" borderId="0" xfId="71" applyFont="1" applyAlignment="1">
      <alignment horizontal="left"/>
    </xf>
    <xf numFmtId="0" fontId="47" fillId="0" borderId="0" xfId="71" applyFont="1" applyAlignment="1">
      <alignment horizontal="center"/>
    </xf>
    <xf numFmtId="0" fontId="43" fillId="0" borderId="0" xfId="71" applyFont="1"/>
    <xf numFmtId="181" fontId="61" fillId="0" borderId="0" xfId="71" applyNumberFormat="1" applyFont="1" applyAlignment="1">
      <alignment horizontal="center"/>
    </xf>
    <xf numFmtId="181" fontId="124" fillId="0" borderId="0" xfId="71" applyNumberFormat="1" applyFont="1" applyAlignment="1">
      <alignment horizontal="center"/>
    </xf>
    <xf numFmtId="0" fontId="74" fillId="0" borderId="1" xfId="25" applyFont="1" applyFill="1" applyBorder="1" applyAlignment="1">
      <alignment horizontal="right" vertical="center" wrapText="1"/>
    </xf>
    <xf numFmtId="170" fontId="74" fillId="0" borderId="1" xfId="25" applyNumberFormat="1" applyFont="1" applyFill="1" applyBorder="1" applyAlignment="1">
      <alignment horizontal="center" vertical="center" wrapText="1"/>
    </xf>
    <xf numFmtId="168" fontId="163" fillId="0" borderId="0" xfId="25" applyNumberFormat="1" applyFont="1" applyFill="1" applyBorder="1" applyAlignment="1">
      <alignment vertical="center" wrapText="1"/>
    </xf>
    <xf numFmtId="0" fontId="48" fillId="2" borderId="0" xfId="71" applyFont="1" applyFill="1"/>
    <xf numFmtId="167" fontId="48" fillId="0" borderId="1" xfId="71" applyNumberFormat="1" applyFont="1" applyBorder="1" applyAlignment="1">
      <alignment vertical="center" wrapText="1"/>
    </xf>
    <xf numFmtId="0" fontId="45" fillId="0" borderId="1" xfId="71" applyFont="1" applyBorder="1" applyAlignment="1">
      <alignment horizontal="center" vertical="center" wrapText="1"/>
    </xf>
    <xf numFmtId="0" fontId="45" fillId="0" borderId="1" xfId="71" applyFont="1" applyBorder="1" applyAlignment="1">
      <alignment vertical="center" wrapText="1"/>
    </xf>
    <xf numFmtId="167" fontId="45" fillId="0" borderId="1" xfId="71" applyNumberFormat="1" applyFont="1" applyBorder="1" applyAlignment="1">
      <alignment horizontal="center" vertical="center" wrapText="1"/>
    </xf>
    <xf numFmtId="0" fontId="45" fillId="0" borderId="0" xfId="71" applyFont="1"/>
    <xf numFmtId="0" fontId="49" fillId="0" borderId="0" xfId="71" applyFont="1"/>
    <xf numFmtId="167" fontId="49" fillId="0" borderId="0" xfId="71" applyNumberFormat="1" applyFont="1"/>
    <xf numFmtId="167" fontId="48" fillId="0" borderId="0" xfId="71" applyNumberFormat="1" applyFont="1"/>
    <xf numFmtId="0" fontId="82" fillId="6" borderId="1" xfId="71" applyFont="1" applyFill="1" applyBorder="1" applyAlignment="1">
      <alignment vertical="center" wrapText="1"/>
    </xf>
    <xf numFmtId="2" fontId="44" fillId="6" borderId="1" xfId="71" applyNumberFormat="1" applyFont="1" applyFill="1" applyBorder="1" applyAlignment="1">
      <alignment horizontal="center" vertical="center" wrapText="1"/>
    </xf>
    <xf numFmtId="1" fontId="44" fillId="6" borderId="1" xfId="71" applyNumberFormat="1" applyFont="1" applyFill="1" applyBorder="1" applyAlignment="1">
      <alignment horizontal="center" vertical="center" wrapText="1"/>
    </xf>
    <xf numFmtId="181" fontId="44" fillId="6" borderId="1" xfId="71" applyNumberFormat="1" applyFont="1" applyFill="1" applyBorder="1" applyAlignment="1">
      <alignment horizontal="center" vertical="center" wrapText="1"/>
    </xf>
    <xf numFmtId="4" fontId="43" fillId="6" borderId="1" xfId="71" applyNumberFormat="1" applyFont="1" applyFill="1" applyBorder="1" applyAlignment="1">
      <alignment horizontal="left" vertical="center" wrapText="1"/>
    </xf>
    <xf numFmtId="181" fontId="43" fillId="0" borderId="1" xfId="71" applyNumberFormat="1" applyFont="1" applyFill="1" applyBorder="1" applyAlignment="1">
      <alignment horizontal="center" vertical="center" wrapText="1"/>
    </xf>
    <xf numFmtId="181" fontId="43" fillId="2" borderId="1" xfId="71" applyNumberFormat="1" applyFont="1" applyFill="1" applyBorder="1" applyAlignment="1">
      <alignment horizontal="center" vertical="center" wrapText="1"/>
    </xf>
    <xf numFmtId="0" fontId="82" fillId="6" borderId="1" xfId="71" applyFont="1" applyFill="1" applyBorder="1" applyAlignment="1">
      <alignment horizontal="center" vertical="center" wrapText="1"/>
    </xf>
    <xf numFmtId="4" fontId="44" fillId="6" borderId="1" xfId="71" applyNumberFormat="1" applyFont="1" applyFill="1" applyBorder="1" applyAlignment="1">
      <alignment horizontal="center" vertical="center" wrapText="1"/>
    </xf>
    <xf numFmtId="167" fontId="44" fillId="6" borderId="1" xfId="71" applyNumberFormat="1" applyFont="1" applyFill="1" applyBorder="1" applyAlignment="1">
      <alignment horizontal="center" vertical="center" wrapText="1"/>
    </xf>
    <xf numFmtId="0" fontId="44" fillId="6" borderId="1" xfId="71" applyFont="1" applyFill="1" applyBorder="1" applyAlignment="1">
      <alignment horizontal="center" vertical="center" wrapText="1"/>
    </xf>
    <xf numFmtId="4" fontId="44" fillId="6" borderId="1" xfId="71" applyNumberFormat="1" applyFont="1" applyFill="1" applyBorder="1" applyAlignment="1">
      <alignment horizontal="left" vertical="center" wrapText="1"/>
    </xf>
    <xf numFmtId="181" fontId="43" fillId="0" borderId="1" xfId="71" applyNumberFormat="1" applyFont="1" applyBorder="1" applyAlignment="1">
      <alignment horizontal="center" vertical="center" wrapText="1"/>
    </xf>
    <xf numFmtId="181" fontId="44" fillId="8" borderId="1" xfId="71" applyNumberFormat="1" applyFont="1" applyFill="1" applyBorder="1" applyAlignment="1">
      <alignment horizontal="center" vertical="center" wrapText="1"/>
    </xf>
    <xf numFmtId="181" fontId="44" fillId="9" borderId="1" xfId="71" applyNumberFormat="1" applyFont="1" applyFill="1" applyBorder="1" applyAlignment="1">
      <alignment horizontal="center" vertical="center" wrapText="1"/>
    </xf>
    <xf numFmtId="0" fontId="82" fillId="0" borderId="0" xfId="71" applyFont="1" applyFill="1" applyBorder="1" applyAlignment="1">
      <alignment horizontal="center" vertical="center" wrapText="1"/>
    </xf>
    <xf numFmtId="0" fontId="43" fillId="0" borderId="0" xfId="71" applyFont="1" applyFill="1"/>
    <xf numFmtId="0" fontId="60" fillId="0" borderId="0" xfId="71" applyFont="1" applyFill="1" applyAlignment="1">
      <alignment vertical="center" wrapText="1"/>
    </xf>
    <xf numFmtId="4" fontId="43" fillId="0" borderId="0" xfId="71" applyNumberFormat="1" applyFont="1" applyFill="1" applyAlignment="1">
      <alignment horizontal="center" vertical="center" wrapText="1"/>
    </xf>
    <xf numFmtId="0" fontId="43" fillId="0" borderId="0" xfId="71" applyFont="1" applyFill="1" applyAlignment="1">
      <alignment horizontal="center" vertical="center" wrapText="1"/>
    </xf>
    <xf numFmtId="167" fontId="132" fillId="0" borderId="0" xfId="71" applyNumberFormat="1" applyFont="1" applyFill="1" applyAlignment="1">
      <alignment horizontal="center" vertical="center" wrapText="1"/>
    </xf>
    <xf numFmtId="0" fontId="43" fillId="0" borderId="0" xfId="71" applyFont="1" applyFill="1" applyAlignment="1">
      <alignment horizontal="left" vertical="center" wrapText="1"/>
    </xf>
    <xf numFmtId="0" fontId="43" fillId="0" borderId="0" xfId="71" applyFont="1" applyFill="1" applyAlignment="1">
      <alignment vertical="center" wrapText="1"/>
    </xf>
    <xf numFmtId="0" fontId="18" fillId="0" borderId="0" xfId="71" applyFont="1" applyFill="1" applyAlignment="1">
      <alignment vertical="center"/>
    </xf>
    <xf numFmtId="2" fontId="43" fillId="0" borderId="0" xfId="71" applyNumberFormat="1" applyFont="1" applyFill="1" applyAlignment="1">
      <alignment horizontal="center" vertical="center" wrapText="1"/>
    </xf>
    <xf numFmtId="4" fontId="44" fillId="0" borderId="0" xfId="71" applyNumberFormat="1" applyFont="1" applyFill="1" applyAlignment="1">
      <alignment horizontal="center" vertical="center" wrapText="1"/>
    </xf>
    <xf numFmtId="0" fontId="18" fillId="0" borderId="0" xfId="71" applyFont="1" applyFill="1" applyAlignment="1">
      <alignment vertical="center" wrapText="1"/>
    </xf>
    <xf numFmtId="181" fontId="44" fillId="0" borderId="0" xfId="71" applyNumberFormat="1" applyFont="1" applyFill="1" applyAlignment="1">
      <alignment horizontal="center" vertical="center" wrapText="1"/>
    </xf>
    <xf numFmtId="181" fontId="43" fillId="0" borderId="0" xfId="71" applyNumberFormat="1" applyFont="1" applyFill="1" applyAlignment="1">
      <alignment horizontal="left" vertical="center" wrapText="1"/>
    </xf>
    <xf numFmtId="181" fontId="43" fillId="0" borderId="0" xfId="71" applyNumberFormat="1" applyFont="1" applyFill="1" applyAlignment="1">
      <alignment vertical="center" wrapText="1"/>
    </xf>
    <xf numFmtId="0" fontId="132" fillId="0" borderId="0" xfId="71" applyFont="1" applyFill="1" applyAlignment="1">
      <alignment horizontal="center" vertical="center" wrapText="1"/>
    </xf>
    <xf numFmtId="0" fontId="132" fillId="0" borderId="0" xfId="71" applyFont="1" applyFill="1" applyAlignment="1">
      <alignment vertical="center" wrapText="1"/>
    </xf>
    <xf numFmtId="181" fontId="132" fillId="0" borderId="0" xfId="71" applyNumberFormat="1" applyFont="1" applyFill="1" applyAlignment="1">
      <alignment horizontal="center" vertical="center" wrapText="1"/>
    </xf>
    <xf numFmtId="182" fontId="37" fillId="3" borderId="6" xfId="71" applyNumberFormat="1" applyFont="1" applyFill="1" applyBorder="1" applyAlignment="1">
      <alignment horizontal="center" vertical="center" wrapText="1"/>
    </xf>
    <xf numFmtId="182" fontId="37" fillId="3" borderId="53" xfId="71" applyNumberFormat="1" applyFont="1" applyFill="1" applyBorder="1" applyAlignment="1">
      <alignment horizontal="center" vertical="center" wrapText="1"/>
    </xf>
    <xf numFmtId="182" fontId="37" fillId="0" borderId="1" xfId="71" applyNumberFormat="1" applyFont="1" applyFill="1" applyBorder="1" applyAlignment="1">
      <alignment horizontal="center" vertical="center" wrapText="1"/>
    </xf>
    <xf numFmtId="182" fontId="37" fillId="0" borderId="18" xfId="71" applyNumberFormat="1" applyFont="1" applyFill="1" applyBorder="1" applyAlignment="1">
      <alignment horizontal="center" vertical="center" wrapText="1"/>
    </xf>
    <xf numFmtId="182" fontId="38" fillId="0" borderId="2" xfId="71" applyNumberFormat="1" applyFont="1" applyFill="1" applyBorder="1" applyAlignment="1">
      <alignment horizontal="center" vertical="center" wrapText="1"/>
    </xf>
    <xf numFmtId="182" fontId="38" fillId="0" borderId="18" xfId="71" applyNumberFormat="1" applyFont="1" applyFill="1" applyBorder="1" applyAlignment="1">
      <alignment horizontal="center" vertical="center" wrapText="1"/>
    </xf>
    <xf numFmtId="182" fontId="38" fillId="0" borderId="1" xfId="71" applyNumberFormat="1" applyFont="1" applyFill="1" applyBorder="1" applyAlignment="1">
      <alignment horizontal="center" vertical="center" wrapText="1"/>
    </xf>
    <xf numFmtId="169" fontId="37" fillId="3" borderId="17" xfId="71" applyNumberFormat="1" applyFont="1" applyFill="1" applyBorder="1" applyAlignment="1">
      <alignment horizontal="center" vertical="center" wrapText="1"/>
    </xf>
    <xf numFmtId="182" fontId="37" fillId="3" borderId="1" xfId="71" applyNumberFormat="1" applyFont="1" applyFill="1" applyBorder="1" applyAlignment="1">
      <alignment horizontal="center" vertical="center" wrapText="1"/>
    </xf>
    <xf numFmtId="182" fontId="37" fillId="3" borderId="18" xfId="71" applyNumberFormat="1" applyFont="1" applyFill="1" applyBorder="1" applyAlignment="1">
      <alignment horizontal="center" vertical="center" wrapText="1"/>
    </xf>
    <xf numFmtId="0" fontId="37" fillId="2" borderId="17" xfId="71" applyFont="1" applyFill="1" applyBorder="1" applyAlignment="1">
      <alignment horizontal="center" vertical="center" wrapText="1"/>
    </xf>
    <xf numFmtId="167" fontId="37" fillId="2" borderId="17" xfId="71" applyNumberFormat="1" applyFont="1" applyFill="1" applyBorder="1" applyAlignment="1">
      <alignment horizontal="center" vertical="center" wrapText="1"/>
    </xf>
    <xf numFmtId="0" fontId="37" fillId="2" borderId="1" xfId="71" applyFont="1" applyFill="1" applyBorder="1" applyAlignment="1">
      <alignment horizontal="center" vertical="center" wrapText="1"/>
    </xf>
    <xf numFmtId="167" fontId="37" fillId="2" borderId="1" xfId="71" applyNumberFormat="1" applyFont="1" applyFill="1" applyBorder="1" applyAlignment="1">
      <alignment horizontal="center" vertical="center" wrapText="1"/>
    </xf>
    <xf numFmtId="167" fontId="37" fillId="2" borderId="2" xfId="71" applyNumberFormat="1" applyFont="1" applyFill="1" applyBorder="1" applyAlignment="1">
      <alignment horizontal="center" vertical="center" wrapText="1"/>
    </xf>
    <xf numFmtId="167" fontId="37" fillId="2" borderId="18" xfId="71" applyNumberFormat="1" applyFont="1" applyFill="1" applyBorder="1" applyAlignment="1">
      <alignment horizontal="center" vertical="center" wrapText="1"/>
    </xf>
    <xf numFmtId="0" fontId="37" fillId="2" borderId="6" xfId="71" applyFont="1" applyFill="1" applyBorder="1" applyAlignment="1">
      <alignment horizontal="center" vertical="center" wrapText="1"/>
    </xf>
    <xf numFmtId="169" fontId="38" fillId="19" borderId="17" xfId="71" applyNumberFormat="1" applyFont="1" applyFill="1" applyBorder="1" applyAlignment="1">
      <alignment horizontal="center" vertical="center" wrapText="1"/>
    </xf>
    <xf numFmtId="167" fontId="38" fillId="19" borderId="1" xfId="71" applyNumberFormat="1" applyFont="1" applyFill="1" applyBorder="1" applyAlignment="1">
      <alignment horizontal="center" vertical="center" wrapText="1"/>
    </xf>
    <xf numFmtId="182" fontId="38" fillId="19" borderId="1" xfId="71" applyNumberFormat="1" applyFont="1" applyFill="1" applyBorder="1" applyAlignment="1">
      <alignment horizontal="center" vertical="center" wrapText="1"/>
    </xf>
    <xf numFmtId="0" fontId="38" fillId="2" borderId="18" xfId="71" applyFont="1" applyFill="1" applyBorder="1" applyAlignment="1">
      <alignment horizontal="center" vertical="center" wrapText="1"/>
    </xf>
    <xf numFmtId="182" fontId="38" fillId="19" borderId="18" xfId="71" applyNumberFormat="1" applyFont="1" applyFill="1" applyBorder="1" applyAlignment="1">
      <alignment horizontal="center" vertical="center" wrapText="1"/>
    </xf>
    <xf numFmtId="0" fontId="38" fillId="2" borderId="0" xfId="71" applyFont="1" applyFill="1"/>
    <xf numFmtId="0" fontId="37" fillId="5" borderId="36" xfId="71" applyFont="1" applyFill="1" applyBorder="1" applyAlignment="1">
      <alignment horizontal="center" vertical="center" wrapText="1"/>
    </xf>
    <xf numFmtId="0" fontId="37" fillId="5" borderId="40" xfId="71" applyFont="1" applyFill="1" applyBorder="1" applyAlignment="1">
      <alignment vertical="center" wrapText="1"/>
    </xf>
    <xf numFmtId="0" fontId="37" fillId="5" borderId="37" xfId="71" applyFont="1" applyFill="1" applyBorder="1" applyAlignment="1">
      <alignment horizontal="center" vertical="center" wrapText="1"/>
    </xf>
    <xf numFmtId="167" fontId="37" fillId="5" borderId="36" xfId="71" applyNumberFormat="1" applyFont="1" applyFill="1" applyBorder="1" applyAlignment="1">
      <alignment horizontal="center" vertical="center" wrapText="1"/>
    </xf>
    <xf numFmtId="0" fontId="37" fillId="5" borderId="40" xfId="71" applyFont="1" applyFill="1" applyBorder="1" applyAlignment="1">
      <alignment horizontal="center" vertical="center" wrapText="1"/>
    </xf>
    <xf numFmtId="167" fontId="37" fillId="5" borderId="40" xfId="71" applyNumberFormat="1" applyFont="1" applyFill="1" applyBorder="1" applyAlignment="1">
      <alignment horizontal="center" vertical="center" wrapText="1"/>
    </xf>
    <xf numFmtId="167" fontId="37" fillId="5" borderId="38" xfId="71" applyNumberFormat="1" applyFont="1" applyFill="1" applyBorder="1" applyAlignment="1">
      <alignment horizontal="center" vertical="center" wrapText="1"/>
    </xf>
    <xf numFmtId="167" fontId="37" fillId="5" borderId="37" xfId="71" applyNumberFormat="1" applyFont="1" applyFill="1" applyBorder="1" applyAlignment="1">
      <alignment horizontal="center" vertical="center" wrapText="1"/>
    </xf>
    <xf numFmtId="0" fontId="37" fillId="5" borderId="39" xfId="71" applyFont="1" applyFill="1" applyBorder="1" applyAlignment="1">
      <alignment horizontal="center" vertical="center" wrapText="1"/>
    </xf>
    <xf numFmtId="182" fontId="37" fillId="5" borderId="40" xfId="71" applyNumberFormat="1" applyFont="1" applyFill="1" applyBorder="1" applyAlignment="1">
      <alignment horizontal="center" vertical="center" wrapText="1"/>
    </xf>
    <xf numFmtId="182" fontId="37" fillId="5" borderId="37" xfId="71" applyNumberFormat="1" applyFont="1" applyFill="1" applyBorder="1" applyAlignment="1">
      <alignment horizontal="center" vertical="center" wrapText="1"/>
    </xf>
    <xf numFmtId="0" fontId="48" fillId="0" borderId="71" xfId="71" applyFont="1" applyFill="1" applyBorder="1" applyAlignment="1">
      <alignment horizontal="center" vertical="center" wrapText="1"/>
    </xf>
    <xf numFmtId="0" fontId="38" fillId="0" borderId="4" xfId="71" applyFont="1" applyFill="1" applyBorder="1" applyAlignment="1">
      <alignment vertical="center" wrapText="1"/>
    </xf>
    <xf numFmtId="0" fontId="48" fillId="0" borderId="19" xfId="71" applyFont="1" applyFill="1" applyBorder="1" applyAlignment="1">
      <alignment horizontal="center" vertical="center" wrapText="1"/>
    </xf>
    <xf numFmtId="167" fontId="48" fillId="0" borderId="71" xfId="71" applyNumberFormat="1" applyFont="1" applyFill="1" applyBorder="1" applyAlignment="1">
      <alignment horizontal="center" vertical="center" wrapText="1"/>
    </xf>
    <xf numFmtId="167" fontId="48" fillId="0" borderId="4" xfId="71" applyNumberFormat="1" applyFont="1" applyFill="1" applyBorder="1" applyAlignment="1">
      <alignment horizontal="center" vertical="center" wrapText="1"/>
    </xf>
    <xf numFmtId="167" fontId="48" fillId="0" borderId="19" xfId="71" applyNumberFormat="1" applyFont="1" applyFill="1" applyBorder="1" applyAlignment="1">
      <alignment horizontal="center" vertical="center" wrapText="1"/>
    </xf>
    <xf numFmtId="167" fontId="38" fillId="0" borderId="71" xfId="71" applyNumberFormat="1" applyFont="1" applyFill="1" applyBorder="1" applyAlignment="1">
      <alignment horizontal="center" vertical="center" wrapText="1"/>
    </xf>
    <xf numFmtId="167" fontId="48" fillId="0" borderId="51" xfId="71" applyNumberFormat="1" applyFont="1" applyFill="1" applyBorder="1" applyAlignment="1">
      <alignment horizontal="center" vertical="center" wrapText="1"/>
    </xf>
    <xf numFmtId="0" fontId="48" fillId="0" borderId="19" xfId="71" applyFont="1" applyFill="1" applyBorder="1" applyAlignment="1">
      <alignment horizontal="left" vertical="center" wrapText="1"/>
    </xf>
    <xf numFmtId="182" fontId="38" fillId="0" borderId="0" xfId="71" applyNumberFormat="1" applyFont="1"/>
    <xf numFmtId="182" fontId="37" fillId="0" borderId="0" xfId="71" applyNumberFormat="1" applyFont="1" applyAlignment="1">
      <alignment horizontal="center"/>
    </xf>
    <xf numFmtId="0" fontId="37" fillId="0" borderId="0" xfId="71" applyFont="1" applyAlignment="1">
      <alignment horizontal="center"/>
    </xf>
    <xf numFmtId="181" fontId="37" fillId="0" borderId="0" xfId="71" applyNumberFormat="1" applyFont="1" applyAlignment="1">
      <alignment horizontal="center"/>
    </xf>
    <xf numFmtId="0" fontId="134" fillId="0" borderId="0" xfId="71" applyFont="1"/>
    <xf numFmtId="182" fontId="164" fillId="0" borderId="0" xfId="71" applyNumberFormat="1" applyFont="1" applyAlignment="1">
      <alignment horizontal="center"/>
    </xf>
    <xf numFmtId="14" fontId="43" fillId="0" borderId="0" xfId="71" applyNumberFormat="1" applyFont="1" applyAlignment="1">
      <alignment horizontal="center" vertical="center" wrapText="1"/>
    </xf>
    <xf numFmtId="0" fontId="45" fillId="2" borderId="0" xfId="71" applyFont="1" applyFill="1" applyAlignment="1">
      <alignment horizontal="center"/>
    </xf>
    <xf numFmtId="0" fontId="48" fillId="2" borderId="0" xfId="71" applyFont="1" applyFill="1" applyAlignment="1">
      <alignment horizontal="center"/>
    </xf>
    <xf numFmtId="14" fontId="48" fillId="2" borderId="0" xfId="71" applyNumberFormat="1" applyFont="1" applyFill="1" applyAlignment="1">
      <alignment horizontal="center"/>
    </xf>
    <xf numFmtId="167" fontId="38" fillId="0" borderId="0" xfId="71" applyNumberFormat="1" applyFont="1"/>
    <xf numFmtId="0" fontId="48" fillId="2" borderId="18" xfId="71" applyFont="1" applyFill="1" applyBorder="1" applyAlignment="1">
      <alignment horizontal="left" vertical="center" wrapText="1"/>
    </xf>
    <xf numFmtId="167" fontId="38" fillId="2" borderId="17" xfId="71" applyNumberFormat="1" applyFont="1" applyFill="1" applyBorder="1" applyAlignment="1">
      <alignment horizontal="center" vertical="center" wrapText="1"/>
    </xf>
    <xf numFmtId="167" fontId="38" fillId="2" borderId="1" xfId="71" applyNumberFormat="1" applyFont="1" applyFill="1" applyBorder="1" applyAlignment="1">
      <alignment horizontal="center" vertical="center" wrapText="1"/>
    </xf>
    <xf numFmtId="167" fontId="38" fillId="2" borderId="18" xfId="71" applyNumberFormat="1" applyFont="1" applyFill="1" applyBorder="1" applyAlignment="1">
      <alignment horizontal="left" vertical="center" wrapText="1"/>
    </xf>
    <xf numFmtId="167" fontId="38" fillId="2" borderId="6" xfId="71" applyNumberFormat="1" applyFont="1" applyFill="1" applyBorder="1" applyAlignment="1">
      <alignment horizontal="center" vertical="center" wrapText="1"/>
    </xf>
    <xf numFmtId="167" fontId="38" fillId="2" borderId="2" xfId="71" applyNumberFormat="1" applyFont="1" applyFill="1" applyBorder="1" applyAlignment="1">
      <alignment horizontal="center" vertical="center" wrapText="1"/>
    </xf>
    <xf numFmtId="167" fontId="38" fillId="2" borderId="18" xfId="71" applyNumberFormat="1" applyFont="1" applyFill="1" applyBorder="1" applyAlignment="1">
      <alignment horizontal="center" vertical="center" wrapText="1"/>
    </xf>
    <xf numFmtId="0" fontId="38" fillId="0" borderId="1" xfId="71" applyFont="1" applyBorder="1"/>
    <xf numFmtId="0" fontId="38" fillId="0" borderId="1" xfId="71" applyFont="1" applyBorder="1" applyAlignment="1">
      <alignment horizontal="center"/>
    </xf>
    <xf numFmtId="4" fontId="38" fillId="0" borderId="1" xfId="71" applyNumberFormat="1" applyFont="1" applyBorder="1" applyAlignment="1">
      <alignment horizontal="center"/>
    </xf>
    <xf numFmtId="4" fontId="48" fillId="17" borderId="1" xfId="25" applyNumberFormat="1" applyFont="1" applyFill="1" applyBorder="1" applyAlignment="1">
      <alignment horizontal="center" vertical="center" wrapText="1"/>
    </xf>
    <xf numFmtId="0" fontId="120" fillId="0" borderId="1" xfId="24" applyFont="1" applyFill="1" applyBorder="1" applyAlignment="1">
      <alignment horizontal="left" vertical="center" wrapText="1"/>
    </xf>
    <xf numFmtId="0" fontId="120" fillId="0" borderId="1" xfId="24" applyFont="1" applyFill="1" applyBorder="1" applyAlignment="1">
      <alignment horizontal="center" vertical="center" wrapText="1"/>
    </xf>
    <xf numFmtId="0" fontId="48" fillId="0" borderId="0" xfId="67" applyFont="1" applyFill="1" applyAlignment="1">
      <alignment horizontal="center" vertical="center" wrapText="1"/>
    </xf>
    <xf numFmtId="0" fontId="48" fillId="0" borderId="0" xfId="67" applyFont="1" applyFill="1" applyAlignment="1">
      <alignment horizontal="left" vertical="center" wrapText="1"/>
    </xf>
    <xf numFmtId="0" fontId="48" fillId="0" borderId="0" xfId="71" applyFont="1" applyAlignment="1">
      <alignment horizontal="center" vertical="center"/>
    </xf>
    <xf numFmtId="0" fontId="45" fillId="2" borderId="0" xfId="67" applyFont="1" applyFill="1" applyAlignment="1">
      <alignment horizontal="center" vertical="center" wrapText="1"/>
    </xf>
    <xf numFmtId="0" fontId="48" fillId="2" borderId="0" xfId="67" applyFont="1" applyFill="1" applyAlignment="1">
      <alignment horizontal="center" vertical="center" wrapText="1"/>
    </xf>
    <xf numFmtId="0" fontId="45" fillId="2" borderId="1" xfId="67" applyFont="1" applyFill="1" applyBorder="1" applyAlignment="1">
      <alignment horizontal="center" vertical="center" wrapText="1"/>
    </xf>
    <xf numFmtId="0" fontId="48" fillId="2" borderId="1" xfId="67" applyFont="1" applyFill="1" applyBorder="1" applyAlignment="1">
      <alignment horizontal="center" vertical="center" wrapText="1"/>
    </xf>
    <xf numFmtId="0" fontId="48" fillId="0" borderId="1" xfId="67" applyFont="1" applyFill="1" applyBorder="1" applyAlignment="1">
      <alignment horizontal="center" vertical="center" wrapText="1"/>
    </xf>
    <xf numFmtId="0" fontId="45" fillId="7" borderId="1" xfId="67" applyFont="1" applyFill="1" applyBorder="1" applyAlignment="1">
      <alignment horizontal="left" vertical="center" wrapText="1"/>
    </xf>
    <xf numFmtId="0" fontId="45" fillId="7" borderId="1" xfId="67" applyFont="1" applyFill="1" applyBorder="1" applyAlignment="1">
      <alignment horizontal="center" vertical="center" wrapText="1"/>
    </xf>
    <xf numFmtId="1" fontId="45" fillId="7" borderId="1" xfId="67" applyNumberFormat="1" applyFont="1" applyFill="1" applyBorder="1" applyAlignment="1">
      <alignment horizontal="center" vertical="center" wrapText="1"/>
    </xf>
    <xf numFmtId="4" fontId="45" fillId="7" borderId="1" xfId="67" applyNumberFormat="1" applyFont="1" applyFill="1" applyBorder="1" applyAlignment="1">
      <alignment horizontal="center" vertical="center" wrapText="1"/>
    </xf>
    <xf numFmtId="2" fontId="45" fillId="7" borderId="1" xfId="67" applyNumberFormat="1" applyFont="1" applyFill="1" applyBorder="1" applyAlignment="1">
      <alignment horizontal="center" vertical="center" wrapText="1"/>
    </xf>
    <xf numFmtId="0" fontId="48" fillId="7" borderId="0" xfId="67" applyFont="1" applyFill="1" applyAlignment="1">
      <alignment horizontal="center" vertical="center" wrapText="1"/>
    </xf>
    <xf numFmtId="0" fontId="48" fillId="0" borderId="1" xfId="67" applyFont="1" applyFill="1" applyBorder="1" applyAlignment="1">
      <alignment horizontal="left" vertical="center" wrapText="1"/>
    </xf>
    <xf numFmtId="1" fontId="48" fillId="2" borderId="1" xfId="67" applyNumberFormat="1" applyFont="1" applyFill="1" applyBorder="1" applyAlignment="1">
      <alignment horizontal="center" vertical="center" wrapText="1"/>
    </xf>
    <xf numFmtId="1" fontId="48" fillId="0" borderId="1" xfId="67" applyNumberFormat="1" applyFont="1" applyFill="1" applyBorder="1" applyAlignment="1">
      <alignment horizontal="center" vertical="center" wrapText="1"/>
    </xf>
    <xf numFmtId="4" fontId="48" fillId="0" borderId="1" xfId="71" applyNumberFormat="1" applyFont="1" applyFill="1" applyBorder="1" applyAlignment="1">
      <alignment horizontal="center" vertical="center"/>
    </xf>
    <xf numFmtId="4" fontId="48" fillId="0" borderId="1" xfId="67" applyNumberFormat="1" applyFont="1" applyFill="1" applyBorder="1" applyAlignment="1">
      <alignment horizontal="center" vertical="center" wrapText="1"/>
    </xf>
    <xf numFmtId="2" fontId="48" fillId="0" borderId="1" xfId="71" applyNumberFormat="1" applyFont="1" applyFill="1" applyBorder="1" applyAlignment="1">
      <alignment horizontal="center" vertical="center"/>
    </xf>
    <xf numFmtId="2" fontId="48" fillId="0" borderId="1" xfId="67" applyNumberFormat="1" applyFont="1" applyFill="1" applyBorder="1" applyAlignment="1">
      <alignment horizontal="center" vertical="center" wrapText="1"/>
    </xf>
    <xf numFmtId="0" fontId="48" fillId="7" borderId="1" xfId="67" applyFont="1" applyFill="1" applyBorder="1" applyAlignment="1">
      <alignment horizontal="left" vertical="center" wrapText="1"/>
    </xf>
    <xf numFmtId="3" fontId="45" fillId="7" borderId="1" xfId="67" applyNumberFormat="1" applyFont="1" applyFill="1" applyBorder="1" applyAlignment="1">
      <alignment horizontal="center" vertical="center" wrapText="1"/>
    </xf>
    <xf numFmtId="4" fontId="48" fillId="7" borderId="0" xfId="67" applyNumberFormat="1" applyFont="1" applyFill="1" applyAlignment="1">
      <alignment horizontal="center" vertical="center" wrapText="1"/>
    </xf>
    <xf numFmtId="4" fontId="48" fillId="2" borderId="1" xfId="67" applyNumberFormat="1" applyFont="1" applyFill="1" applyBorder="1" applyAlignment="1">
      <alignment horizontal="center" vertical="center" wrapText="1"/>
    </xf>
    <xf numFmtId="3" fontId="48" fillId="0" borderId="1" xfId="67" applyNumberFormat="1" applyFont="1" applyFill="1" applyBorder="1" applyAlignment="1">
      <alignment horizontal="center" vertical="center" wrapText="1"/>
    </xf>
    <xf numFmtId="4" fontId="48" fillId="0" borderId="0" xfId="71" applyNumberFormat="1" applyFont="1" applyFill="1" applyAlignment="1">
      <alignment horizontal="center" vertical="center"/>
    </xf>
    <xf numFmtId="2" fontId="48" fillId="0" borderId="0" xfId="71" applyNumberFormat="1" applyFont="1" applyFill="1" applyAlignment="1">
      <alignment horizontal="center" vertical="center"/>
    </xf>
    <xf numFmtId="4" fontId="48" fillId="0" borderId="0" xfId="67" applyNumberFormat="1" applyFont="1" applyFill="1" applyBorder="1" applyAlignment="1">
      <alignment horizontal="center" vertical="center" wrapText="1"/>
    </xf>
    <xf numFmtId="4" fontId="48" fillId="0" borderId="0" xfId="67" applyNumberFormat="1" applyFont="1" applyFill="1" applyAlignment="1">
      <alignment horizontal="center" vertical="center" wrapText="1"/>
    </xf>
    <xf numFmtId="3" fontId="48" fillId="2" borderId="1" xfId="67" applyNumberFormat="1" applyFont="1" applyFill="1" applyBorder="1" applyAlignment="1">
      <alignment horizontal="center" vertical="center" wrapText="1"/>
    </xf>
    <xf numFmtId="167" fontId="48" fillId="2" borderId="1" xfId="67" applyNumberFormat="1" applyFont="1" applyFill="1" applyBorder="1" applyAlignment="1">
      <alignment horizontal="center" vertical="center" wrapText="1"/>
    </xf>
    <xf numFmtId="167" fontId="48" fillId="0" borderId="1" xfId="67" applyNumberFormat="1" applyFont="1" applyFill="1" applyBorder="1" applyAlignment="1">
      <alignment horizontal="center" vertical="center" wrapText="1"/>
    </xf>
    <xf numFmtId="0" fontId="43" fillId="2" borderId="1" xfId="67" applyFont="1" applyFill="1" applyBorder="1" applyAlignment="1">
      <alignment horizontal="left" vertical="center" wrapText="1"/>
    </xf>
    <xf numFmtId="1" fontId="45" fillId="2" borderId="1" xfId="67" applyNumberFormat="1" applyFont="1" applyFill="1" applyBorder="1" applyAlignment="1">
      <alignment horizontal="center" vertical="center" wrapText="1"/>
    </xf>
    <xf numFmtId="4" fontId="45" fillId="2" borderId="1" xfId="67" applyNumberFormat="1" applyFont="1" applyFill="1" applyBorder="1" applyAlignment="1">
      <alignment horizontal="center" vertical="center" wrapText="1"/>
    </xf>
    <xf numFmtId="2" fontId="45" fillId="2" borderId="1" xfId="67" applyNumberFormat="1" applyFont="1" applyFill="1" applyBorder="1" applyAlignment="1">
      <alignment horizontal="center" vertical="center" wrapText="1"/>
    </xf>
    <xf numFmtId="4" fontId="45" fillId="21" borderId="0" xfId="67" applyNumberFormat="1" applyFont="1" applyFill="1" applyAlignment="1">
      <alignment horizontal="center" vertical="center" wrapText="1"/>
    </xf>
    <xf numFmtId="4" fontId="45" fillId="21" borderId="0" xfId="67" applyNumberFormat="1" applyFont="1" applyFill="1" applyBorder="1" applyAlignment="1">
      <alignment horizontal="center" vertical="center" wrapText="1"/>
    </xf>
    <xf numFmtId="4" fontId="45" fillId="21" borderId="1" xfId="67" applyNumberFormat="1" applyFont="1" applyFill="1" applyBorder="1" applyAlignment="1">
      <alignment horizontal="left" vertical="center" wrapText="1"/>
    </xf>
    <xf numFmtId="4" fontId="45" fillId="21" borderId="1" xfId="67" applyNumberFormat="1" applyFont="1" applyFill="1" applyBorder="1" applyAlignment="1">
      <alignment horizontal="center" vertical="center" wrapText="1"/>
    </xf>
    <xf numFmtId="0" fontId="83" fillId="0" borderId="0" xfId="71" applyFont="1" applyFill="1" applyAlignment="1">
      <alignment horizontal="center" vertical="center"/>
    </xf>
    <xf numFmtId="0" fontId="48" fillId="0" borderId="0" xfId="71" applyFont="1" applyFill="1" applyAlignment="1">
      <alignment horizontal="left" vertical="center"/>
    </xf>
    <xf numFmtId="0" fontId="83" fillId="0" borderId="10" xfId="71" applyFont="1" applyFill="1" applyBorder="1" applyAlignment="1">
      <alignment horizontal="center" vertical="center"/>
    </xf>
    <xf numFmtId="0" fontId="83" fillId="0" borderId="0" xfId="71" applyFont="1" applyFill="1" applyBorder="1" applyAlignment="1">
      <alignment horizontal="center" vertical="center"/>
    </xf>
    <xf numFmtId="0" fontId="48" fillId="0" borderId="10" xfId="71" applyFont="1" applyFill="1" applyBorder="1" applyAlignment="1">
      <alignment horizontal="center" vertical="center"/>
    </xf>
    <xf numFmtId="0" fontId="83" fillId="0" borderId="0" xfId="71" applyFont="1" applyFill="1" applyBorder="1" applyAlignment="1">
      <alignment horizontal="left" vertical="center"/>
    </xf>
    <xf numFmtId="0" fontId="48" fillId="0" borderId="0" xfId="67" applyFont="1" applyFill="1" applyBorder="1" applyAlignment="1">
      <alignment horizontal="center" vertical="center" wrapText="1"/>
    </xf>
    <xf numFmtId="0" fontId="134" fillId="0" borderId="0" xfId="67" applyFont="1" applyFill="1" applyAlignment="1">
      <alignment horizontal="center" vertical="center" wrapText="1"/>
    </xf>
    <xf numFmtId="14" fontId="48" fillId="0" borderId="0" xfId="67" applyNumberFormat="1" applyFont="1" applyFill="1" applyAlignment="1">
      <alignment horizontal="center" vertical="center" wrapText="1"/>
    </xf>
    <xf numFmtId="0" fontId="48" fillId="17" borderId="1" xfId="25" applyFont="1" applyFill="1" applyBorder="1" applyAlignment="1">
      <alignment vertical="center" wrapText="1"/>
    </xf>
    <xf numFmtId="0" fontId="48" fillId="17" borderId="1" xfId="25" applyFont="1" applyFill="1" applyBorder="1" applyAlignment="1">
      <alignment horizontal="center" vertical="center" wrapText="1"/>
    </xf>
    <xf numFmtId="0" fontId="48" fillId="17" borderId="0" xfId="25" applyFont="1" applyFill="1"/>
    <xf numFmtId="0" fontId="16" fillId="0" borderId="0" xfId="71" applyFont="1" applyAlignment="1">
      <alignment horizontal="center" vertical="center" wrapText="1"/>
    </xf>
    <xf numFmtId="0" fontId="16" fillId="0" borderId="0" xfId="71" applyFont="1" applyAlignment="1">
      <alignment horizontal="left" vertical="center" wrapText="1"/>
    </xf>
    <xf numFmtId="0" fontId="16" fillId="0" borderId="0" xfId="71" applyFont="1" applyFill="1" applyAlignment="1">
      <alignment horizontal="center" vertical="center" wrapText="1"/>
    </xf>
    <xf numFmtId="0" fontId="38" fillId="0" borderId="0" xfId="24" applyFont="1" applyFill="1" applyAlignment="1">
      <alignment horizontal="right"/>
    </xf>
    <xf numFmtId="0" fontId="16" fillId="0" borderId="1" xfId="71" applyFont="1" applyBorder="1" applyAlignment="1">
      <alignment horizontal="center" wrapText="1"/>
    </xf>
    <xf numFmtId="0" fontId="17" fillId="3" borderId="1" xfId="71" applyFont="1" applyFill="1" applyBorder="1" applyAlignment="1">
      <alignment horizontal="center" vertical="center" wrapText="1"/>
    </xf>
    <xf numFmtId="0" fontId="17" fillId="3" borderId="1" xfId="71" applyFont="1" applyFill="1" applyBorder="1" applyAlignment="1">
      <alignment horizontal="left" vertical="center" wrapText="1"/>
    </xf>
    <xf numFmtId="167" fontId="17" fillId="3" borderId="1" xfId="71" applyNumberFormat="1" applyFont="1" applyFill="1" applyBorder="1" applyAlignment="1">
      <alignment horizontal="center" vertical="center" wrapText="1"/>
    </xf>
    <xf numFmtId="0" fontId="16" fillId="2" borderId="1" xfId="71" applyFont="1" applyFill="1" applyBorder="1" applyAlignment="1">
      <alignment horizontal="center" vertical="center" wrapText="1"/>
    </xf>
    <xf numFmtId="167" fontId="16" fillId="2" borderId="1" xfId="71" applyNumberFormat="1" applyFont="1" applyFill="1" applyBorder="1" applyAlignment="1">
      <alignment horizontal="center" vertical="center" wrapText="1"/>
    </xf>
    <xf numFmtId="0" fontId="16" fillId="2" borderId="0" xfId="71" applyFont="1" applyFill="1" applyAlignment="1">
      <alignment horizontal="center" vertical="center" wrapText="1"/>
    </xf>
    <xf numFmtId="0" fontId="16" fillId="12" borderId="0" xfId="71" applyFont="1" applyFill="1" applyAlignment="1">
      <alignment horizontal="center" vertical="center" wrapText="1"/>
    </xf>
    <xf numFmtId="0" fontId="83" fillId="2" borderId="1" xfId="71" applyFont="1" applyFill="1" applyBorder="1" applyAlignment="1">
      <alignment horizontal="left" vertical="center" wrapText="1"/>
    </xf>
    <xf numFmtId="0" fontId="83" fillId="2" borderId="1" xfId="71" applyFont="1" applyFill="1" applyBorder="1" applyAlignment="1">
      <alignment horizontal="center" vertical="center" wrapText="1"/>
    </xf>
    <xf numFmtId="2" fontId="83" fillId="2" borderId="1" xfId="71" applyNumberFormat="1" applyFont="1" applyFill="1" applyBorder="1" applyAlignment="1">
      <alignment horizontal="center" vertical="center" wrapText="1"/>
    </xf>
    <xf numFmtId="167" fontId="83" fillId="2" borderId="1" xfId="71" applyNumberFormat="1" applyFont="1" applyFill="1" applyBorder="1" applyAlignment="1">
      <alignment horizontal="center" vertical="center" wrapText="1"/>
    </xf>
    <xf numFmtId="0" fontId="17" fillId="0" borderId="0" xfId="71" applyFont="1" applyBorder="1" applyAlignment="1">
      <alignment horizontal="center" vertical="center" wrapText="1"/>
    </xf>
    <xf numFmtId="0" fontId="17" fillId="0" borderId="0" xfId="71" applyFont="1" applyBorder="1" applyAlignment="1">
      <alignment horizontal="left" vertical="center" wrapText="1"/>
    </xf>
    <xf numFmtId="0" fontId="17" fillId="0" borderId="0" xfId="71" applyFont="1" applyFill="1" applyBorder="1" applyAlignment="1">
      <alignment vertical="center" wrapText="1"/>
    </xf>
    <xf numFmtId="4" fontId="17" fillId="0" borderId="0" xfId="71" applyNumberFormat="1" applyFont="1" applyBorder="1" applyAlignment="1">
      <alignment horizontal="center" vertical="center" wrapText="1"/>
    </xf>
    <xf numFmtId="0" fontId="17" fillId="0" borderId="0" xfId="71" applyFont="1" applyAlignment="1">
      <alignment horizontal="center" vertical="center" wrapText="1"/>
    </xf>
    <xf numFmtId="0" fontId="17" fillId="0" borderId="0" xfId="71" applyFont="1" applyAlignment="1">
      <alignment horizontal="left" vertical="center" wrapText="1"/>
    </xf>
    <xf numFmtId="167" fontId="17" fillId="0" borderId="0" xfId="71" applyNumberFormat="1" applyFont="1" applyBorder="1" applyAlignment="1">
      <alignment horizontal="center" vertical="center" wrapText="1"/>
    </xf>
    <xf numFmtId="0" fontId="16" fillId="0" borderId="0" xfId="71" applyFont="1" applyBorder="1" applyAlignment="1">
      <alignment horizontal="center" vertical="center" wrapText="1"/>
    </xf>
    <xf numFmtId="0" fontId="16" fillId="0" borderId="1" xfId="71" applyFont="1" applyBorder="1" applyAlignment="1">
      <alignment horizontal="center" vertical="center" wrapText="1"/>
    </xf>
    <xf numFmtId="0" fontId="16" fillId="0" borderId="0" xfId="71" applyFont="1" applyBorder="1" applyAlignment="1">
      <alignment horizontal="left" vertical="center" wrapText="1"/>
    </xf>
    <xf numFmtId="0" fontId="16" fillId="0" borderId="1" xfId="71" applyFont="1" applyBorder="1" applyAlignment="1">
      <alignment horizontal="left" vertical="center" wrapText="1"/>
    </xf>
    <xf numFmtId="167" fontId="16" fillId="0" borderId="1" xfId="71" applyNumberFormat="1" applyFont="1" applyBorder="1" applyAlignment="1">
      <alignment horizontal="center" vertical="center" wrapText="1"/>
    </xf>
    <xf numFmtId="0" fontId="123" fillId="0" borderId="0" xfId="71" applyFont="1"/>
    <xf numFmtId="0" fontId="123" fillId="0" borderId="10" xfId="71" applyFont="1" applyBorder="1" applyAlignment="1"/>
    <xf numFmtId="0" fontId="39" fillId="0" borderId="0" xfId="71" applyFont="1"/>
    <xf numFmtId="0" fontId="16" fillId="0" borderId="0" xfId="71" applyFont="1"/>
    <xf numFmtId="0" fontId="16" fillId="0" borderId="0" xfId="71" applyFont="1" applyFill="1" applyAlignment="1">
      <alignment vertical="center" wrapText="1"/>
    </xf>
    <xf numFmtId="0" fontId="16" fillId="0" borderId="0" xfId="71" applyFont="1" applyAlignment="1">
      <alignment vertical="center" wrapText="1"/>
    </xf>
    <xf numFmtId="0" fontId="38" fillId="0" borderId="0" xfId="71" applyFont="1" applyAlignment="1">
      <alignment horizontal="center" vertical="center" wrapText="1"/>
    </xf>
    <xf numFmtId="0" fontId="38" fillId="0" borderId="0" xfId="71" applyFont="1" applyFill="1" applyAlignment="1">
      <alignment vertical="center" wrapText="1"/>
    </xf>
    <xf numFmtId="0" fontId="38" fillId="0" borderId="0" xfId="71" applyFont="1" applyAlignment="1">
      <alignment vertical="center" wrapText="1"/>
    </xf>
    <xf numFmtId="0" fontId="38" fillId="0" borderId="0" xfId="71" applyFont="1" applyBorder="1" applyAlignment="1">
      <alignment horizontal="center" vertical="top" wrapText="1"/>
    </xf>
    <xf numFmtId="0" fontId="38" fillId="0" borderId="0" xfId="71" applyFont="1" applyBorder="1" applyAlignment="1">
      <alignment vertical="top" wrapText="1"/>
    </xf>
    <xf numFmtId="0" fontId="16" fillId="0" borderId="0" xfId="29" applyFont="1" applyAlignment="1">
      <alignment horizontal="center" vertical="center" wrapText="1"/>
    </xf>
    <xf numFmtId="0" fontId="16" fillId="0" borderId="0" xfId="29" applyFont="1" applyAlignment="1">
      <alignment horizontal="left" vertical="center" wrapText="1"/>
    </xf>
    <xf numFmtId="178" fontId="16" fillId="0" borderId="0" xfId="29" applyNumberFormat="1" applyFont="1" applyAlignment="1">
      <alignment horizontal="left" vertical="center" wrapText="1"/>
    </xf>
    <xf numFmtId="4" fontId="16" fillId="0" borderId="0" xfId="29" applyNumberFormat="1" applyFont="1" applyAlignment="1">
      <alignment horizontal="left" vertical="center" wrapText="1"/>
    </xf>
    <xf numFmtId="0" fontId="95" fillId="11" borderId="1" xfId="26" applyFont="1" applyFill="1" applyBorder="1" applyAlignment="1">
      <alignment horizontal="center" vertical="center" wrapText="1"/>
    </xf>
    <xf numFmtId="0" fontId="17" fillId="11" borderId="1" xfId="26" applyFont="1" applyFill="1" applyBorder="1" applyAlignment="1">
      <alignment horizontal="center" vertical="center" wrapText="1"/>
    </xf>
    <xf numFmtId="0" fontId="149" fillId="11" borderId="1" xfId="26" applyFont="1" applyFill="1" applyBorder="1" applyAlignment="1">
      <alignment horizontal="center" vertical="center" wrapText="1"/>
    </xf>
    <xf numFmtId="167" fontId="95" fillId="11" borderId="1" xfId="29" applyNumberFormat="1" applyFont="1" applyFill="1" applyBorder="1" applyAlignment="1">
      <alignment horizontal="right" vertical="center" wrapText="1"/>
    </xf>
    <xf numFmtId="167" fontId="95" fillId="11" borderId="1" xfId="29" applyNumberFormat="1" applyFont="1" applyFill="1" applyBorder="1" applyAlignment="1">
      <alignment horizontal="center" vertical="center" wrapText="1"/>
    </xf>
    <xf numFmtId="0" fontId="84" fillId="11" borderId="1" xfId="29" applyFont="1" applyFill="1" applyBorder="1"/>
    <xf numFmtId="0" fontId="84" fillId="11" borderId="0" xfId="29" applyFont="1" applyFill="1"/>
    <xf numFmtId="0" fontId="17" fillId="13" borderId="1" xfId="26" applyFont="1" applyFill="1" applyBorder="1" applyAlignment="1">
      <alignment horizontal="center" vertical="center"/>
    </xf>
    <xf numFmtId="0" fontId="17" fillId="13" borderId="1" xfId="62" applyFont="1" applyFill="1" applyBorder="1" applyAlignment="1">
      <alignment horizontal="left" vertical="center" wrapText="1"/>
    </xf>
    <xf numFmtId="0" fontId="17" fillId="13" borderId="1" xfId="62" applyFont="1" applyFill="1" applyBorder="1" applyAlignment="1">
      <alignment horizontal="center" vertical="center" wrapText="1"/>
    </xf>
    <xf numFmtId="0" fontId="17" fillId="13" borderId="1" xfId="37" applyFont="1" applyFill="1" applyBorder="1" applyAlignment="1">
      <alignment vertical="top" wrapText="1"/>
    </xf>
    <xf numFmtId="167" fontId="17" fillId="13" borderId="1" xfId="62" applyNumberFormat="1" applyFont="1" applyFill="1" applyBorder="1" applyAlignment="1">
      <alignment horizontal="center" vertical="center" wrapText="1"/>
    </xf>
    <xf numFmtId="167" fontId="17" fillId="14" borderId="1" xfId="62" applyNumberFormat="1" applyFont="1" applyFill="1" applyBorder="1" applyAlignment="1">
      <alignment horizontal="center" vertical="center" wrapText="1"/>
    </xf>
    <xf numFmtId="0" fontId="17" fillId="13" borderId="1" xfId="29" applyFont="1" applyFill="1" applyBorder="1"/>
    <xf numFmtId="0" fontId="17" fillId="0" borderId="1" xfId="26" applyFont="1" applyFill="1" applyBorder="1" applyAlignment="1">
      <alignment horizontal="center" vertical="center"/>
    </xf>
    <xf numFmtId="3" fontId="37" fillId="0" borderId="1" xfId="62" applyNumberFormat="1" applyFont="1" applyFill="1" applyBorder="1" applyAlignment="1">
      <alignment horizontal="left" vertical="center" wrapText="1"/>
    </xf>
    <xf numFmtId="3" fontId="17" fillId="0" borderId="1" xfId="62" applyNumberFormat="1" applyFont="1" applyFill="1" applyBorder="1" applyAlignment="1">
      <alignment horizontal="center" vertical="center" wrapText="1"/>
    </xf>
    <xf numFmtId="0" fontId="17" fillId="0" borderId="1" xfId="37" applyFont="1" applyFill="1" applyBorder="1" applyAlignment="1">
      <alignment vertical="top" wrapText="1"/>
    </xf>
    <xf numFmtId="167" fontId="17" fillId="0" borderId="1" xfId="62" applyNumberFormat="1" applyFont="1" applyFill="1" applyBorder="1" applyAlignment="1">
      <alignment horizontal="right" vertical="center" wrapText="1"/>
    </xf>
    <xf numFmtId="167" fontId="55" fillId="0" borderId="1" xfId="62" applyNumberFormat="1" applyFont="1" applyFill="1" applyBorder="1" applyAlignment="1">
      <alignment horizontal="center" vertical="center" wrapText="1"/>
    </xf>
    <xf numFmtId="167" fontId="17" fillId="0" borderId="1" xfId="62" applyNumberFormat="1" applyFont="1" applyFill="1" applyBorder="1" applyAlignment="1">
      <alignment horizontal="center" vertical="center" wrapText="1"/>
    </xf>
    <xf numFmtId="0" fontId="16" fillId="0" borderId="1" xfId="37" applyFont="1" applyFill="1" applyBorder="1" applyAlignment="1">
      <alignment vertical="top" wrapText="1"/>
    </xf>
    <xf numFmtId="167" fontId="39" fillId="0" borderId="1" xfId="26" applyNumberFormat="1" applyFont="1" applyFill="1" applyBorder="1" applyAlignment="1">
      <alignment horizontal="center" vertical="center" wrapText="1"/>
    </xf>
    <xf numFmtId="0" fontId="16" fillId="0" borderId="0" xfId="29" applyFont="1" applyFill="1" applyAlignment="1">
      <alignment horizontal="left" vertical="center" wrapText="1"/>
    </xf>
    <xf numFmtId="0" fontId="17" fillId="0" borderId="0" xfId="29" applyFont="1" applyAlignment="1">
      <alignment horizontal="center" vertical="center" wrapText="1"/>
    </xf>
    <xf numFmtId="0" fontId="17" fillId="0" borderId="0" xfId="29" applyFont="1" applyAlignment="1">
      <alignment horizontal="left" vertical="center" wrapText="1"/>
    </xf>
    <xf numFmtId="0" fontId="17" fillId="0" borderId="0" xfId="29" applyFont="1" applyFill="1" applyAlignment="1">
      <alignment horizontal="left" vertical="center" wrapText="1"/>
    </xf>
    <xf numFmtId="0" fontId="17" fillId="0" borderId="0" xfId="29" applyFont="1"/>
    <xf numFmtId="49" fontId="16" fillId="0" borderId="1" xfId="29" applyNumberFormat="1" applyFont="1" applyBorder="1" applyAlignment="1">
      <alignment horizontal="center" vertical="center" wrapText="1"/>
    </xf>
    <xf numFmtId="14" fontId="38" fillId="0" borderId="0" xfId="29" applyNumberFormat="1" applyFont="1" applyFill="1"/>
    <xf numFmtId="0" fontId="53" fillId="2" borderId="1" xfId="25" applyFont="1" applyFill="1" applyBorder="1" applyAlignment="1">
      <alignment horizontal="center" vertical="center" wrapText="1"/>
    </xf>
    <xf numFmtId="0" fontId="48" fillId="2" borderId="1" xfId="25" applyFont="1" applyFill="1" applyBorder="1" applyAlignment="1">
      <alignment horizontal="center" vertical="center" wrapText="1"/>
    </xf>
    <xf numFmtId="0" fontId="73" fillId="2" borderId="0" xfId="25" applyFill="1" applyBorder="1" applyAlignment="1">
      <alignment horizontal="center"/>
    </xf>
    <xf numFmtId="0" fontId="12" fillId="2" borderId="1" xfId="25" applyFont="1" applyFill="1" applyBorder="1" applyAlignment="1">
      <alignment horizontal="center" vertical="center" wrapText="1"/>
    </xf>
    <xf numFmtId="0" fontId="126" fillId="0" borderId="10" xfId="25" applyFont="1" applyBorder="1" applyAlignment="1">
      <alignment horizontal="center"/>
    </xf>
    <xf numFmtId="0" fontId="73" fillId="0" borderId="10" xfId="25" applyBorder="1" applyAlignment="1">
      <alignment horizontal="center"/>
    </xf>
    <xf numFmtId="0" fontId="73" fillId="0" borderId="0" xfId="25" applyBorder="1" applyAlignment="1">
      <alignment horizontal="center"/>
    </xf>
    <xf numFmtId="0" fontId="48" fillId="2" borderId="0" xfId="25" applyFont="1" applyFill="1" applyAlignment="1">
      <alignment horizontal="center"/>
    </xf>
    <xf numFmtId="14" fontId="126" fillId="0" borderId="0" xfId="25" applyNumberFormat="1" applyFont="1" applyBorder="1" applyAlignment="1">
      <alignment horizontal="center"/>
    </xf>
    <xf numFmtId="14" fontId="43" fillId="2" borderId="0" xfId="25" applyNumberFormat="1" applyFont="1" applyFill="1"/>
    <xf numFmtId="0" fontId="73" fillId="2" borderId="10" xfId="25" applyFill="1" applyBorder="1" applyAlignment="1"/>
    <xf numFmtId="14" fontId="73" fillId="2" borderId="10" xfId="25" applyNumberFormat="1" applyFill="1" applyBorder="1" applyAlignment="1"/>
    <xf numFmtId="0" fontId="108" fillId="2" borderId="10" xfId="31" applyNumberFormat="1" applyFont="1" applyFill="1" applyBorder="1" applyAlignment="1" applyProtection="1">
      <alignment vertical="top"/>
    </xf>
    <xf numFmtId="14" fontId="62" fillId="2" borderId="10" xfId="31" applyNumberFormat="1" applyFont="1" applyFill="1" applyBorder="1" applyAlignment="1" applyProtection="1">
      <alignment vertical="top"/>
    </xf>
    <xf numFmtId="14" fontId="99" fillId="0" borderId="0" xfId="3" applyNumberFormat="1" applyFont="1"/>
    <xf numFmtId="14" fontId="109" fillId="0" borderId="0" xfId="24" applyNumberFormat="1" applyFont="1" applyFill="1" applyAlignment="1">
      <alignment wrapText="1"/>
    </xf>
    <xf numFmtId="0" fontId="39" fillId="0" borderId="7" xfId="71" applyFont="1" applyBorder="1" applyAlignment="1">
      <alignment horizontal="center" wrapText="1"/>
    </xf>
    <xf numFmtId="0" fontId="39" fillId="2" borderId="0" xfId="51" applyFont="1" applyFill="1" applyAlignment="1">
      <alignment horizontal="center" vertical="center"/>
    </xf>
    <xf numFmtId="0" fontId="39" fillId="2" borderId="0" xfId="51" applyFont="1" applyFill="1" applyBorder="1" applyAlignment="1">
      <alignment horizontal="center" vertical="center"/>
    </xf>
    <xf numFmtId="0" fontId="39" fillId="2" borderId="0" xfId="51" applyFont="1" applyFill="1" applyBorder="1" applyAlignment="1">
      <alignment horizontal="right" vertical="center"/>
    </xf>
    <xf numFmtId="0" fontId="39" fillId="2" borderId="1" xfId="51" applyFont="1" applyFill="1" applyBorder="1" applyAlignment="1">
      <alignment horizontal="center" vertical="center" wrapText="1"/>
    </xf>
    <xf numFmtId="0" fontId="39" fillId="2" borderId="0" xfId="51" applyFont="1" applyFill="1" applyAlignment="1">
      <alignment horizontal="center" vertical="center"/>
    </xf>
    <xf numFmtId="0" fontId="39" fillId="2" borderId="0" xfId="51" applyFont="1" applyFill="1" applyAlignment="1">
      <alignment horizontal="left" vertical="center"/>
    </xf>
    <xf numFmtId="4" fontId="39" fillId="2" borderId="0" xfId="51" applyNumberFormat="1" applyFont="1" applyFill="1" applyAlignment="1">
      <alignment horizontal="left" vertical="center"/>
    </xf>
    <xf numFmtId="0" fontId="39" fillId="2" borderId="0" xfId="51" applyFont="1" applyFill="1" applyAlignment="1">
      <alignment horizontal="left" vertical="center" wrapText="1"/>
    </xf>
    <xf numFmtId="0" fontId="39" fillId="2" borderId="0" xfId="51" applyFont="1" applyFill="1" applyAlignment="1">
      <alignment horizontal="center" vertical="center" wrapText="1"/>
    </xf>
    <xf numFmtId="0" fontId="153" fillId="0" borderId="0" xfId="54" applyNumberFormat="1" applyFont="1" applyBorder="1" applyAlignment="1">
      <alignment horizontal="left"/>
    </xf>
    <xf numFmtId="0" fontId="133" fillId="0" borderId="0" xfId="54" applyNumberFormat="1" applyFont="1" applyBorder="1" applyAlignment="1">
      <alignment horizontal="left"/>
    </xf>
    <xf numFmtId="0" fontId="18" fillId="0" borderId="0" xfId="76" applyFont="1" applyAlignment="1">
      <alignment horizontal="center" vertical="center" wrapText="1"/>
    </xf>
    <xf numFmtId="0" fontId="43" fillId="0" borderId="0" xfId="76" applyFont="1" applyAlignment="1">
      <alignment horizontal="center" vertical="center" wrapText="1"/>
    </xf>
    <xf numFmtId="0" fontId="16" fillId="0" borderId="0" xfId="76" applyFont="1" applyAlignment="1">
      <alignment horizontal="center" vertical="center" wrapText="1"/>
    </xf>
    <xf numFmtId="0" fontId="43" fillId="0" borderId="0" xfId="76" applyFont="1" applyAlignment="1">
      <alignment vertical="center" wrapText="1"/>
    </xf>
    <xf numFmtId="14" fontId="43" fillId="0" borderId="0" xfId="76" applyNumberFormat="1" applyFont="1" applyAlignment="1">
      <alignment horizontal="center" vertical="center" wrapText="1"/>
    </xf>
    <xf numFmtId="0" fontId="18" fillId="0" borderId="1" xfId="76" applyFont="1" applyBorder="1" applyAlignment="1">
      <alignment horizontal="center" vertical="center" wrapText="1"/>
    </xf>
    <xf numFmtId="0" fontId="43" fillId="0" borderId="1" xfId="76" applyFont="1" applyBorder="1" applyAlignment="1">
      <alignment horizontal="center" vertical="center" wrapText="1"/>
    </xf>
    <xf numFmtId="0" fontId="16" fillId="0" borderId="1" xfId="76" applyFont="1" applyBorder="1" applyAlignment="1">
      <alignment horizontal="center" vertical="center" wrapText="1"/>
    </xf>
    <xf numFmtId="0" fontId="82" fillId="8" borderId="1" xfId="76" applyFont="1" applyFill="1" applyBorder="1" applyAlignment="1">
      <alignment horizontal="center" vertical="center" wrapText="1"/>
    </xf>
    <xf numFmtId="0" fontId="82" fillId="8" borderId="1" xfId="76" applyFont="1" applyFill="1" applyBorder="1" applyAlignment="1">
      <alignment vertical="center" wrapText="1"/>
    </xf>
    <xf numFmtId="4" fontId="44" fillId="8" borderId="1" xfId="76" applyNumberFormat="1" applyFont="1" applyFill="1" applyBorder="1" applyAlignment="1">
      <alignment horizontal="center" vertical="center" wrapText="1"/>
    </xf>
    <xf numFmtId="4" fontId="17" fillId="8" borderId="1" xfId="76" applyNumberFormat="1" applyFont="1" applyFill="1" applyBorder="1" applyAlignment="1">
      <alignment horizontal="center" vertical="center" wrapText="1"/>
    </xf>
    <xf numFmtId="4" fontId="44" fillId="8" borderId="1" xfId="76" applyNumberFormat="1" applyFont="1" applyFill="1" applyBorder="1" applyAlignment="1">
      <alignment vertical="center" wrapText="1"/>
    </xf>
    <xf numFmtId="0" fontId="82" fillId="0" borderId="0" xfId="76" applyFont="1" applyAlignment="1">
      <alignment horizontal="center" vertical="center" wrapText="1"/>
    </xf>
    <xf numFmtId="0" fontId="82" fillId="0" borderId="1" xfId="76" applyFont="1" applyFill="1" applyBorder="1" applyAlignment="1">
      <alignment horizontal="center" vertical="center" wrapText="1"/>
    </xf>
    <xf numFmtId="0" fontId="16" fillId="0" borderId="1" xfId="76" applyFont="1" applyFill="1" applyBorder="1" applyAlignment="1">
      <alignment horizontal="left" vertical="center"/>
    </xf>
    <xf numFmtId="0" fontId="18" fillId="0" borderId="1" xfId="76" applyFont="1" applyFill="1" applyBorder="1" applyAlignment="1">
      <alignment horizontal="center" vertical="center" wrapText="1"/>
    </xf>
    <xf numFmtId="3" fontId="43" fillId="2" borderId="1" xfId="76" applyNumberFormat="1" applyFont="1" applyFill="1" applyBorder="1" applyAlignment="1">
      <alignment horizontal="center" vertical="center" wrapText="1"/>
    </xf>
    <xf numFmtId="4" fontId="43" fillId="2" borderId="1" xfId="76" applyNumberFormat="1" applyFont="1" applyFill="1" applyBorder="1" applyAlignment="1">
      <alignment horizontal="center" vertical="center" wrapText="1"/>
    </xf>
    <xf numFmtId="4" fontId="16" fillId="2" borderId="1" xfId="76" applyNumberFormat="1" applyFont="1" applyFill="1" applyBorder="1" applyAlignment="1">
      <alignment horizontal="center" vertical="center" wrapText="1"/>
    </xf>
    <xf numFmtId="0" fontId="82" fillId="0" borderId="0" xfId="76" applyFont="1" applyFill="1" applyAlignment="1">
      <alignment horizontal="center" vertical="center" wrapText="1"/>
    </xf>
    <xf numFmtId="167" fontId="44" fillId="8" borderId="1" xfId="76" applyNumberFormat="1" applyFont="1" applyFill="1" applyBorder="1" applyAlignment="1">
      <alignment horizontal="center" vertical="center" wrapText="1"/>
    </xf>
    <xf numFmtId="167" fontId="17" fillId="8" borderId="1" xfId="76" applyNumberFormat="1" applyFont="1" applyFill="1" applyBorder="1" applyAlignment="1">
      <alignment horizontal="center" vertical="center" wrapText="1"/>
    </xf>
    <xf numFmtId="164" fontId="43" fillId="0" borderId="1" xfId="76" applyNumberFormat="1" applyFont="1" applyFill="1" applyBorder="1" applyAlignment="1">
      <alignment horizontal="center" vertical="center" wrapText="1"/>
    </xf>
    <xf numFmtId="176" fontId="43" fillId="0" borderId="1" xfId="76" applyNumberFormat="1" applyFont="1" applyFill="1" applyBorder="1" applyAlignment="1">
      <alignment horizontal="center" vertical="center" wrapText="1"/>
    </xf>
    <xf numFmtId="167" fontId="16" fillId="0" borderId="1" xfId="76" applyNumberFormat="1" applyFont="1" applyFill="1" applyBorder="1" applyAlignment="1">
      <alignment horizontal="center" vertical="center" wrapText="1"/>
    </xf>
    <xf numFmtId="167" fontId="43" fillId="0" borderId="1" xfId="76" applyNumberFormat="1" applyFont="1" applyFill="1" applyBorder="1" applyAlignment="1">
      <alignment horizontal="center" vertical="center" wrapText="1"/>
    </xf>
    <xf numFmtId="3" fontId="44" fillId="8" borderId="1" xfId="76" applyNumberFormat="1" applyFont="1" applyFill="1" applyBorder="1" applyAlignment="1">
      <alignment horizontal="center" vertical="center" wrapText="1"/>
    </xf>
    <xf numFmtId="3" fontId="44" fillId="8" borderId="1" xfId="76" applyNumberFormat="1" applyFont="1" applyFill="1" applyBorder="1" applyAlignment="1">
      <alignment vertical="center" wrapText="1"/>
    </xf>
    <xf numFmtId="0" fontId="82" fillId="2" borderId="0" xfId="76" applyFont="1" applyFill="1" applyAlignment="1">
      <alignment horizontal="center" vertical="center" wrapText="1"/>
    </xf>
    <xf numFmtId="0" fontId="82" fillId="0" borderId="1" xfId="76" applyFont="1" applyFill="1" applyBorder="1" applyAlignment="1">
      <alignment vertical="center" wrapText="1"/>
    </xf>
    <xf numFmtId="3" fontId="43" fillId="0" borderId="1" xfId="76" applyNumberFormat="1" applyFont="1" applyFill="1" applyBorder="1" applyAlignment="1">
      <alignment horizontal="center" vertical="center" wrapText="1"/>
    </xf>
    <xf numFmtId="3" fontId="43" fillId="0" borderId="1" xfId="76" applyNumberFormat="1" applyFont="1" applyFill="1" applyBorder="1" applyAlignment="1">
      <alignment vertical="center" wrapText="1"/>
    </xf>
    <xf numFmtId="4" fontId="43" fillId="0" borderId="1" xfId="76" applyNumberFormat="1" applyFont="1" applyFill="1" applyBorder="1" applyAlignment="1">
      <alignment horizontal="center" vertical="center" wrapText="1"/>
    </xf>
    <xf numFmtId="164" fontId="44" fillId="8" borderId="1" xfId="76" applyNumberFormat="1" applyFont="1" applyFill="1" applyBorder="1" applyAlignment="1">
      <alignment horizontal="center" vertical="center" wrapText="1"/>
    </xf>
    <xf numFmtId="0" fontId="18" fillId="0" borderId="0" xfId="76" applyFont="1" applyFill="1" applyAlignment="1">
      <alignment horizontal="center" vertical="center" wrapText="1"/>
    </xf>
    <xf numFmtId="4" fontId="16" fillId="0" borderId="1" xfId="76" applyNumberFormat="1" applyFont="1" applyFill="1" applyBorder="1" applyAlignment="1">
      <alignment horizontal="center" vertical="center" wrapText="1"/>
    </xf>
    <xf numFmtId="1" fontId="44" fillId="8" borderId="1" xfId="76" applyNumberFormat="1" applyFont="1" applyFill="1" applyBorder="1" applyAlignment="1">
      <alignment horizontal="center" vertical="center" wrapText="1"/>
    </xf>
    <xf numFmtId="2" fontId="17" fillId="8" borderId="1" xfId="76" applyNumberFormat="1" applyFont="1" applyFill="1" applyBorder="1" applyAlignment="1">
      <alignment horizontal="center" vertical="center" wrapText="1"/>
    </xf>
    <xf numFmtId="2" fontId="44" fillId="8" borderId="1" xfId="76" applyNumberFormat="1" applyFont="1" applyFill="1" applyBorder="1" applyAlignment="1">
      <alignment horizontal="center" vertical="center" wrapText="1"/>
    </xf>
    <xf numFmtId="0" fontId="82" fillId="0" borderId="0" xfId="76" applyFont="1" applyAlignment="1">
      <alignment vertical="center" wrapText="1"/>
    </xf>
    <xf numFmtId="0" fontId="82" fillId="9" borderId="1" xfId="76" applyFont="1" applyFill="1" applyBorder="1" applyAlignment="1">
      <alignment horizontal="center" vertical="center" wrapText="1"/>
    </xf>
    <xf numFmtId="0" fontId="82" fillId="9" borderId="1" xfId="76" applyFont="1" applyFill="1" applyBorder="1" applyAlignment="1">
      <alignment vertical="center" wrapText="1"/>
    </xf>
    <xf numFmtId="4" fontId="44" fillId="9" borderId="1" xfId="76" applyNumberFormat="1" applyFont="1" applyFill="1" applyBorder="1" applyAlignment="1">
      <alignment horizontal="center" vertical="center" wrapText="1"/>
    </xf>
    <xf numFmtId="167" fontId="17" fillId="9" borderId="1" xfId="76" applyNumberFormat="1" applyFont="1" applyFill="1" applyBorder="1" applyAlignment="1">
      <alignment horizontal="center" vertical="center" wrapText="1"/>
    </xf>
    <xf numFmtId="4" fontId="44" fillId="9" borderId="1" xfId="76" applyNumberFormat="1" applyFont="1" applyFill="1" applyBorder="1" applyAlignment="1">
      <alignment vertical="center" wrapText="1"/>
    </xf>
    <xf numFmtId="167" fontId="44" fillId="9" borderId="1" xfId="76" applyNumberFormat="1" applyFont="1" applyFill="1" applyBorder="1" applyAlignment="1">
      <alignment horizontal="center" vertical="center" wrapText="1"/>
    </xf>
    <xf numFmtId="0" fontId="82" fillId="0" borderId="0" xfId="76" applyFont="1" applyBorder="1" applyAlignment="1">
      <alignment horizontal="center" vertical="center" wrapText="1"/>
    </xf>
    <xf numFmtId="0" fontId="44" fillId="0" borderId="0" xfId="76" applyFont="1" applyFill="1" applyBorder="1" applyAlignment="1">
      <alignment vertical="center" wrapText="1"/>
    </xf>
    <xf numFmtId="0" fontId="17" fillId="0" borderId="0" xfId="76" applyFont="1" applyFill="1" applyBorder="1" applyAlignment="1">
      <alignment horizontal="center" vertical="center" wrapText="1"/>
    </xf>
    <xf numFmtId="4" fontId="17" fillId="0" borderId="0" xfId="76" applyNumberFormat="1" applyFont="1" applyFill="1" applyBorder="1" applyAlignment="1">
      <alignment horizontal="center" vertical="center" wrapText="1"/>
    </xf>
    <xf numFmtId="2" fontId="17" fillId="0" borderId="0" xfId="76" applyNumberFormat="1" applyFont="1" applyFill="1" applyAlignment="1">
      <alignment horizontal="center"/>
    </xf>
    <xf numFmtId="2" fontId="44" fillId="0" borderId="0" xfId="76" applyNumberFormat="1" applyFont="1" applyFill="1" applyAlignment="1">
      <alignment horizontal="center"/>
    </xf>
    <xf numFmtId="0" fontId="18" fillId="0" borderId="0" xfId="76" applyFont="1" applyAlignment="1">
      <alignment vertical="center" wrapText="1"/>
    </xf>
    <xf numFmtId="0" fontId="125" fillId="2" borderId="0" xfId="51" applyFont="1" applyFill="1" applyAlignment="1">
      <alignment vertical="center"/>
    </xf>
    <xf numFmtId="0" fontId="125" fillId="2" borderId="0" xfId="51" applyFont="1" applyFill="1" applyAlignment="1">
      <alignment horizontal="center" vertical="center"/>
    </xf>
    <xf numFmtId="166" fontId="16" fillId="2" borderId="1" xfId="71" applyNumberFormat="1" applyFont="1" applyFill="1" applyBorder="1" applyAlignment="1">
      <alignment vertical="center" wrapText="1"/>
    </xf>
    <xf numFmtId="175" fontId="16" fillId="2" borderId="1" xfId="71" applyNumberFormat="1" applyFont="1" applyFill="1" applyBorder="1" applyAlignment="1">
      <alignment horizontal="center" vertical="center"/>
    </xf>
    <xf numFmtId="0" fontId="39" fillId="0" borderId="7" xfId="71" applyFont="1" applyBorder="1" applyAlignment="1">
      <alignment horizontal="center" vertical="center" wrapText="1"/>
    </xf>
    <xf numFmtId="0" fontId="39" fillId="0" borderId="1" xfId="71" applyFont="1" applyBorder="1" applyAlignment="1">
      <alignment horizontal="center" vertical="center" wrapText="1"/>
    </xf>
    <xf numFmtId="0" fontId="16" fillId="0" borderId="8" xfId="29" applyFont="1" applyFill="1" applyBorder="1" applyAlignment="1">
      <alignment vertical="top" wrapText="1"/>
    </xf>
    <xf numFmtId="0" fontId="16" fillId="0" borderId="4" xfId="29" applyFont="1" applyFill="1" applyBorder="1" applyAlignment="1">
      <alignment vertical="top" wrapText="1"/>
    </xf>
    <xf numFmtId="0" fontId="17" fillId="0" borderId="1" xfId="26" applyFont="1" applyFill="1" applyBorder="1" applyAlignment="1">
      <alignment horizontal="left" vertical="center" wrapText="1"/>
    </xf>
    <xf numFmtId="167" fontId="17" fillId="0" borderId="1" xfId="26" applyNumberFormat="1" applyFont="1" applyFill="1" applyBorder="1" applyAlignment="1">
      <alignment horizontal="right" vertical="center" wrapText="1"/>
    </xf>
    <xf numFmtId="0" fontId="53" fillId="2" borderId="1" xfId="25" applyFont="1" applyFill="1" applyBorder="1" applyAlignment="1">
      <alignment horizontal="center" vertical="center" wrapText="1"/>
    </xf>
    <xf numFmtId="0" fontId="73" fillId="2" borderId="0" xfId="25" applyFill="1" applyBorder="1" applyAlignment="1">
      <alignment horizontal="center"/>
    </xf>
    <xf numFmtId="0" fontId="47" fillId="0" borderId="0" xfId="77" applyFont="1"/>
    <xf numFmtId="4" fontId="47" fillId="0" borderId="0" xfId="77" applyNumberFormat="1" applyFont="1" applyAlignment="1">
      <alignment horizontal="left"/>
    </xf>
    <xf numFmtId="0" fontId="61" fillId="0" borderId="1" xfId="77" applyFont="1" applyBorder="1" applyAlignment="1">
      <alignment horizontal="center" vertical="center" wrapText="1"/>
    </xf>
    <xf numFmtId="0" fontId="61" fillId="0" borderId="1" xfId="77" applyFont="1" applyBorder="1" applyAlignment="1">
      <alignment horizontal="center" vertical="center"/>
    </xf>
    <xf numFmtId="0" fontId="55" fillId="0" borderId="1" xfId="77" applyFont="1" applyBorder="1" applyAlignment="1">
      <alignment horizontal="center" vertical="center"/>
    </xf>
    <xf numFmtId="4" fontId="55" fillId="0" borderId="1" xfId="77" applyNumberFormat="1" applyFont="1" applyBorder="1" applyAlignment="1">
      <alignment horizontal="center" vertical="center" wrapText="1"/>
    </xf>
    <xf numFmtId="4" fontId="55" fillId="0" borderId="0" xfId="77" applyNumberFormat="1" applyFont="1" applyAlignment="1">
      <alignment horizontal="left"/>
    </xf>
    <xf numFmtId="0" fontId="55" fillId="0" borderId="0" xfId="77" applyFont="1"/>
    <xf numFmtId="2" fontId="55" fillId="0" borderId="1" xfId="77" applyNumberFormat="1" applyFont="1" applyBorder="1" applyAlignment="1">
      <alignment horizontal="center" vertical="center" wrapText="1"/>
    </xf>
    <xf numFmtId="4" fontId="130" fillId="0" borderId="1" xfId="77" applyNumberFormat="1" applyFont="1" applyBorder="1" applyAlignment="1">
      <alignment horizontal="center" vertical="center" wrapText="1"/>
    </xf>
    <xf numFmtId="4" fontId="47" fillId="0" borderId="0" xfId="77" applyNumberFormat="1" applyFont="1"/>
    <xf numFmtId="0" fontId="47" fillId="0" borderId="0" xfId="77" applyFont="1" applyBorder="1"/>
    <xf numFmtId="0" fontId="130" fillId="0" borderId="0" xfId="77" applyFont="1" applyBorder="1" applyAlignment="1">
      <alignment horizontal="center" vertical="center" wrapText="1"/>
    </xf>
    <xf numFmtId="49" fontId="84" fillId="0" borderId="0" xfId="78" applyNumberFormat="1" applyFont="1" applyFill="1" applyBorder="1" applyAlignment="1">
      <alignment horizontal="center" vertical="center" wrapText="1"/>
    </xf>
    <xf numFmtId="0" fontId="39" fillId="0" borderId="0" xfId="79" applyFont="1" applyFill="1" applyBorder="1" applyAlignment="1">
      <alignment horizontal="left" vertical="center" wrapText="1"/>
    </xf>
    <xf numFmtId="0" fontId="90" fillId="0" borderId="0" xfId="77" applyFont="1" applyBorder="1" applyAlignment="1">
      <alignment horizontal="center" vertical="center" wrapText="1"/>
    </xf>
    <xf numFmtId="167" fontId="16" fillId="0" borderId="0" xfId="26" applyNumberFormat="1" applyFont="1" applyFill="1" applyBorder="1" applyAlignment="1">
      <alignment horizontal="right" vertical="center" wrapText="1"/>
    </xf>
    <xf numFmtId="167" fontId="90" fillId="0" borderId="0" xfId="77" applyNumberFormat="1" applyFont="1" applyBorder="1" applyAlignment="1">
      <alignment horizontal="center" vertical="center"/>
    </xf>
    <xf numFmtId="4" fontId="47" fillId="0" borderId="0" xfId="77" applyNumberFormat="1" applyFont="1" applyBorder="1" applyAlignment="1">
      <alignment horizontal="left"/>
    </xf>
    <xf numFmtId="9" fontId="47" fillId="0" borderId="0" xfId="77" applyNumberFormat="1" applyFont="1" applyAlignment="1">
      <alignment horizontal="center" vertical="center"/>
    </xf>
    <xf numFmtId="0" fontId="47" fillId="0" borderId="0" xfId="77" applyFont="1" applyAlignment="1">
      <alignment horizontal="left" vertical="center"/>
    </xf>
    <xf numFmtId="4" fontId="47" fillId="0" borderId="0" xfId="77" applyNumberFormat="1" applyFont="1" applyAlignment="1">
      <alignment horizontal="left" vertical="center" wrapText="1"/>
    </xf>
    <xf numFmtId="0" fontId="1" fillId="2" borderId="1" xfId="25" applyFont="1" applyFill="1" applyBorder="1" applyAlignment="1">
      <alignment horizontal="center" vertical="center" wrapText="1"/>
    </xf>
    <xf numFmtId="0" fontId="1" fillId="2" borderId="1" xfId="25" applyFont="1" applyFill="1" applyBorder="1" applyAlignment="1">
      <alignment vertical="center" wrapText="1"/>
    </xf>
    <xf numFmtId="4" fontId="1" fillId="2" borderId="1" xfId="25" applyNumberFormat="1" applyFont="1" applyFill="1" applyBorder="1" applyAlignment="1">
      <alignment horizontal="center" vertical="center" wrapText="1"/>
    </xf>
    <xf numFmtId="0" fontId="73" fillId="2" borderId="0" xfId="25" applyFill="1" applyAlignment="1">
      <alignment horizontal="left"/>
    </xf>
    <xf numFmtId="0" fontId="73" fillId="2" borderId="0" xfId="25" applyNumberFormat="1" applyFill="1" applyAlignment="1">
      <alignment horizontal="left"/>
    </xf>
    <xf numFmtId="0" fontId="39" fillId="2" borderId="0" xfId="51" applyFont="1" applyFill="1" applyBorder="1" applyAlignment="1">
      <alignment horizontal="right" vertical="center"/>
    </xf>
    <xf numFmtId="0" fontId="48" fillId="0" borderId="1" xfId="25" applyFont="1" applyBorder="1" applyAlignment="1">
      <alignment horizontal="center" vertical="center" wrapText="1"/>
    </xf>
    <xf numFmtId="0" fontId="48" fillId="0" borderId="0" xfId="25" applyFont="1" applyBorder="1" applyAlignment="1">
      <alignment horizontal="center" wrapText="1"/>
    </xf>
    <xf numFmtId="0" fontId="47" fillId="0" borderId="1" xfId="0" applyFont="1" applyBorder="1" applyAlignment="1">
      <alignment horizontal="center" vertical="center" wrapText="1"/>
    </xf>
    <xf numFmtId="0" fontId="188" fillId="0" borderId="1" xfId="0" applyFont="1" applyBorder="1" applyAlignment="1">
      <alignment horizontal="center" vertical="center" wrapText="1"/>
    </xf>
    <xf numFmtId="0" fontId="47" fillId="0" borderId="1" xfId="0" applyFont="1" applyBorder="1" applyAlignment="1">
      <alignment horizontal="justify" vertical="center" wrapText="1"/>
    </xf>
    <xf numFmtId="4" fontId="61" fillId="2" borderId="1" xfId="77" applyNumberFormat="1" applyFont="1" applyFill="1" applyBorder="1" applyAlignment="1">
      <alignment horizontal="center" vertical="center" wrapText="1"/>
    </xf>
    <xf numFmtId="4" fontId="55" fillId="2" borderId="1" xfId="77" applyNumberFormat="1" applyFont="1" applyFill="1" applyBorder="1" applyAlignment="1">
      <alignment horizontal="center" vertical="center" wrapText="1"/>
    </xf>
    <xf numFmtId="0" fontId="61" fillId="0" borderId="1" xfId="0" applyFont="1" applyBorder="1" applyAlignment="1">
      <alignment horizontal="center" vertical="center" wrapText="1"/>
    </xf>
    <xf numFmtId="0" fontId="39" fillId="2" borderId="11" xfId="51" applyFont="1" applyFill="1" applyBorder="1" applyAlignment="1">
      <alignment horizontal="center" vertical="center"/>
    </xf>
    <xf numFmtId="0" fontId="39" fillId="2" borderId="34" xfId="51" applyFont="1" applyFill="1" applyBorder="1" applyAlignment="1">
      <alignment vertical="center"/>
    </xf>
    <xf numFmtId="0" fontId="39" fillId="2" borderId="35" xfId="51" applyFont="1" applyFill="1" applyBorder="1" applyAlignment="1">
      <alignment vertical="center"/>
    </xf>
    <xf numFmtId="0" fontId="125" fillId="2" borderId="43" xfId="51" applyFont="1" applyFill="1" applyBorder="1" applyAlignment="1">
      <alignment horizontal="center" vertical="center"/>
    </xf>
    <xf numFmtId="0" fontId="153" fillId="0" borderId="0" xfId="54" applyNumberFormat="1" applyFont="1" applyBorder="1" applyAlignment="1">
      <alignment horizontal="left"/>
    </xf>
    <xf numFmtId="0" fontId="133" fillId="0" borderId="0" xfId="54" applyNumberFormat="1" applyFont="1" applyBorder="1" applyAlignment="1">
      <alignment horizontal="left"/>
    </xf>
    <xf numFmtId="49" fontId="133" fillId="2" borderId="3" xfId="54" applyNumberFormat="1" applyFont="1" applyFill="1" applyBorder="1" applyAlignment="1">
      <alignment horizontal="center"/>
    </xf>
    <xf numFmtId="49" fontId="133" fillId="2" borderId="10" xfId="54" applyNumberFormat="1" applyFont="1" applyFill="1" applyBorder="1" applyAlignment="1">
      <alignment horizontal="center"/>
    </xf>
    <xf numFmtId="49" fontId="133" fillId="2" borderId="48" xfId="54" applyNumberFormat="1" applyFont="1" applyFill="1" applyBorder="1" applyAlignment="1">
      <alignment horizontal="center"/>
    </xf>
    <xf numFmtId="49" fontId="133" fillId="2" borderId="5" xfId="54" applyNumberFormat="1" applyFont="1" applyFill="1" applyBorder="1" applyAlignment="1">
      <alignment horizontal="center"/>
    </xf>
    <xf numFmtId="49" fontId="133" fillId="2" borderId="6" xfId="54" applyNumberFormat="1" applyFont="1" applyFill="1" applyBorder="1" applyAlignment="1">
      <alignment horizontal="center"/>
    </xf>
    <xf numFmtId="49" fontId="133" fillId="2" borderId="2" xfId="54" applyNumberFormat="1" applyFont="1" applyFill="1" applyBorder="1" applyAlignment="1">
      <alignment horizontal="center"/>
    </xf>
    <xf numFmtId="4" fontId="133" fillId="2" borderId="2" xfId="54" applyNumberFormat="1" applyFont="1" applyFill="1" applyBorder="1" applyAlignment="1">
      <alignment horizontal="center"/>
    </xf>
    <xf numFmtId="4" fontId="133" fillId="2" borderId="5" xfId="54" applyNumberFormat="1" applyFont="1" applyFill="1" applyBorder="1" applyAlignment="1">
      <alignment horizontal="center"/>
    </xf>
    <xf numFmtId="4" fontId="133" fillId="2" borderId="53" xfId="54" applyNumberFormat="1" applyFont="1" applyFill="1" applyBorder="1" applyAlignment="1">
      <alignment horizontal="center"/>
    </xf>
    <xf numFmtId="4" fontId="133" fillId="2" borderId="51" xfId="54" applyNumberFormat="1" applyFont="1" applyFill="1" applyBorder="1" applyAlignment="1">
      <alignment horizontal="center"/>
    </xf>
    <xf numFmtId="4" fontId="133" fillId="2" borderId="10" xfId="54" applyNumberFormat="1" applyFont="1" applyFill="1" applyBorder="1" applyAlignment="1">
      <alignment horizontal="center"/>
    </xf>
    <xf numFmtId="4" fontId="133" fillId="2" borderId="49" xfId="54" applyNumberFormat="1" applyFont="1" applyFill="1" applyBorder="1" applyAlignment="1">
      <alignment horizontal="center"/>
    </xf>
    <xf numFmtId="4" fontId="133" fillId="2" borderId="6" xfId="54" applyNumberFormat="1" applyFont="1" applyFill="1" applyBorder="1" applyAlignment="1">
      <alignment horizontal="center"/>
    </xf>
    <xf numFmtId="49" fontId="133" fillId="2" borderId="32" xfId="54" applyNumberFormat="1" applyFont="1" applyFill="1" applyBorder="1" applyAlignment="1">
      <alignment horizontal="center"/>
    </xf>
    <xf numFmtId="0" fontId="133" fillId="2" borderId="2" xfId="54" applyNumberFormat="1" applyFont="1" applyFill="1" applyBorder="1" applyAlignment="1">
      <alignment horizontal="left" wrapText="1" indent="1"/>
    </xf>
    <xf numFmtId="0" fontId="133" fillId="2" borderId="5" xfId="54" applyNumberFormat="1" applyFont="1" applyFill="1" applyBorder="1" applyAlignment="1">
      <alignment horizontal="left" indent="1"/>
    </xf>
    <xf numFmtId="0" fontId="39" fillId="2" borderId="0" xfId="51" applyFont="1" applyFill="1" applyBorder="1" applyAlignment="1">
      <alignment horizontal="right" vertical="center"/>
    </xf>
    <xf numFmtId="4" fontId="133" fillId="2" borderId="45" xfId="54" applyNumberFormat="1" applyFont="1" applyFill="1" applyBorder="1" applyAlignment="1">
      <alignment horizontal="center"/>
    </xf>
    <xf numFmtId="0" fontId="48" fillId="2" borderId="1" xfId="25" applyFont="1" applyFill="1" applyBorder="1" applyAlignment="1">
      <alignment horizontal="center" vertical="center" wrapText="1"/>
    </xf>
    <xf numFmtId="0" fontId="48" fillId="2" borderId="0" xfId="25" applyFont="1" applyFill="1" applyBorder="1" applyAlignment="1">
      <alignment horizontal="center"/>
    </xf>
    <xf numFmtId="14" fontId="43" fillId="0" borderId="0" xfId="25" applyNumberFormat="1" applyFont="1"/>
    <xf numFmtId="49" fontId="17" fillId="0" borderId="1" xfId="29" applyNumberFormat="1" applyFont="1" applyBorder="1" applyAlignment="1">
      <alignment horizontal="center" vertical="center" wrapText="1"/>
    </xf>
    <xf numFmtId="4" fontId="133" fillId="2" borderId="2" xfId="54" applyNumberFormat="1" applyFont="1" applyFill="1" applyBorder="1" applyAlignment="1">
      <alignment horizontal="center"/>
    </xf>
    <xf numFmtId="4" fontId="133" fillId="2" borderId="5" xfId="54" applyNumberFormat="1" applyFont="1" applyFill="1" applyBorder="1" applyAlignment="1">
      <alignment horizontal="center"/>
    </xf>
    <xf numFmtId="4" fontId="133" fillId="2" borderId="6" xfId="54" applyNumberFormat="1" applyFont="1" applyFill="1" applyBorder="1" applyAlignment="1">
      <alignment horizontal="center"/>
    </xf>
    <xf numFmtId="166" fontId="125" fillId="2" borderId="0" xfId="51" applyNumberFormat="1" applyFont="1" applyFill="1" applyAlignment="1">
      <alignment vertical="center"/>
    </xf>
    <xf numFmtId="0" fontId="125" fillId="2" borderId="0" xfId="51" applyFont="1" applyFill="1" applyAlignment="1">
      <alignment horizontal="right" vertical="center"/>
    </xf>
    <xf numFmtId="0" fontId="48" fillId="0" borderId="0" xfId="12" applyFont="1" applyAlignment="1">
      <alignment horizontal="center"/>
    </xf>
    <xf numFmtId="0" fontId="45" fillId="5" borderId="2" xfId="12" applyFont="1" applyFill="1" applyBorder="1" applyAlignment="1">
      <alignment horizontal="center" vertical="center" wrapText="1"/>
    </xf>
    <xf numFmtId="0" fontId="45" fillId="5" borderId="5" xfId="12" applyFont="1" applyFill="1" applyBorder="1" applyAlignment="1">
      <alignment horizontal="center" vertical="center" wrapText="1"/>
    </xf>
    <xf numFmtId="0" fontId="45" fillId="5" borderId="6" xfId="12" applyFont="1" applyFill="1" applyBorder="1" applyAlignment="1">
      <alignment horizontal="center" vertical="center" wrapText="1"/>
    </xf>
    <xf numFmtId="172" fontId="48" fillId="5" borderId="7" xfId="12" applyNumberFormat="1" applyFont="1" applyFill="1" applyBorder="1" applyAlignment="1">
      <alignment horizontal="center" vertical="center"/>
    </xf>
    <xf numFmtId="172" fontId="48" fillId="5" borderId="8" xfId="12" applyNumberFormat="1" applyFont="1" applyFill="1" applyBorder="1" applyAlignment="1">
      <alignment horizontal="center" vertical="center"/>
    </xf>
    <xf numFmtId="172" fontId="48" fillId="5" borderId="4" xfId="12" applyNumberFormat="1" applyFont="1" applyFill="1" applyBorder="1" applyAlignment="1">
      <alignment horizontal="center" vertical="center"/>
    </xf>
    <xf numFmtId="172" fontId="48" fillId="2" borderId="7" xfId="12" applyNumberFormat="1" applyFont="1" applyFill="1" applyBorder="1" applyAlignment="1">
      <alignment horizontal="center" vertical="center"/>
    </xf>
    <xf numFmtId="172" fontId="48" fillId="2" borderId="8" xfId="12" applyNumberFormat="1" applyFont="1" applyFill="1" applyBorder="1" applyAlignment="1">
      <alignment horizontal="center" vertical="center"/>
    </xf>
    <xf numFmtId="172" fontId="48" fillId="2" borderId="4" xfId="12" applyNumberFormat="1" applyFont="1" applyFill="1" applyBorder="1" applyAlignment="1">
      <alignment horizontal="center" vertical="center"/>
    </xf>
    <xf numFmtId="0" fontId="45" fillId="0" borderId="1" xfId="12" applyFont="1" applyBorder="1" applyAlignment="1">
      <alignment horizontal="center" vertical="center"/>
    </xf>
    <xf numFmtId="0" fontId="45" fillId="0" borderId="7" xfId="12" applyFont="1" applyBorder="1" applyAlignment="1">
      <alignment horizontal="center" vertical="center"/>
    </xf>
    <xf numFmtId="0" fontId="45" fillId="0" borderId="4" xfId="12" applyFont="1" applyBorder="1" applyAlignment="1">
      <alignment horizontal="center" vertical="center"/>
    </xf>
    <xf numFmtId="0" fontId="45" fillId="0" borderId="2" xfId="12" applyFont="1" applyBorder="1" applyAlignment="1">
      <alignment horizontal="center" vertical="center" wrapText="1"/>
    </xf>
    <xf numFmtId="0" fontId="45" fillId="0" borderId="5" xfId="12" applyFont="1" applyBorder="1" applyAlignment="1">
      <alignment horizontal="center" vertical="center" wrapText="1"/>
    </xf>
    <xf numFmtId="0" fontId="45" fillId="0" borderId="6" xfId="12" applyFont="1" applyBorder="1" applyAlignment="1">
      <alignment horizontal="center" vertical="center" wrapText="1"/>
    </xf>
    <xf numFmtId="0" fontId="45" fillId="0" borderId="1" xfId="12" applyFont="1" applyBorder="1" applyAlignment="1">
      <alignment horizontal="center" vertical="center" wrapText="1"/>
    </xf>
    <xf numFmtId="0" fontId="34" fillId="2" borderId="2" xfId="0" applyFont="1" applyFill="1" applyBorder="1" applyAlignment="1">
      <alignment horizontal="center" vertical="center" wrapText="1"/>
    </xf>
    <xf numFmtId="0" fontId="34" fillId="2" borderId="6"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33" fillId="2" borderId="0" xfId="0" applyFont="1" applyFill="1" applyAlignment="1">
      <alignment horizontal="left" vertical="center" wrapText="1"/>
    </xf>
    <xf numFmtId="0" fontId="34" fillId="2" borderId="1" xfId="0" applyFont="1" applyFill="1" applyBorder="1" applyAlignment="1">
      <alignment horizontal="center" vertical="center" wrapText="1"/>
    </xf>
    <xf numFmtId="0" fontId="22" fillId="2" borderId="1" xfId="0" applyFont="1" applyFill="1" applyBorder="1" applyAlignment="1">
      <alignment horizontal="center" vertical="center" textRotation="90" wrapText="1"/>
    </xf>
    <xf numFmtId="170" fontId="22" fillId="2" borderId="7" xfId="0" applyNumberFormat="1" applyFont="1" applyFill="1" applyBorder="1" applyAlignment="1">
      <alignment horizontal="center" vertical="center" wrapText="1"/>
    </xf>
    <xf numFmtId="170" fontId="22" fillId="2" borderId="8" xfId="0" applyNumberFormat="1" applyFont="1" applyFill="1" applyBorder="1" applyAlignment="1">
      <alignment horizontal="center" vertical="center" wrapText="1"/>
    </xf>
    <xf numFmtId="0" fontId="34" fillId="2" borderId="2" xfId="0" applyFont="1" applyFill="1" applyBorder="1" applyAlignment="1">
      <alignment horizontal="center" vertical="center"/>
    </xf>
    <xf numFmtId="0" fontId="34" fillId="2" borderId="6" xfId="0" applyFont="1" applyFill="1" applyBorder="1" applyAlignment="1">
      <alignment horizontal="center" vertical="center"/>
    </xf>
    <xf numFmtId="0" fontId="22" fillId="2" borderId="1" xfId="8" applyFont="1" applyFill="1" applyBorder="1" applyAlignment="1">
      <alignment horizontal="center" vertical="center" textRotation="90" wrapText="1"/>
    </xf>
    <xf numFmtId="0" fontId="22" fillId="2" borderId="1" xfId="8" applyFont="1" applyFill="1" applyBorder="1" applyAlignment="1">
      <alignment horizontal="center" vertical="center" wrapText="1"/>
    </xf>
    <xf numFmtId="0" fontId="29" fillId="2" borderId="0" xfId="0" applyFont="1" applyFill="1" applyAlignment="1">
      <alignment horizontal="left" vertical="center"/>
    </xf>
    <xf numFmtId="0" fontId="30" fillId="2" borderId="0" xfId="0" applyFont="1" applyFill="1" applyAlignment="1">
      <alignment horizontal="center" vertical="center" wrapText="1"/>
    </xf>
    <xf numFmtId="0" fontId="32" fillId="2" borderId="0" xfId="0" applyFont="1" applyFill="1" applyAlignment="1">
      <alignment horizontal="center" vertical="center" wrapText="1"/>
    </xf>
    <xf numFmtId="0" fontId="33"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170" fontId="18" fillId="2" borderId="7" xfId="0" applyNumberFormat="1" applyFont="1" applyFill="1" applyBorder="1" applyAlignment="1">
      <alignment horizontal="center" vertical="center" wrapText="1"/>
    </xf>
    <xf numFmtId="170" fontId="18" fillId="2" borderId="8" xfId="0" applyNumberFormat="1" applyFont="1" applyFill="1" applyBorder="1" applyAlignment="1">
      <alignment horizontal="center" vertical="center" wrapText="1"/>
    </xf>
    <xf numFmtId="0" fontId="0" fillId="2" borderId="1" xfId="0" applyFill="1" applyBorder="1" applyAlignment="1">
      <alignment horizontal="center" vertical="center" textRotation="90" wrapText="1"/>
    </xf>
    <xf numFmtId="0" fontId="26" fillId="2" borderId="1" xfId="0" applyFont="1" applyFill="1" applyBorder="1" applyAlignment="1">
      <alignment horizontal="center" vertical="center" wrapText="1"/>
    </xf>
    <xf numFmtId="0" fontId="43" fillId="2" borderId="1" xfId="8" applyFont="1" applyFill="1" applyBorder="1" applyAlignment="1">
      <alignment horizontal="center" vertical="center" textRotation="90" wrapText="1"/>
    </xf>
    <xf numFmtId="0" fontId="43" fillId="2" borderId="1" xfId="8" applyFont="1" applyFill="1" applyBorder="1" applyAlignment="1">
      <alignment horizontal="center" vertical="center" wrapText="1"/>
    </xf>
    <xf numFmtId="0" fontId="19" fillId="2" borderId="0" xfId="0" applyFont="1" applyFill="1" applyAlignment="1">
      <alignment horizontal="left" vertical="center"/>
    </xf>
    <xf numFmtId="0" fontId="20" fillId="2" borderId="0" xfId="0" applyFont="1" applyFill="1" applyAlignment="1">
      <alignment horizontal="center" vertical="center" wrapText="1"/>
    </xf>
    <xf numFmtId="0" fontId="14" fillId="2" borderId="0" xfId="0" applyFont="1" applyFill="1" applyAlignment="1">
      <alignment horizontal="center" vertical="center" wrapText="1"/>
    </xf>
    <xf numFmtId="0" fontId="27" fillId="2" borderId="1" xfId="0" applyFont="1" applyFill="1" applyBorder="1" applyAlignment="1">
      <alignment horizontal="center" vertical="center" wrapText="1"/>
    </xf>
    <xf numFmtId="0" fontId="39" fillId="2" borderId="0" xfId="51" applyFont="1" applyFill="1" applyAlignment="1">
      <alignment horizontal="center" vertical="center"/>
    </xf>
    <xf numFmtId="0" fontId="39" fillId="2" borderId="3" xfId="51" applyFont="1" applyFill="1" applyBorder="1" applyAlignment="1">
      <alignment horizontal="center" vertical="center"/>
    </xf>
    <xf numFmtId="0" fontId="39" fillId="2" borderId="10" xfId="51" applyFont="1" applyFill="1" applyBorder="1" applyAlignment="1">
      <alignment horizontal="center" vertical="center"/>
    </xf>
    <xf numFmtId="0" fontId="89" fillId="2" borderId="0" xfId="51" applyFont="1" applyFill="1" applyAlignment="1">
      <alignment horizontal="center" vertical="center"/>
    </xf>
    <xf numFmtId="0" fontId="55" fillId="2" borderId="0" xfId="51" applyFont="1" applyFill="1" applyAlignment="1">
      <alignment horizontal="center" vertical="center"/>
    </xf>
    <xf numFmtId="0" fontId="39" fillId="2" borderId="0" xfId="51" applyFont="1" applyFill="1" applyAlignment="1">
      <alignment horizontal="left" vertical="center"/>
    </xf>
    <xf numFmtId="0" fontId="39" fillId="2" borderId="0" xfId="51" applyFont="1" applyFill="1" applyAlignment="1">
      <alignment horizontal="right" vertical="center"/>
    </xf>
    <xf numFmtId="0" fontId="39" fillId="2" borderId="0" xfId="51" applyFont="1" applyFill="1" applyBorder="1" applyAlignment="1">
      <alignment horizontal="right" vertical="center"/>
    </xf>
    <xf numFmtId="0" fontId="39" fillId="2" borderId="7" xfId="51" applyFont="1" applyFill="1" applyBorder="1" applyAlignment="1">
      <alignment horizontal="center" vertical="center"/>
    </xf>
    <xf numFmtId="0" fontId="39" fillId="2" borderId="8" xfId="51" applyFont="1" applyFill="1" applyBorder="1" applyAlignment="1">
      <alignment horizontal="center" vertical="center"/>
    </xf>
    <xf numFmtId="0" fontId="39" fillId="2" borderId="4" xfId="51" applyFont="1" applyFill="1" applyBorder="1" applyAlignment="1">
      <alignment horizontal="center" vertical="center"/>
    </xf>
    <xf numFmtId="0" fontId="39" fillId="2" borderId="7" xfId="51" applyFont="1" applyFill="1" applyBorder="1" applyAlignment="1">
      <alignment horizontal="center" vertical="center" wrapText="1"/>
    </xf>
    <xf numFmtId="0" fontId="39" fillId="2" borderId="8" xfId="51" applyFont="1" applyFill="1" applyBorder="1" applyAlignment="1">
      <alignment horizontal="center" vertical="center" wrapText="1"/>
    </xf>
    <xf numFmtId="0" fontId="39" fillId="2" borderId="4" xfId="51" applyFont="1" applyFill="1" applyBorder="1" applyAlignment="1">
      <alignment horizontal="center" vertical="center" wrapText="1"/>
    </xf>
    <xf numFmtId="0" fontId="39" fillId="2" borderId="1" xfId="51" applyFont="1" applyFill="1" applyBorder="1" applyAlignment="1">
      <alignment horizontal="center" vertical="center" wrapText="1"/>
    </xf>
    <xf numFmtId="0" fontId="39" fillId="2" borderId="2" xfId="51" applyFont="1" applyFill="1" applyBorder="1" applyAlignment="1">
      <alignment horizontal="center" vertical="center" wrapText="1"/>
    </xf>
    <xf numFmtId="0" fontId="39" fillId="2" borderId="5" xfId="51" applyFont="1" applyFill="1" applyBorder="1" applyAlignment="1">
      <alignment horizontal="center" vertical="center" wrapText="1"/>
    </xf>
    <xf numFmtId="0" fontId="39" fillId="2" borderId="6" xfId="51" applyFont="1" applyFill="1" applyBorder="1" applyAlignment="1">
      <alignment horizontal="center" vertical="center" wrapText="1"/>
    </xf>
    <xf numFmtId="0" fontId="39" fillId="2" borderId="0" xfId="51" applyFont="1" applyFill="1" applyAlignment="1">
      <alignment horizontal="left" vertical="center" wrapText="1"/>
    </xf>
    <xf numFmtId="0" fontId="39" fillId="2" borderId="3" xfId="31" applyFont="1" applyFill="1" applyBorder="1" applyAlignment="1">
      <alignment horizontal="left" vertical="center" wrapText="1"/>
    </xf>
    <xf numFmtId="0" fontId="39" fillId="2" borderId="0" xfId="51" applyFont="1" applyFill="1" applyAlignment="1">
      <alignment horizontal="center" vertical="center" wrapText="1"/>
    </xf>
    <xf numFmtId="0" fontId="148" fillId="2" borderId="25" xfId="53" applyFont="1" applyFill="1" applyBorder="1" applyAlignment="1">
      <alignment horizontal="center" vertical="center"/>
    </xf>
    <xf numFmtId="0" fontId="148" fillId="2" borderId="0" xfId="53" applyFont="1" applyFill="1" applyAlignment="1">
      <alignment horizontal="center" vertical="center"/>
    </xf>
    <xf numFmtId="0" fontId="39" fillId="2" borderId="0" xfId="51" applyFont="1" applyFill="1" applyBorder="1" applyAlignment="1">
      <alignment horizontal="center" vertical="center"/>
    </xf>
    <xf numFmtId="4" fontId="39" fillId="2" borderId="0" xfId="51" applyNumberFormat="1" applyFont="1" applyFill="1" applyAlignment="1">
      <alignment horizontal="left" vertical="center"/>
    </xf>
    <xf numFmtId="49" fontId="133" fillId="2" borderId="2" xfId="54" applyNumberFormat="1" applyFont="1" applyFill="1" applyBorder="1" applyAlignment="1">
      <alignment horizontal="center"/>
    </xf>
    <xf numFmtId="49" fontId="133" fillId="2" borderId="5" xfId="54" applyNumberFormat="1" applyFont="1" applyFill="1" applyBorder="1" applyAlignment="1">
      <alignment horizontal="center"/>
    </xf>
    <xf numFmtId="49" fontId="133" fillId="2" borderId="6" xfId="54" applyNumberFormat="1" applyFont="1" applyFill="1" applyBorder="1" applyAlignment="1">
      <alignment horizontal="center"/>
    </xf>
    <xf numFmtId="11" fontId="133" fillId="2" borderId="2" xfId="54" applyNumberFormat="1" applyFont="1" applyFill="1" applyBorder="1" applyAlignment="1">
      <alignment horizontal="left" wrapText="1"/>
    </xf>
    <xf numFmtId="11" fontId="133" fillId="2" borderId="5" xfId="54" applyNumberFormat="1" applyFont="1" applyFill="1" applyBorder="1" applyAlignment="1">
      <alignment horizontal="left" wrapText="1"/>
    </xf>
    <xf numFmtId="49" fontId="133" fillId="2" borderId="50" xfId="54" applyNumberFormat="1" applyFont="1" applyFill="1" applyBorder="1" applyAlignment="1">
      <alignment horizontal="center"/>
    </xf>
    <xf numFmtId="0" fontId="133" fillId="2" borderId="2" xfId="54" applyNumberFormat="1" applyFont="1" applyFill="1" applyBorder="1" applyAlignment="1">
      <alignment horizontal="left" wrapText="1"/>
    </xf>
    <xf numFmtId="0" fontId="133" fillId="2" borderId="5" xfId="54" applyNumberFormat="1" applyFont="1" applyFill="1" applyBorder="1" applyAlignment="1">
      <alignment horizontal="left" wrapText="1"/>
    </xf>
    <xf numFmtId="0" fontId="133" fillId="2" borderId="2" xfId="54" applyNumberFormat="1" applyFont="1" applyFill="1" applyBorder="1" applyAlignment="1">
      <alignment horizontal="left" vertical="top" wrapText="1"/>
    </xf>
    <xf numFmtId="0" fontId="133" fillId="2" borderId="5" xfId="54" applyNumberFormat="1" applyFont="1" applyFill="1" applyBorder="1" applyAlignment="1">
      <alignment horizontal="left" vertical="top" wrapText="1"/>
    </xf>
    <xf numFmtId="2" fontId="133" fillId="2" borderId="2" xfId="54" applyNumberFormat="1" applyFont="1" applyFill="1" applyBorder="1" applyAlignment="1">
      <alignment horizontal="left" wrapText="1"/>
    </xf>
    <xf numFmtId="2" fontId="133" fillId="2" borderId="5" xfId="54" applyNumberFormat="1" applyFont="1" applyFill="1" applyBorder="1" applyAlignment="1">
      <alignment horizontal="left" wrapText="1"/>
    </xf>
    <xf numFmtId="0" fontId="153" fillId="0" borderId="0" xfId="54" applyNumberFormat="1" applyFont="1" applyBorder="1" applyAlignment="1">
      <alignment horizontal="left"/>
    </xf>
    <xf numFmtId="0" fontId="154" fillId="0" borderId="0" xfId="54" applyNumberFormat="1" applyFont="1" applyBorder="1" applyAlignment="1">
      <alignment horizontal="left"/>
    </xf>
    <xf numFmtId="0" fontId="153" fillId="0" borderId="0" xfId="54" applyNumberFormat="1" applyFont="1" applyBorder="1" applyAlignment="1">
      <alignment horizontal="justify" vertical="top"/>
    </xf>
    <xf numFmtId="0" fontId="153" fillId="0" borderId="0" xfId="54" applyNumberFormat="1" applyFont="1" applyBorder="1" applyAlignment="1">
      <alignment horizontal="justify" wrapText="1"/>
    </xf>
    <xf numFmtId="0" fontId="154" fillId="0" borderId="0" xfId="54" applyNumberFormat="1" applyFont="1" applyBorder="1" applyAlignment="1">
      <alignment horizontal="justify" wrapText="1"/>
    </xf>
    <xf numFmtId="0" fontId="153" fillId="0" borderId="0" xfId="54" applyNumberFormat="1" applyFont="1" applyBorder="1" applyAlignment="1">
      <alignment horizontal="justify"/>
    </xf>
    <xf numFmtId="0" fontId="133" fillId="0" borderId="61" xfId="54" applyNumberFormat="1" applyFont="1" applyBorder="1" applyAlignment="1">
      <alignment horizontal="right"/>
    </xf>
    <xf numFmtId="0" fontId="133" fillId="0" borderId="0" xfId="54" applyNumberFormat="1" applyFont="1" applyBorder="1" applyAlignment="1">
      <alignment horizontal="right"/>
    </xf>
    <xf numFmtId="49" fontId="133" fillId="0" borderId="10" xfId="54" applyNumberFormat="1" applyFont="1" applyBorder="1" applyAlignment="1">
      <alignment horizontal="center"/>
    </xf>
    <xf numFmtId="0" fontId="133" fillId="0" borderId="0" xfId="54" applyNumberFormat="1" applyFont="1" applyBorder="1" applyAlignment="1">
      <alignment horizontal="left"/>
    </xf>
    <xf numFmtId="49" fontId="133" fillId="0" borderId="10" xfId="54" applyNumberFormat="1" applyFont="1" applyBorder="1" applyAlignment="1">
      <alignment horizontal="left"/>
    </xf>
    <xf numFmtId="0" fontId="133" fillId="0" borderId="63" xfId="54" applyNumberFormat="1" applyFont="1" applyBorder="1" applyAlignment="1">
      <alignment horizontal="center"/>
    </xf>
    <xf numFmtId="0" fontId="133" fillId="0" borderId="10" xfId="54" applyNumberFormat="1" applyFont="1" applyBorder="1" applyAlignment="1">
      <alignment horizontal="center"/>
    </xf>
    <xf numFmtId="0" fontId="133" fillId="0" borderId="64" xfId="54" applyNumberFormat="1" applyFont="1" applyBorder="1" applyAlignment="1">
      <alignment horizontal="center"/>
    </xf>
    <xf numFmtId="0" fontId="152" fillId="0" borderId="65" xfId="54" applyNumberFormat="1" applyFont="1" applyBorder="1" applyAlignment="1">
      <alignment horizontal="center" vertical="top"/>
    </xf>
    <xf numFmtId="0" fontId="152" fillId="0" borderId="3" xfId="54" applyNumberFormat="1" applyFont="1" applyBorder="1" applyAlignment="1">
      <alignment horizontal="center" vertical="top"/>
    </xf>
    <xf numFmtId="0" fontId="152" fillId="0" borderId="66" xfId="54" applyNumberFormat="1" applyFont="1" applyBorder="1" applyAlignment="1">
      <alignment horizontal="center" vertical="top"/>
    </xf>
    <xf numFmtId="0" fontId="133" fillId="2" borderId="9" xfId="54" applyNumberFormat="1" applyFont="1" applyFill="1" applyBorder="1" applyAlignment="1">
      <alignment horizontal="center"/>
    </xf>
    <xf numFmtId="0" fontId="133" fillId="2" borderId="3" xfId="54" applyNumberFormat="1" applyFont="1" applyFill="1" applyBorder="1" applyAlignment="1">
      <alignment horizontal="center"/>
    </xf>
    <xf numFmtId="0" fontId="133" fillId="2" borderId="55" xfId="54" applyNumberFormat="1" applyFont="1" applyFill="1" applyBorder="1" applyAlignment="1">
      <alignment horizontal="center"/>
    </xf>
    <xf numFmtId="0" fontId="133" fillId="2" borderId="41" xfId="54" applyNumberFormat="1" applyFont="1" applyFill="1" applyBorder="1" applyAlignment="1">
      <alignment horizontal="center"/>
    </xf>
    <xf numFmtId="0" fontId="133" fillId="2" borderId="48" xfId="54" applyNumberFormat="1" applyFont="1" applyFill="1" applyBorder="1" applyAlignment="1">
      <alignment horizontal="center"/>
    </xf>
    <xf numFmtId="0" fontId="133" fillId="2" borderId="58" xfId="54" applyNumberFormat="1" applyFont="1" applyFill="1" applyBorder="1" applyAlignment="1">
      <alignment horizontal="center"/>
    </xf>
    <xf numFmtId="0" fontId="133" fillId="2" borderId="51" xfId="54" applyNumberFormat="1" applyFont="1" applyFill="1" applyBorder="1" applyAlignment="1">
      <alignment horizontal="left" wrapText="1" indent="4"/>
    </xf>
    <xf numFmtId="0" fontId="133" fillId="2" borderId="10" xfId="54" applyNumberFormat="1" applyFont="1" applyFill="1" applyBorder="1" applyAlignment="1">
      <alignment horizontal="left" indent="4"/>
    </xf>
    <xf numFmtId="0" fontId="133" fillId="2" borderId="2" xfId="54" applyNumberFormat="1" applyFont="1" applyFill="1" applyBorder="1" applyAlignment="1">
      <alignment horizontal="center"/>
    </xf>
    <xf numFmtId="0" fontId="133" fillId="2" borderId="5" xfId="54" applyNumberFormat="1" applyFont="1" applyFill="1" applyBorder="1" applyAlignment="1">
      <alignment horizontal="center"/>
    </xf>
    <xf numFmtId="0" fontId="133" fillId="2" borderId="53" xfId="54" applyNumberFormat="1" applyFont="1" applyFill="1" applyBorder="1" applyAlignment="1">
      <alignment horizontal="center"/>
    </xf>
    <xf numFmtId="49" fontId="133" fillId="2" borderId="3" xfId="54" applyNumberFormat="1" applyFont="1" applyFill="1" applyBorder="1" applyAlignment="1">
      <alignment horizontal="center"/>
    </xf>
    <xf numFmtId="49" fontId="133" fillId="2" borderId="22" xfId="54" applyNumberFormat="1" applyFont="1" applyFill="1" applyBorder="1" applyAlignment="1">
      <alignment horizontal="center"/>
    </xf>
    <xf numFmtId="49" fontId="133" fillId="2" borderId="10" xfId="54" applyNumberFormat="1" applyFont="1" applyFill="1" applyBorder="1" applyAlignment="1">
      <alignment horizontal="center"/>
    </xf>
    <xf numFmtId="49" fontId="133" fillId="2" borderId="49" xfId="54" applyNumberFormat="1" applyFont="1" applyFill="1" applyBorder="1" applyAlignment="1">
      <alignment horizontal="center"/>
    </xf>
    <xf numFmtId="0" fontId="133" fillId="2" borderId="9" xfId="54" applyNumberFormat="1" applyFont="1" applyFill="1" applyBorder="1" applyAlignment="1">
      <alignment horizontal="left" wrapText="1" indent="4"/>
    </xf>
    <xf numFmtId="0" fontId="133" fillId="2" borderId="3" xfId="54" applyNumberFormat="1" applyFont="1" applyFill="1" applyBorder="1" applyAlignment="1">
      <alignment horizontal="left" indent="4"/>
    </xf>
    <xf numFmtId="49" fontId="133" fillId="2" borderId="23" xfId="54" applyNumberFormat="1" applyFont="1" applyFill="1" applyBorder="1" applyAlignment="1">
      <alignment horizontal="center"/>
    </xf>
    <xf numFmtId="49" fontId="133" fillId="2" borderId="57" xfId="54" applyNumberFormat="1" applyFont="1" applyFill="1" applyBorder="1" applyAlignment="1">
      <alignment horizontal="center"/>
    </xf>
    <xf numFmtId="49" fontId="133" fillId="2" borderId="48" xfId="54" applyNumberFormat="1" applyFont="1" applyFill="1" applyBorder="1" applyAlignment="1">
      <alignment horizontal="center"/>
    </xf>
    <xf numFmtId="49" fontId="133" fillId="2" borderId="44" xfId="54" applyNumberFormat="1" applyFont="1" applyFill="1" applyBorder="1" applyAlignment="1">
      <alignment horizontal="center"/>
    </xf>
    <xf numFmtId="49" fontId="133" fillId="2" borderId="9" xfId="54" applyNumberFormat="1" applyFont="1" applyFill="1" applyBorder="1" applyAlignment="1">
      <alignment horizontal="center"/>
    </xf>
    <xf numFmtId="49" fontId="133" fillId="2" borderId="41" xfId="54" applyNumberFormat="1" applyFont="1" applyFill="1" applyBorder="1" applyAlignment="1">
      <alignment horizontal="center"/>
    </xf>
    <xf numFmtId="4" fontId="133" fillId="2" borderId="9" xfId="54" applyNumberFormat="1" applyFont="1" applyFill="1" applyBorder="1" applyAlignment="1">
      <alignment horizontal="center"/>
    </xf>
    <xf numFmtId="4" fontId="133" fillId="2" borderId="3" xfId="54" applyNumberFormat="1" applyFont="1" applyFill="1" applyBorder="1" applyAlignment="1">
      <alignment horizontal="center"/>
    </xf>
    <xf numFmtId="4" fontId="133" fillId="2" borderId="22" xfId="54" applyNumberFormat="1" applyFont="1" applyFill="1" applyBorder="1" applyAlignment="1">
      <alignment horizontal="center"/>
    </xf>
    <xf numFmtId="4" fontId="133" fillId="2" borderId="41" xfId="54" applyNumberFormat="1" applyFont="1" applyFill="1" applyBorder="1" applyAlignment="1">
      <alignment horizontal="center"/>
    </xf>
    <xf numFmtId="4" fontId="133" fillId="2" borderId="48" xfId="54" applyNumberFormat="1" applyFont="1" applyFill="1" applyBorder="1" applyAlignment="1">
      <alignment horizontal="center"/>
    </xf>
    <xf numFmtId="4" fontId="133" fillId="2" borderId="44" xfId="54" applyNumberFormat="1" applyFont="1" applyFill="1" applyBorder="1" applyAlignment="1">
      <alignment horizontal="center"/>
    </xf>
    <xf numFmtId="0" fontId="133" fillId="2" borderId="5" xfId="54" applyNumberFormat="1" applyFont="1" applyFill="1" applyBorder="1" applyAlignment="1">
      <alignment horizontal="left"/>
    </xf>
    <xf numFmtId="4" fontId="149" fillId="2" borderId="2" xfId="54" applyNumberFormat="1" applyFont="1" applyFill="1" applyBorder="1" applyAlignment="1">
      <alignment horizontal="center"/>
    </xf>
    <xf numFmtId="4" fontId="149" fillId="2" borderId="5" xfId="54" applyNumberFormat="1" applyFont="1" applyFill="1" applyBorder="1" applyAlignment="1">
      <alignment horizontal="center"/>
    </xf>
    <xf numFmtId="4" fontId="149" fillId="2" borderId="6" xfId="54" applyNumberFormat="1" applyFont="1" applyFill="1" applyBorder="1" applyAlignment="1">
      <alignment horizontal="center"/>
    </xf>
    <xf numFmtId="4" fontId="133" fillId="2" borderId="2" xfId="54" applyNumberFormat="1" applyFont="1" applyFill="1" applyBorder="1" applyAlignment="1">
      <alignment horizontal="center"/>
    </xf>
    <xf numFmtId="4" fontId="133" fillId="2" borderId="5" xfId="54" applyNumberFormat="1" applyFont="1" applyFill="1" applyBorder="1" applyAlignment="1">
      <alignment horizontal="center"/>
    </xf>
    <xf numFmtId="4" fontId="133" fillId="2" borderId="53" xfId="54" applyNumberFormat="1" applyFont="1" applyFill="1" applyBorder="1" applyAlignment="1">
      <alignment horizontal="center"/>
    </xf>
    <xf numFmtId="49" fontId="133" fillId="2" borderId="56" xfId="54" applyNumberFormat="1" applyFont="1" applyFill="1" applyBorder="1" applyAlignment="1">
      <alignment horizontal="center"/>
    </xf>
    <xf numFmtId="49" fontId="133" fillId="2" borderId="51" xfId="54" applyNumberFormat="1" applyFont="1" applyFill="1" applyBorder="1" applyAlignment="1">
      <alignment horizontal="center"/>
    </xf>
    <xf numFmtId="4" fontId="133" fillId="2" borderId="51" xfId="54" applyNumberFormat="1" applyFont="1" applyFill="1" applyBorder="1" applyAlignment="1">
      <alignment horizontal="center"/>
    </xf>
    <xf numFmtId="4" fontId="133" fillId="2" borderId="10" xfId="54" applyNumberFormat="1" applyFont="1" applyFill="1" applyBorder="1" applyAlignment="1">
      <alignment horizontal="center"/>
    </xf>
    <xf numFmtId="4" fontId="133" fillId="2" borderId="49" xfId="54" applyNumberFormat="1" applyFont="1" applyFill="1" applyBorder="1" applyAlignment="1">
      <alignment horizontal="center"/>
    </xf>
    <xf numFmtId="0" fontId="133" fillId="2" borderId="51" xfId="54" applyNumberFormat="1" applyFont="1" applyFill="1" applyBorder="1" applyAlignment="1">
      <alignment horizontal="center"/>
    </xf>
    <xf numFmtId="0" fontId="133" fillId="2" borderId="10" xfId="54" applyNumberFormat="1" applyFont="1" applyFill="1" applyBorder="1" applyAlignment="1">
      <alignment horizontal="center"/>
    </xf>
    <xf numFmtId="0" fontId="133" fillId="2" borderId="45" xfId="54" applyNumberFormat="1" applyFont="1" applyFill="1" applyBorder="1" applyAlignment="1">
      <alignment horizontal="center"/>
    </xf>
    <xf numFmtId="4" fontId="133" fillId="2" borderId="6" xfId="54" applyNumberFormat="1" applyFont="1" applyFill="1" applyBorder="1" applyAlignment="1">
      <alignment horizontal="center"/>
    </xf>
    <xf numFmtId="0" fontId="133" fillId="2" borderId="2" xfId="54" applyNumberFormat="1" applyFont="1" applyFill="1" applyBorder="1" applyAlignment="1">
      <alignment horizontal="left" wrapText="1" indent="3"/>
    </xf>
    <xf numFmtId="0" fontId="133" fillId="2" borderId="5" xfId="54" applyNumberFormat="1" applyFont="1" applyFill="1" applyBorder="1" applyAlignment="1">
      <alignment horizontal="left" indent="3"/>
    </xf>
    <xf numFmtId="0" fontId="133" fillId="2" borderId="2" xfId="54" applyNumberFormat="1" applyFont="1" applyFill="1" applyBorder="1" applyAlignment="1">
      <alignment horizontal="left" wrapText="1" indent="2"/>
    </xf>
    <xf numFmtId="0" fontId="133" fillId="2" borderId="5" xfId="54" applyNumberFormat="1" applyFont="1" applyFill="1" applyBorder="1" applyAlignment="1">
      <alignment horizontal="left" indent="2"/>
    </xf>
    <xf numFmtId="4" fontId="133" fillId="2" borderId="55" xfId="54" applyNumberFormat="1" applyFont="1" applyFill="1" applyBorder="1" applyAlignment="1">
      <alignment horizontal="center"/>
    </xf>
    <xf numFmtId="0" fontId="133" fillId="2" borderId="2" xfId="54" applyNumberFormat="1" applyFont="1" applyFill="1" applyBorder="1" applyAlignment="1">
      <alignment horizontal="left" wrapText="1" indent="1"/>
    </xf>
    <xf numFmtId="0" fontId="133" fillId="2" borderId="5" xfId="54" applyNumberFormat="1" applyFont="1" applyFill="1" applyBorder="1" applyAlignment="1">
      <alignment horizontal="left" indent="1"/>
    </xf>
    <xf numFmtId="0" fontId="133" fillId="0" borderId="0" xfId="54" applyNumberFormat="1" applyFont="1" applyBorder="1" applyAlignment="1">
      <alignment horizontal="center"/>
    </xf>
    <xf numFmtId="49" fontId="133" fillId="0" borderId="5" xfId="54" applyNumberFormat="1" applyFont="1" applyBorder="1" applyAlignment="1">
      <alignment horizontal="center" vertical="top"/>
    </xf>
    <xf numFmtId="49" fontId="133" fillId="0" borderId="6" xfId="54" applyNumberFormat="1" applyFont="1" applyBorder="1" applyAlignment="1">
      <alignment horizontal="center" vertical="top"/>
    </xf>
    <xf numFmtId="49" fontId="133" fillId="0" borderId="9" xfId="54" applyNumberFormat="1" applyFont="1" applyBorder="1" applyAlignment="1">
      <alignment horizontal="center" vertical="top"/>
    </xf>
    <xf numFmtId="49" fontId="133" fillId="0" borderId="3" xfId="54" applyNumberFormat="1" applyFont="1" applyBorder="1" applyAlignment="1">
      <alignment horizontal="center" vertical="top"/>
    </xf>
    <xf numFmtId="49" fontId="133" fillId="0" borderId="22" xfId="54" applyNumberFormat="1" applyFont="1" applyBorder="1" applyAlignment="1">
      <alignment horizontal="center" vertical="top"/>
    </xf>
    <xf numFmtId="49" fontId="149" fillId="2" borderId="5" xfId="54" applyNumberFormat="1" applyFont="1" applyFill="1" applyBorder="1" applyAlignment="1">
      <alignment horizontal="center"/>
    </xf>
    <xf numFmtId="49" fontId="149" fillId="2" borderId="6" xfId="54" applyNumberFormat="1" applyFont="1" applyFill="1" applyBorder="1" applyAlignment="1">
      <alignment horizontal="center"/>
    </xf>
    <xf numFmtId="0" fontId="149" fillId="2" borderId="2" xfId="54" applyNumberFormat="1" applyFont="1" applyFill="1" applyBorder="1" applyAlignment="1">
      <alignment horizontal="left"/>
    </xf>
    <xf numFmtId="0" fontId="149" fillId="2" borderId="5" xfId="54" applyNumberFormat="1" applyFont="1" applyFill="1" applyBorder="1" applyAlignment="1">
      <alignment horizontal="left"/>
    </xf>
    <xf numFmtId="49" fontId="149" fillId="2" borderId="52" xfId="54" applyNumberFormat="1" applyFont="1" applyFill="1" applyBorder="1" applyAlignment="1">
      <alignment horizontal="center"/>
    </xf>
    <xf numFmtId="49" fontId="149" fillId="2" borderId="32" xfId="54" applyNumberFormat="1" applyFont="1" applyFill="1" applyBorder="1" applyAlignment="1">
      <alignment horizontal="center"/>
    </xf>
    <xf numFmtId="49" fontId="149" fillId="2" borderId="33" xfId="54" applyNumberFormat="1" applyFont="1" applyFill="1" applyBorder="1" applyAlignment="1">
      <alignment horizontal="center"/>
    </xf>
    <xf numFmtId="49" fontId="133" fillId="2" borderId="15" xfId="54" applyNumberFormat="1" applyFont="1" applyFill="1" applyBorder="1" applyAlignment="1">
      <alignment horizontal="center"/>
    </xf>
    <xf numFmtId="49" fontId="133" fillId="2" borderId="32" xfId="54" applyNumberFormat="1" applyFont="1" applyFill="1" applyBorder="1" applyAlignment="1">
      <alignment horizontal="center"/>
    </xf>
    <xf numFmtId="49" fontId="133" fillId="2" borderId="33" xfId="54" applyNumberFormat="1" applyFont="1" applyFill="1" applyBorder="1" applyAlignment="1">
      <alignment horizontal="center"/>
    </xf>
    <xf numFmtId="4" fontId="149" fillId="2" borderId="15" xfId="54" applyNumberFormat="1" applyFont="1" applyFill="1" applyBorder="1" applyAlignment="1">
      <alignment horizontal="center"/>
    </xf>
    <xf numFmtId="4" fontId="149" fillId="2" borderId="32" xfId="54" applyNumberFormat="1" applyFont="1" applyFill="1" applyBorder="1" applyAlignment="1">
      <alignment horizontal="center"/>
    </xf>
    <xf numFmtId="4" fontId="149" fillId="2" borderId="33" xfId="54" applyNumberFormat="1" applyFont="1" applyFill="1" applyBorder="1" applyAlignment="1">
      <alignment horizontal="center"/>
    </xf>
    <xf numFmtId="4" fontId="133" fillId="2" borderId="15" xfId="54" applyNumberFormat="1" applyFont="1" applyFill="1" applyBorder="1" applyAlignment="1">
      <alignment horizontal="center"/>
    </xf>
    <xf numFmtId="4" fontId="133" fillId="2" borderId="32" xfId="54" applyNumberFormat="1" applyFont="1" applyFill="1" applyBorder="1" applyAlignment="1">
      <alignment horizontal="center"/>
    </xf>
    <xf numFmtId="4" fontId="133" fillId="2" borderId="31" xfId="54" applyNumberFormat="1" applyFont="1" applyFill="1" applyBorder="1" applyAlignment="1">
      <alignment horizontal="center"/>
    </xf>
    <xf numFmtId="49" fontId="133" fillId="0" borderId="38" xfId="54" applyNumberFormat="1" applyFont="1" applyBorder="1" applyAlignment="1">
      <alignment horizontal="center" vertical="top"/>
    </xf>
    <xf numFmtId="49" fontId="133" fillId="0" borderId="54" xfId="54" applyNumberFormat="1" applyFont="1" applyBorder="1" applyAlignment="1">
      <alignment horizontal="center" vertical="top"/>
    </xf>
    <xf numFmtId="49" fontId="133" fillId="0" borderId="39" xfId="54" applyNumberFormat="1" applyFont="1" applyBorder="1" applyAlignment="1">
      <alignment horizontal="center" vertical="top"/>
    </xf>
    <xf numFmtId="49" fontId="133" fillId="0" borderId="5" xfId="54" applyNumberFormat="1" applyFont="1" applyBorder="1" applyAlignment="1">
      <alignment horizontal="left"/>
    </xf>
    <xf numFmtId="0" fontId="133" fillId="0" borderId="3" xfId="54" applyNumberFormat="1" applyFont="1" applyBorder="1" applyAlignment="1">
      <alignment horizontal="left"/>
    </xf>
    <xf numFmtId="0" fontId="133" fillId="0" borderId="22" xfId="54" applyNumberFormat="1" applyFont="1" applyBorder="1" applyAlignment="1">
      <alignment horizontal="left"/>
    </xf>
    <xf numFmtId="0" fontId="133" fillId="0" borderId="9" xfId="54" applyNumberFormat="1" applyFont="1" applyBorder="1" applyAlignment="1">
      <alignment horizontal="right"/>
    </xf>
    <xf numFmtId="0" fontId="133" fillId="0" borderId="3" xfId="54" applyNumberFormat="1" applyFont="1" applyBorder="1" applyAlignment="1">
      <alignment horizontal="right"/>
    </xf>
    <xf numFmtId="0" fontId="133" fillId="0" borderId="9" xfId="54" applyNumberFormat="1" applyFont="1" applyBorder="1" applyAlignment="1">
      <alignment horizontal="center" vertical="center" wrapText="1"/>
    </xf>
    <xf numFmtId="0" fontId="133" fillId="0" borderId="3" xfId="54" applyNumberFormat="1" applyFont="1" applyBorder="1" applyAlignment="1">
      <alignment horizontal="center" vertical="center" wrapText="1"/>
    </xf>
    <xf numFmtId="0" fontId="133" fillId="0" borderId="51" xfId="54" applyNumberFormat="1" applyFont="1" applyBorder="1" applyAlignment="1">
      <alignment horizontal="center" vertical="center" wrapText="1"/>
    </xf>
    <xf numFmtId="0" fontId="133" fillId="0" borderId="10" xfId="54" applyNumberFormat="1" applyFont="1" applyBorder="1" applyAlignment="1">
      <alignment horizontal="center" vertical="center" wrapText="1"/>
    </xf>
    <xf numFmtId="0" fontId="149" fillId="0" borderId="0" xfId="54" applyNumberFormat="1" applyFont="1" applyBorder="1" applyAlignment="1">
      <alignment horizontal="center"/>
    </xf>
    <xf numFmtId="0" fontId="133" fillId="0" borderId="22" xfId="54" applyNumberFormat="1" applyFont="1" applyBorder="1" applyAlignment="1">
      <alignment horizontal="center" vertical="center" wrapText="1"/>
    </xf>
    <xf numFmtId="0" fontId="133" fillId="0" borderId="0" xfId="54" applyNumberFormat="1" applyFont="1" applyBorder="1" applyAlignment="1">
      <alignment horizontal="center" vertical="center" wrapText="1"/>
    </xf>
    <xf numFmtId="0" fontId="133" fillId="0" borderId="26" xfId="54" applyNumberFormat="1" applyFont="1" applyBorder="1" applyAlignment="1">
      <alignment horizontal="center" vertical="center" wrapText="1"/>
    </xf>
    <xf numFmtId="0" fontId="133" fillId="0" borderId="49" xfId="54" applyNumberFormat="1" applyFont="1" applyBorder="1" applyAlignment="1">
      <alignment horizontal="center" vertical="center" wrapText="1"/>
    </xf>
    <xf numFmtId="0" fontId="133" fillId="0" borderId="3" xfId="54" applyNumberFormat="1" applyFont="1" applyBorder="1" applyAlignment="1">
      <alignment horizontal="center" vertical="center"/>
    </xf>
    <xf numFmtId="0" fontId="133" fillId="0" borderId="22" xfId="54" applyNumberFormat="1" applyFont="1" applyBorder="1" applyAlignment="1">
      <alignment horizontal="center" vertical="center"/>
    </xf>
    <xf numFmtId="0" fontId="133" fillId="0" borderId="0" xfId="54" applyNumberFormat="1" applyFont="1" applyBorder="1" applyAlignment="1">
      <alignment horizontal="center" vertical="center"/>
    </xf>
    <xf numFmtId="0" fontId="133" fillId="0" borderId="26" xfId="54" applyNumberFormat="1" applyFont="1" applyBorder="1" applyAlignment="1">
      <alignment horizontal="center" vertical="center"/>
    </xf>
    <xf numFmtId="0" fontId="133" fillId="0" borderId="10" xfId="54" applyNumberFormat="1" applyFont="1" applyBorder="1" applyAlignment="1">
      <alignment horizontal="center" vertical="center"/>
    </xf>
    <xf numFmtId="0" fontId="133" fillId="0" borderId="49" xfId="54" applyNumberFormat="1" applyFont="1" applyBorder="1" applyAlignment="1">
      <alignment horizontal="center" vertical="center"/>
    </xf>
    <xf numFmtId="0" fontId="133" fillId="0" borderId="25" xfId="54" applyNumberFormat="1" applyFont="1" applyBorder="1" applyAlignment="1">
      <alignment horizontal="center" vertical="center" wrapText="1"/>
    </xf>
    <xf numFmtId="0" fontId="133" fillId="0" borderId="2" xfId="54" applyNumberFormat="1" applyFont="1" applyBorder="1" applyAlignment="1">
      <alignment horizontal="center" vertical="center"/>
    </xf>
    <xf numFmtId="0" fontId="133" fillId="0" borderId="5" xfId="54" applyNumberFormat="1" applyFont="1" applyBorder="1" applyAlignment="1">
      <alignment horizontal="center" vertical="center"/>
    </xf>
    <xf numFmtId="0" fontId="133" fillId="0" borderId="51" xfId="54" applyNumberFormat="1" applyFont="1" applyBorder="1" applyAlignment="1">
      <alignment horizontal="center" vertical="top" wrapText="1"/>
    </xf>
    <xf numFmtId="0" fontId="133" fillId="0" borderId="10" xfId="54" applyNumberFormat="1" applyFont="1" applyBorder="1" applyAlignment="1">
      <alignment horizontal="center" vertical="top" wrapText="1"/>
    </xf>
    <xf numFmtId="0" fontId="133" fillId="0" borderId="49" xfId="54" applyNumberFormat="1" applyFont="1" applyBorder="1" applyAlignment="1">
      <alignment horizontal="center" vertical="top" wrapText="1"/>
    </xf>
    <xf numFmtId="0" fontId="126" fillId="0" borderId="1" xfId="25" applyFont="1" applyBorder="1" applyAlignment="1">
      <alignment horizontal="center" vertical="center" wrapText="1"/>
    </xf>
    <xf numFmtId="0" fontId="126" fillId="0" borderId="0" xfId="25" applyFont="1" applyAlignment="1">
      <alignment horizontal="center"/>
    </xf>
    <xf numFmtId="0" fontId="126" fillId="0" borderId="10" xfId="25" applyFont="1" applyBorder="1" applyAlignment="1">
      <alignment horizontal="center"/>
    </xf>
    <xf numFmtId="0" fontId="126" fillId="0" borderId="7" xfId="25" applyFont="1" applyBorder="1" applyAlignment="1">
      <alignment horizontal="center" vertical="center" wrapText="1"/>
    </xf>
    <xf numFmtId="0" fontId="126" fillId="0" borderId="8" xfId="25" applyFont="1" applyBorder="1" applyAlignment="1">
      <alignment horizontal="center" vertical="center" wrapText="1"/>
    </xf>
    <xf numFmtId="0" fontId="126" fillId="0" borderId="4" xfId="25" applyFont="1" applyBorder="1" applyAlignment="1">
      <alignment horizontal="center" vertical="center" wrapText="1"/>
    </xf>
    <xf numFmtId="0" fontId="47" fillId="2" borderId="7" xfId="25" applyFont="1" applyFill="1" applyBorder="1" applyAlignment="1">
      <alignment horizontal="center" vertical="center" wrapText="1"/>
    </xf>
    <xf numFmtId="0" fontId="47" fillId="2" borderId="8" xfId="25" applyFont="1" applyFill="1" applyBorder="1" applyAlignment="1">
      <alignment horizontal="center" vertical="center" wrapText="1"/>
    </xf>
    <xf numFmtId="0" fontId="47" fillId="2" borderId="4" xfId="25" applyFont="1" applyFill="1" applyBorder="1" applyAlignment="1">
      <alignment horizontal="center" vertical="center" wrapText="1"/>
    </xf>
    <xf numFmtId="0" fontId="90" fillId="2" borderId="0" xfId="25" applyFont="1" applyFill="1" applyAlignment="1">
      <alignment horizontal="center" vertical="center" wrapText="1"/>
    </xf>
    <xf numFmtId="0" fontId="47" fillId="2" borderId="10" xfId="25" applyFont="1" applyFill="1" applyBorder="1" applyAlignment="1">
      <alignment horizontal="center" vertical="center"/>
    </xf>
    <xf numFmtId="0" fontId="47" fillId="2" borderId="3" xfId="25" applyFont="1" applyFill="1" applyBorder="1" applyAlignment="1">
      <alignment horizontal="center" vertical="center"/>
    </xf>
    <xf numFmtId="0" fontId="47" fillId="2" borderId="1" xfId="25" applyFont="1" applyFill="1" applyBorder="1" applyAlignment="1">
      <alignment horizontal="center" vertical="center" wrapText="1"/>
    </xf>
    <xf numFmtId="0" fontId="39" fillId="2" borderId="1" xfId="25" applyFont="1" applyFill="1" applyBorder="1" applyAlignment="1">
      <alignment horizontal="center" vertical="center" wrapText="1"/>
    </xf>
    <xf numFmtId="0" fontId="43" fillId="2" borderId="1" xfId="25" applyFont="1" applyFill="1" applyBorder="1" applyAlignment="1">
      <alignment horizontal="center" vertical="center" wrapText="1"/>
    </xf>
    <xf numFmtId="0" fontId="43" fillId="0" borderId="0" xfId="25" applyFont="1" applyAlignment="1">
      <alignment horizontal="center" wrapText="1"/>
    </xf>
    <xf numFmtId="0" fontId="43" fillId="0" borderId="1" xfId="25" applyFont="1" applyBorder="1" applyAlignment="1">
      <alignment horizontal="center" vertical="center" wrapText="1"/>
    </xf>
    <xf numFmtId="0" fontId="43" fillId="0" borderId="7" xfId="25" applyFont="1" applyBorder="1" applyAlignment="1">
      <alignment horizontal="center" vertical="center" wrapText="1"/>
    </xf>
    <xf numFmtId="0" fontId="43" fillId="0" borderId="8" xfId="25" applyFont="1" applyBorder="1" applyAlignment="1">
      <alignment horizontal="center" vertical="center" wrapText="1"/>
    </xf>
    <xf numFmtId="0" fontId="43" fillId="0" borderId="4" xfId="25" applyFont="1" applyBorder="1" applyAlignment="1">
      <alignment horizontal="center" vertical="center" wrapText="1"/>
    </xf>
    <xf numFmtId="0" fontId="8" fillId="0" borderId="2" xfId="25" applyFont="1" applyBorder="1" applyAlignment="1">
      <alignment horizontal="center" vertical="center" wrapText="1"/>
    </xf>
    <xf numFmtId="0" fontId="8" fillId="0" borderId="5" xfId="25" applyFont="1" applyBorder="1" applyAlignment="1">
      <alignment horizontal="center" vertical="center" wrapText="1"/>
    </xf>
    <xf numFmtId="0" fontId="8" fillId="0" borderId="6" xfId="25" applyFont="1" applyBorder="1" applyAlignment="1">
      <alignment horizontal="center" vertical="center" wrapText="1"/>
    </xf>
    <xf numFmtId="0" fontId="73" fillId="0" borderId="7" xfId="25" applyBorder="1" applyAlignment="1">
      <alignment horizontal="center" vertical="center"/>
    </xf>
    <xf numFmtId="0" fontId="73" fillId="0" borderId="8" xfId="25" applyBorder="1" applyAlignment="1">
      <alignment horizontal="center" vertical="center"/>
    </xf>
    <xf numFmtId="0" fontId="73" fillId="0" borderId="4" xfId="25" applyBorder="1" applyAlignment="1">
      <alignment horizontal="center" vertical="center"/>
    </xf>
    <xf numFmtId="0" fontId="73" fillId="0" borderId="10" xfId="25" applyBorder="1" applyAlignment="1">
      <alignment horizontal="center"/>
    </xf>
    <xf numFmtId="0" fontId="73" fillId="0" borderId="0" xfId="25" applyAlignment="1">
      <alignment horizontal="center" wrapText="1"/>
    </xf>
    <xf numFmtId="0" fontId="49" fillId="0" borderId="0" xfId="25" applyFont="1" applyAlignment="1">
      <alignment horizontal="left"/>
    </xf>
    <xf numFmtId="0" fontId="49" fillId="0" borderId="0" xfId="25" applyFont="1" applyAlignment="1">
      <alignment horizontal="center"/>
    </xf>
    <xf numFmtId="0" fontId="48" fillId="0" borderId="1" xfId="25" applyFont="1" applyBorder="1" applyAlignment="1">
      <alignment horizontal="center" vertical="center" wrapText="1"/>
    </xf>
    <xf numFmtId="0" fontId="48" fillId="0" borderId="2" xfId="25" applyFont="1" applyBorder="1" applyAlignment="1">
      <alignment horizontal="center" vertical="center" wrapText="1"/>
    </xf>
    <xf numFmtId="0" fontId="48" fillId="0" borderId="5" xfId="25" applyFont="1" applyBorder="1" applyAlignment="1">
      <alignment horizontal="center" vertical="center" wrapText="1"/>
    </xf>
    <xf numFmtId="0" fontId="48" fillId="0" borderId="6" xfId="25" applyFont="1" applyBorder="1" applyAlignment="1">
      <alignment horizontal="center" vertical="center" wrapText="1"/>
    </xf>
    <xf numFmtId="0" fontId="129" fillId="5" borderId="2" xfId="25" applyFont="1" applyFill="1" applyBorder="1" applyAlignment="1">
      <alignment horizontal="center" vertical="center"/>
    </xf>
    <xf numFmtId="0" fontId="129" fillId="5" borderId="5" xfId="25" applyFont="1" applyFill="1" applyBorder="1" applyAlignment="1">
      <alignment horizontal="center" vertical="center"/>
    </xf>
    <xf numFmtId="0" fontId="173" fillId="8" borderId="2" xfId="25" applyFont="1" applyFill="1" applyBorder="1" applyAlignment="1">
      <alignment horizontal="center" vertical="center" wrapText="1"/>
    </xf>
    <xf numFmtId="0" fontId="173" fillId="8" borderId="5" xfId="25" applyFont="1" applyFill="1" applyBorder="1" applyAlignment="1">
      <alignment horizontal="center" vertical="center" wrapText="1"/>
    </xf>
    <xf numFmtId="0" fontId="173" fillId="8" borderId="6" xfId="25" applyFont="1" applyFill="1" applyBorder="1" applyAlignment="1">
      <alignment horizontal="center" vertical="center" wrapText="1"/>
    </xf>
    <xf numFmtId="0" fontId="173" fillId="3" borderId="2" xfId="25" applyFont="1" applyFill="1" applyBorder="1" applyAlignment="1">
      <alignment horizontal="center" vertical="center" wrapText="1"/>
    </xf>
    <xf numFmtId="0" fontId="173" fillId="3" borderId="5" xfId="25" applyFont="1" applyFill="1" applyBorder="1" applyAlignment="1">
      <alignment horizontal="center" vertical="center" wrapText="1"/>
    </xf>
    <xf numFmtId="0" fontId="173" fillId="3" borderId="6" xfId="25" applyFont="1" applyFill="1" applyBorder="1" applyAlignment="1">
      <alignment horizontal="center" vertical="center" wrapText="1"/>
    </xf>
    <xf numFmtId="0" fontId="170" fillId="0" borderId="0" xfId="25" applyFont="1" applyAlignment="1">
      <alignment horizontal="center"/>
    </xf>
    <xf numFmtId="0" fontId="171" fillId="0" borderId="0" xfId="25" applyFont="1" applyAlignment="1">
      <alignment horizontal="center"/>
    </xf>
    <xf numFmtId="0" fontId="172" fillId="0" borderId="10" xfId="25" applyFont="1" applyBorder="1" applyAlignment="1">
      <alignment horizontal="center"/>
    </xf>
    <xf numFmtId="0" fontId="83" fillId="0" borderId="1" xfId="25" applyFont="1" applyBorder="1" applyAlignment="1">
      <alignment horizontal="center" vertical="center" wrapText="1"/>
    </xf>
    <xf numFmtId="0" fontId="48" fillId="0" borderId="2" xfId="25" applyFont="1" applyBorder="1" applyAlignment="1">
      <alignment horizontal="center" vertical="center"/>
    </xf>
    <xf numFmtId="0" fontId="48" fillId="0" borderId="5" xfId="25" applyFont="1" applyBorder="1" applyAlignment="1">
      <alignment horizontal="center" vertical="center"/>
    </xf>
    <xf numFmtId="0" fontId="48" fillId="0" borderId="6" xfId="25" applyFont="1" applyBorder="1" applyAlignment="1">
      <alignment horizontal="center" vertical="center"/>
    </xf>
    <xf numFmtId="0" fontId="73" fillId="2" borderId="8" xfId="25" applyFill="1" applyBorder="1" applyAlignment="1">
      <alignment horizontal="center" vertical="center" wrapText="1"/>
    </xf>
    <xf numFmtId="0" fontId="73" fillId="2" borderId="4" xfId="25" applyFill="1" applyBorder="1" applyAlignment="1">
      <alignment horizontal="center" vertical="center" wrapText="1"/>
    </xf>
    <xf numFmtId="0" fontId="3" fillId="2" borderId="8" xfId="25" applyFont="1" applyFill="1" applyBorder="1" applyAlignment="1">
      <alignment horizontal="center" vertical="center"/>
    </xf>
    <xf numFmtId="0" fontId="3" fillId="2" borderId="4" xfId="25" applyFont="1" applyFill="1" applyBorder="1" applyAlignment="1">
      <alignment horizontal="center" vertical="center"/>
    </xf>
    <xf numFmtId="0" fontId="73" fillId="2" borderId="1" xfId="25" applyFill="1" applyBorder="1" applyAlignment="1">
      <alignment horizontal="center" vertical="center" wrapText="1"/>
    </xf>
    <xf numFmtId="0" fontId="53" fillId="2" borderId="1" xfId="25" applyFont="1" applyFill="1" applyBorder="1" applyAlignment="1">
      <alignment horizontal="left" vertical="center" wrapText="1"/>
    </xf>
    <xf numFmtId="0" fontId="176" fillId="0" borderId="0" xfId="25" applyFont="1" applyAlignment="1">
      <alignment horizontal="center" wrapText="1"/>
    </xf>
    <xf numFmtId="0" fontId="175" fillId="0" borderId="0" xfId="25" applyFont="1" applyAlignment="1">
      <alignment horizontal="center"/>
    </xf>
    <xf numFmtId="0" fontId="53" fillId="2" borderId="1" xfId="25" applyFont="1" applyFill="1" applyBorder="1" applyAlignment="1">
      <alignment horizontal="center" vertical="center" wrapText="1"/>
    </xf>
    <xf numFmtId="0" fontId="53" fillId="2" borderId="7" xfId="25" applyFont="1" applyFill="1" applyBorder="1" applyAlignment="1">
      <alignment horizontal="center" vertical="center" wrapText="1"/>
    </xf>
    <xf numFmtId="0" fontId="53" fillId="2" borderId="4" xfId="25" applyFont="1" applyFill="1" applyBorder="1" applyAlignment="1">
      <alignment horizontal="center" vertical="center" wrapText="1"/>
    </xf>
    <xf numFmtId="0" fontId="53" fillId="2" borderId="2" xfId="25" applyFont="1" applyFill="1" applyBorder="1" applyAlignment="1">
      <alignment horizontal="center" vertical="center" wrapText="1"/>
    </xf>
    <xf numFmtId="0" fontId="53" fillId="2" borderId="5" xfId="25" applyFont="1" applyFill="1" applyBorder="1" applyAlignment="1">
      <alignment horizontal="center" vertical="center" wrapText="1"/>
    </xf>
    <xf numFmtId="0" fontId="53" fillId="2" borderId="6" xfId="25" applyFont="1" applyFill="1" applyBorder="1" applyAlignment="1">
      <alignment horizontal="center" vertical="center" wrapText="1"/>
    </xf>
    <xf numFmtId="0" fontId="38" fillId="2" borderId="7" xfId="25" applyFont="1" applyFill="1" applyBorder="1" applyAlignment="1">
      <alignment horizontal="center" vertical="center" wrapText="1"/>
    </xf>
    <xf numFmtId="0" fontId="38" fillId="2" borderId="4" xfId="25" applyFont="1" applyFill="1" applyBorder="1" applyAlignment="1">
      <alignment horizontal="center" vertical="center" wrapText="1"/>
    </xf>
    <xf numFmtId="0" fontId="38" fillId="2" borderId="1" xfId="25" applyFont="1" applyFill="1" applyBorder="1" applyAlignment="1">
      <alignment horizontal="center" vertical="center" wrapText="1"/>
    </xf>
    <xf numFmtId="0" fontId="38" fillId="2" borderId="8" xfId="25" applyFont="1" applyFill="1" applyBorder="1" applyAlignment="1">
      <alignment horizontal="center" vertical="center" wrapText="1"/>
    </xf>
    <xf numFmtId="0" fontId="48" fillId="2" borderId="0" xfId="25" applyFont="1" applyFill="1" applyAlignment="1">
      <alignment horizontal="center" vertical="center" wrapText="1"/>
    </xf>
    <xf numFmtId="0" fontId="38" fillId="2" borderId="7" xfId="25" applyFont="1" applyFill="1" applyBorder="1" applyAlignment="1">
      <alignment horizontal="center" wrapText="1"/>
    </xf>
    <xf numFmtId="0" fontId="38" fillId="2" borderId="4" xfId="25" applyFont="1" applyFill="1" applyBorder="1" applyAlignment="1">
      <alignment horizontal="center" wrapText="1"/>
    </xf>
    <xf numFmtId="0" fontId="48" fillId="2" borderId="1" xfId="25" applyFont="1" applyFill="1" applyBorder="1" applyAlignment="1">
      <alignment horizontal="center" vertical="center" wrapText="1"/>
    </xf>
    <xf numFmtId="0" fontId="8" fillId="0" borderId="1" xfId="25" applyFont="1" applyBorder="1" applyAlignment="1">
      <alignment horizontal="center" vertical="center" wrapText="1"/>
    </xf>
    <xf numFmtId="0" fontId="73" fillId="0" borderId="0" xfId="25" applyBorder="1" applyAlignment="1">
      <alignment horizontal="center"/>
    </xf>
    <xf numFmtId="0" fontId="90" fillId="0" borderId="0" xfId="25" applyFont="1" applyAlignment="1">
      <alignment horizontal="center" wrapText="1"/>
    </xf>
    <xf numFmtId="0" fontId="47" fillId="0" borderId="1" xfId="25" applyFont="1" applyBorder="1" applyAlignment="1">
      <alignment horizontal="center" vertical="center" wrapText="1"/>
    </xf>
    <xf numFmtId="4" fontId="47" fillId="0" borderId="1" xfId="25" applyNumberFormat="1" applyFont="1" applyBorder="1" applyAlignment="1">
      <alignment horizontal="center" vertical="center" wrapText="1"/>
    </xf>
    <xf numFmtId="0" fontId="47" fillId="0" borderId="10" xfId="25" applyFont="1" applyBorder="1" applyAlignment="1">
      <alignment horizontal="center"/>
    </xf>
    <xf numFmtId="0" fontId="47" fillId="0" borderId="7" xfId="25" applyFont="1" applyBorder="1" applyAlignment="1">
      <alignment horizontal="center" vertical="center" wrapText="1"/>
    </xf>
    <xf numFmtId="0" fontId="47" fillId="0" borderId="8" xfId="25" applyFont="1" applyBorder="1" applyAlignment="1">
      <alignment horizontal="center" vertical="center" wrapText="1"/>
    </xf>
    <xf numFmtId="0" fontId="47" fillId="0" borderId="4" xfId="25" applyFont="1" applyBorder="1" applyAlignment="1">
      <alignment horizontal="center" vertical="center" wrapText="1"/>
    </xf>
    <xf numFmtId="0" fontId="8" fillId="2" borderId="1" xfId="25" applyFont="1" applyFill="1" applyBorder="1" applyAlignment="1">
      <alignment horizontal="center" vertical="center" wrapText="1"/>
    </xf>
    <xf numFmtId="4" fontId="8" fillId="2" borderId="1" xfId="25" applyNumberFormat="1" applyFont="1" applyFill="1" applyBorder="1" applyAlignment="1">
      <alignment horizontal="center" vertical="center" wrapText="1"/>
    </xf>
    <xf numFmtId="0" fontId="73" fillId="2" borderId="0" xfId="25" applyFill="1" applyBorder="1" applyAlignment="1">
      <alignment horizontal="center"/>
    </xf>
    <xf numFmtId="0" fontId="73" fillId="2" borderId="0" xfId="25" applyFill="1" applyBorder="1" applyAlignment="1">
      <alignment horizontal="center" wrapText="1"/>
    </xf>
    <xf numFmtId="0" fontId="73" fillId="2" borderId="10" xfId="25" applyFill="1" applyBorder="1" applyAlignment="1">
      <alignment horizontal="center"/>
    </xf>
    <xf numFmtId="0" fontId="48" fillId="0" borderId="0" xfId="25" applyFont="1" applyBorder="1" applyAlignment="1">
      <alignment horizontal="center" wrapText="1"/>
    </xf>
    <xf numFmtId="0" fontId="48" fillId="0" borderId="10" xfId="25" applyFont="1" applyBorder="1" applyAlignment="1">
      <alignment horizontal="center" wrapText="1"/>
    </xf>
    <xf numFmtId="0" fontId="37" fillId="0" borderId="1" xfId="71" applyFont="1" applyFill="1" applyBorder="1" applyAlignment="1">
      <alignment horizontal="center" vertical="center" wrapText="1"/>
    </xf>
    <xf numFmtId="0" fontId="34" fillId="0" borderId="1" xfId="71" applyFont="1" applyFill="1" applyBorder="1" applyAlignment="1">
      <alignment horizontal="center" vertical="center" wrapText="1"/>
    </xf>
    <xf numFmtId="0" fontId="37" fillId="0" borderId="2" xfId="71" applyFont="1" applyFill="1" applyBorder="1" applyAlignment="1">
      <alignment horizontal="center" vertical="center" wrapText="1"/>
    </xf>
    <xf numFmtId="0" fontId="37" fillId="0" borderId="6" xfId="71" applyFont="1" applyFill="1" applyBorder="1" applyAlignment="1">
      <alignment horizontal="center" vertical="center" wrapText="1"/>
    </xf>
    <xf numFmtId="170" fontId="179" fillId="0" borderId="7" xfId="74" applyNumberFormat="1" applyFont="1" applyFill="1" applyBorder="1" applyAlignment="1">
      <alignment horizontal="center" vertical="center" wrapText="1"/>
    </xf>
    <xf numFmtId="170" fontId="179" fillId="0" borderId="8" xfId="74" applyNumberFormat="1" applyFont="1" applyFill="1" applyBorder="1" applyAlignment="1">
      <alignment horizontal="center" vertical="center" wrapText="1"/>
    </xf>
    <xf numFmtId="170" fontId="179" fillId="0" borderId="4" xfId="74" applyNumberFormat="1" applyFont="1" applyFill="1" applyBorder="1" applyAlignment="1">
      <alignment horizontal="center" vertical="center" wrapText="1"/>
    </xf>
    <xf numFmtId="0" fontId="40" fillId="0" borderId="1" xfId="74" applyFill="1" applyBorder="1" applyAlignment="1">
      <alignment horizontal="center" vertical="center" textRotation="90" wrapText="1"/>
    </xf>
    <xf numFmtId="0" fontId="40" fillId="0" borderId="1" xfId="74" applyFill="1" applyBorder="1" applyAlignment="1">
      <alignment horizontal="center" vertical="center" wrapText="1"/>
    </xf>
    <xf numFmtId="4" fontId="33" fillId="0" borderId="1" xfId="71" applyNumberFormat="1" applyFont="1" applyFill="1" applyBorder="1" applyAlignment="1">
      <alignment horizontal="center" vertical="center" wrapText="1"/>
    </xf>
    <xf numFmtId="4" fontId="37" fillId="0" borderId="2" xfId="71" applyNumberFormat="1" applyFont="1" applyFill="1" applyBorder="1" applyAlignment="1">
      <alignment horizontal="center" vertical="center" wrapText="1"/>
    </xf>
    <xf numFmtId="4" fontId="37" fillId="0" borderId="5" xfId="71" applyNumberFormat="1" applyFont="1" applyFill="1" applyBorder="1" applyAlignment="1">
      <alignment horizontal="center" vertical="center" wrapText="1"/>
    </xf>
    <xf numFmtId="4" fontId="37" fillId="0" borderId="6" xfId="71" applyNumberFormat="1" applyFont="1" applyFill="1" applyBorder="1" applyAlignment="1">
      <alignment horizontal="center" vertical="center" wrapText="1"/>
    </xf>
    <xf numFmtId="170" fontId="45" fillId="0" borderId="1" xfId="74" applyNumberFormat="1" applyFont="1" applyFill="1" applyBorder="1" applyAlignment="1">
      <alignment horizontal="center" vertical="center" wrapText="1"/>
    </xf>
    <xf numFmtId="0" fontId="43" fillId="0" borderId="1" xfId="8" applyFont="1" applyFill="1" applyBorder="1" applyAlignment="1">
      <alignment horizontal="center" vertical="center" textRotation="90" wrapText="1"/>
    </xf>
    <xf numFmtId="0" fontId="43" fillId="0" borderId="7" xfId="8" applyFont="1" applyFill="1" applyBorder="1" applyAlignment="1">
      <alignment horizontal="center" vertical="center" textRotation="90" wrapText="1"/>
    </xf>
    <xf numFmtId="0" fontId="43" fillId="0" borderId="4" xfId="8" applyFont="1" applyFill="1" applyBorder="1" applyAlignment="1">
      <alignment horizontal="center" vertical="center" textRotation="90" wrapText="1"/>
    </xf>
    <xf numFmtId="0" fontId="43" fillId="0" borderId="2" xfId="8" applyFont="1" applyFill="1" applyBorder="1" applyAlignment="1">
      <alignment horizontal="center" vertical="center" wrapText="1"/>
    </xf>
    <xf numFmtId="0" fontId="43" fillId="0" borderId="6" xfId="8" applyFont="1" applyFill="1" applyBorder="1" applyAlignment="1">
      <alignment horizontal="center" vertical="center" wrapText="1"/>
    </xf>
    <xf numFmtId="0" fontId="19" fillId="0" borderId="0" xfId="74" applyFont="1" applyFill="1" applyAlignment="1">
      <alignment horizontal="left" vertical="center"/>
    </xf>
    <xf numFmtId="0" fontId="20" fillId="0" borderId="0" xfId="74" applyFont="1" applyFill="1" applyAlignment="1">
      <alignment horizontal="center" vertical="center" wrapText="1"/>
    </xf>
    <xf numFmtId="0" fontId="40" fillId="0" borderId="2" xfId="74" applyFill="1" applyBorder="1" applyAlignment="1">
      <alignment horizontal="center" vertical="center" wrapText="1"/>
    </xf>
    <xf numFmtId="0" fontId="40" fillId="0" borderId="5" xfId="74" applyFill="1" applyBorder="1" applyAlignment="1">
      <alignment horizontal="center" vertical="center" wrapText="1"/>
    </xf>
    <xf numFmtId="0" fontId="40" fillId="0" borderId="6" xfId="74" applyFill="1" applyBorder="1" applyAlignment="1">
      <alignment horizontal="center" vertical="center" wrapText="1"/>
    </xf>
    <xf numFmtId="0" fontId="18" fillId="2" borderId="0" xfId="30" applyFont="1" applyFill="1" applyAlignment="1">
      <alignment horizontal="center"/>
    </xf>
    <xf numFmtId="0" fontId="18" fillId="2" borderId="3" xfId="30" applyFont="1" applyFill="1" applyBorder="1" applyAlignment="1">
      <alignment horizontal="center"/>
    </xf>
    <xf numFmtId="0" fontId="38" fillId="2" borderId="0" xfId="24" applyFont="1" applyFill="1" applyAlignment="1">
      <alignment horizontal="left" wrapText="1"/>
    </xf>
    <xf numFmtId="0" fontId="48" fillId="2" borderId="0" xfId="30" applyFont="1" applyFill="1" applyAlignment="1">
      <alignment wrapText="1"/>
    </xf>
    <xf numFmtId="0" fontId="45" fillId="2" borderId="0" xfId="30" applyFont="1" applyFill="1" applyAlignment="1">
      <alignment horizontal="center" vertical="center" wrapText="1"/>
    </xf>
    <xf numFmtId="0" fontId="45" fillId="2" borderId="0" xfId="30" applyFont="1" applyFill="1" applyAlignment="1">
      <alignment horizontal="center"/>
    </xf>
    <xf numFmtId="0" fontId="48" fillId="2" borderId="1" xfId="30" applyFont="1" applyFill="1" applyBorder="1" applyAlignment="1">
      <alignment horizontal="center" vertical="center" wrapText="1"/>
    </xf>
    <xf numFmtId="0" fontId="58" fillId="2" borderId="0" xfId="30" applyFont="1" applyFill="1" applyAlignment="1">
      <alignment horizontal="left" vertical="center" wrapText="1"/>
    </xf>
    <xf numFmtId="0" fontId="58" fillId="2" borderId="10" xfId="30" applyFont="1" applyFill="1" applyBorder="1" applyAlignment="1">
      <alignment horizontal="center"/>
    </xf>
    <xf numFmtId="4" fontId="58" fillId="2" borderId="10" xfId="30" applyNumberFormat="1" applyFont="1" applyFill="1" applyBorder="1" applyAlignment="1">
      <alignment horizontal="center"/>
    </xf>
    <xf numFmtId="0" fontId="55" fillId="0" borderId="0" xfId="73" applyFont="1" applyFill="1" applyAlignment="1">
      <alignment horizontal="center"/>
    </xf>
    <xf numFmtId="0" fontId="39" fillId="0" borderId="0" xfId="73" applyFont="1" applyFill="1" applyAlignment="1">
      <alignment horizontal="center"/>
    </xf>
    <xf numFmtId="0" fontId="135" fillId="0" borderId="2" xfId="73" applyFont="1" applyBorder="1" applyAlignment="1">
      <alignment horizontal="center" vertical="center" wrapText="1"/>
    </xf>
    <xf numFmtId="0" fontId="135" fillId="0" borderId="5" xfId="73" applyFont="1" applyBorder="1" applyAlignment="1">
      <alignment horizontal="center" vertical="center" wrapText="1"/>
    </xf>
    <xf numFmtId="0" fontId="55" fillId="0" borderId="2" xfId="73" applyFont="1" applyBorder="1" applyAlignment="1">
      <alignment horizontal="center" vertical="center" wrapText="1"/>
    </xf>
    <xf numFmtId="0" fontId="55" fillId="0" borderId="5" xfId="73" applyFont="1" applyBorder="1" applyAlignment="1">
      <alignment horizontal="center" vertical="center" wrapText="1"/>
    </xf>
    <xf numFmtId="0" fontId="39" fillId="0" borderId="7" xfId="73" applyFont="1" applyFill="1" applyBorder="1" applyAlignment="1">
      <alignment horizontal="center" vertical="center" wrapText="1"/>
    </xf>
    <xf numFmtId="0" fontId="39" fillId="0" borderId="8" xfId="73" applyFont="1" applyFill="1" applyBorder="1" applyAlignment="1">
      <alignment horizontal="center" vertical="center" wrapText="1"/>
    </xf>
    <xf numFmtId="0" fontId="39" fillId="0" borderId="4" xfId="73" applyFont="1" applyFill="1" applyBorder="1" applyAlignment="1">
      <alignment horizontal="center" vertical="center" wrapText="1"/>
    </xf>
    <xf numFmtId="167" fontId="39" fillId="0" borderId="1" xfId="73" applyNumberFormat="1" applyFont="1" applyBorder="1" applyAlignment="1">
      <alignment horizontal="center" vertical="center" wrapText="1"/>
    </xf>
    <xf numFmtId="167" fontId="38" fillId="0" borderId="1" xfId="73" applyNumberFormat="1" applyFont="1" applyFill="1" applyBorder="1" applyAlignment="1">
      <alignment horizontal="center" vertical="center" wrapText="1"/>
    </xf>
    <xf numFmtId="167" fontId="39" fillId="0" borderId="1" xfId="73" applyNumberFormat="1" applyFont="1" applyFill="1" applyBorder="1" applyAlignment="1">
      <alignment horizontal="center" vertical="center" wrapText="1"/>
    </xf>
    <xf numFmtId="0" fontId="39" fillId="0" borderId="1" xfId="73" applyFont="1" applyBorder="1" applyAlignment="1">
      <alignment horizontal="center" vertical="center" wrapText="1"/>
    </xf>
    <xf numFmtId="0" fontId="55" fillId="0" borderId="6" xfId="73" applyFont="1" applyBorder="1" applyAlignment="1">
      <alignment horizontal="center" vertical="center" wrapText="1"/>
    </xf>
    <xf numFmtId="167" fontId="39" fillId="0" borderId="1" xfId="29" applyNumberFormat="1" applyFont="1" applyBorder="1" applyAlignment="1">
      <alignment horizontal="center" vertical="center" wrapText="1"/>
    </xf>
    <xf numFmtId="0" fontId="84" fillId="0" borderId="1" xfId="73" applyFont="1" applyBorder="1" applyAlignment="1">
      <alignment horizontal="center" vertical="center" wrapText="1"/>
    </xf>
    <xf numFmtId="3" fontId="123" fillId="0" borderId="1" xfId="73" applyNumberFormat="1" applyFont="1" applyFill="1" applyBorder="1" applyAlignment="1">
      <alignment horizontal="center" vertical="center"/>
    </xf>
    <xf numFmtId="3" fontId="123" fillId="0" borderId="1" xfId="73" applyNumberFormat="1" applyFont="1" applyFill="1" applyBorder="1" applyAlignment="1">
      <alignment horizontal="center" vertical="center" wrapText="1"/>
    </xf>
    <xf numFmtId="1" fontId="123" fillId="0" borderId="1" xfId="73" applyNumberFormat="1" applyFont="1" applyFill="1" applyBorder="1" applyAlignment="1">
      <alignment horizontal="center" vertical="center"/>
    </xf>
    <xf numFmtId="167" fontId="16" fillId="0" borderId="1" xfId="24" applyNumberFormat="1" applyFont="1" applyFill="1" applyBorder="1" applyAlignment="1">
      <alignment horizontal="center" vertical="center" wrapText="1"/>
    </xf>
    <xf numFmtId="167" fontId="38" fillId="0" borderId="7" xfId="73" applyNumberFormat="1" applyFont="1" applyFill="1" applyBorder="1" applyAlignment="1">
      <alignment horizontal="center" vertical="center" wrapText="1"/>
    </xf>
    <xf numFmtId="167" fontId="38" fillId="0" borderId="4" xfId="73" applyNumberFormat="1" applyFont="1" applyFill="1" applyBorder="1" applyAlignment="1">
      <alignment horizontal="center" vertical="center" wrapText="1"/>
    </xf>
    <xf numFmtId="167" fontId="39" fillId="0" borderId="2" xfId="29" applyNumberFormat="1" applyFont="1" applyBorder="1" applyAlignment="1">
      <alignment horizontal="center" vertical="center" wrapText="1"/>
    </xf>
    <xf numFmtId="167" fontId="39" fillId="0" borderId="6" xfId="29" applyNumberFormat="1" applyFont="1" applyBorder="1" applyAlignment="1">
      <alignment horizontal="center" vertical="center" wrapText="1"/>
    </xf>
    <xf numFmtId="167" fontId="38" fillId="0" borderId="7" xfId="73" applyNumberFormat="1" applyFont="1" applyBorder="1" applyAlignment="1">
      <alignment horizontal="center" vertical="center" wrapText="1"/>
    </xf>
    <xf numFmtId="167" fontId="38" fillId="0" borderId="4" xfId="73" applyNumberFormat="1" applyFont="1" applyBorder="1" applyAlignment="1">
      <alignment horizontal="center" vertical="center" wrapText="1"/>
    </xf>
    <xf numFmtId="167" fontId="84" fillId="0" borderId="7" xfId="73" applyNumberFormat="1" applyFont="1" applyBorder="1" applyAlignment="1">
      <alignment horizontal="center" vertical="center" wrapText="1"/>
    </xf>
    <xf numFmtId="167" fontId="84" fillId="0" borderId="8" xfId="73" applyNumberFormat="1" applyFont="1" applyBorder="1" applyAlignment="1">
      <alignment horizontal="center" vertical="center" wrapText="1"/>
    </xf>
    <xf numFmtId="167" fontId="84" fillId="0" borderId="4" xfId="73" applyNumberFormat="1" applyFont="1" applyBorder="1" applyAlignment="1">
      <alignment horizontal="center" vertical="center" wrapText="1"/>
    </xf>
    <xf numFmtId="0" fontId="84" fillId="0" borderId="7" xfId="73" applyFont="1" applyBorder="1" applyAlignment="1">
      <alignment horizontal="center" vertical="center" wrapText="1"/>
    </xf>
    <xf numFmtId="0" fontId="84" fillId="0" borderId="8" xfId="73" applyFont="1" applyBorder="1" applyAlignment="1">
      <alignment horizontal="center" vertical="center" wrapText="1"/>
    </xf>
    <xf numFmtId="0" fontId="84" fillId="0" borderId="4" xfId="73" applyFont="1" applyBorder="1" applyAlignment="1">
      <alignment horizontal="center" vertical="center" wrapText="1"/>
    </xf>
    <xf numFmtId="0" fontId="39" fillId="0" borderId="9" xfId="73" applyFont="1" applyBorder="1" applyAlignment="1">
      <alignment horizontal="center" vertical="center" wrapText="1"/>
    </xf>
    <xf numFmtId="0" fontId="39" fillId="0" borderId="3" xfId="73" applyFont="1" applyBorder="1" applyAlignment="1">
      <alignment horizontal="center" vertical="center" wrapText="1"/>
    </xf>
    <xf numFmtId="0" fontId="39" fillId="0" borderId="22" xfId="73" applyFont="1" applyBorder="1" applyAlignment="1">
      <alignment horizontal="center" vertical="center" wrapText="1"/>
    </xf>
    <xf numFmtId="0" fontId="39" fillId="0" borderId="51" xfId="73" applyFont="1" applyBorder="1" applyAlignment="1">
      <alignment horizontal="center" vertical="center" wrapText="1"/>
    </xf>
    <xf numFmtId="0" fontId="39" fillId="0" borderId="10" xfId="73" applyFont="1" applyBorder="1" applyAlignment="1">
      <alignment horizontal="center" vertical="center" wrapText="1"/>
    </xf>
    <xf numFmtId="0" fontId="39" fillId="0" borderId="49" xfId="73" applyFont="1" applyBorder="1" applyAlignment="1">
      <alignment horizontal="center" vertical="center" wrapText="1"/>
    </xf>
    <xf numFmtId="4" fontId="84" fillId="0" borderId="1" xfId="73" applyNumberFormat="1" applyFont="1" applyBorder="1" applyAlignment="1">
      <alignment horizontal="center" vertical="center" wrapText="1"/>
    </xf>
    <xf numFmtId="0" fontId="73" fillId="0" borderId="0" xfId="25" applyBorder="1" applyAlignment="1">
      <alignment horizontal="center" wrapText="1"/>
    </xf>
    <xf numFmtId="0" fontId="10" fillId="0" borderId="1" xfId="25" applyFont="1" applyBorder="1" applyAlignment="1">
      <alignment horizontal="center" vertical="center" wrapText="1"/>
    </xf>
    <xf numFmtId="0" fontId="48" fillId="2" borderId="0" xfId="25" applyFont="1" applyFill="1" applyBorder="1" applyAlignment="1">
      <alignment horizontal="center" wrapText="1"/>
    </xf>
    <xf numFmtId="0" fontId="48" fillId="2" borderId="0" xfId="25" applyFont="1" applyFill="1" applyBorder="1" applyAlignment="1">
      <alignment horizontal="center"/>
    </xf>
    <xf numFmtId="0" fontId="66" fillId="2" borderId="7" xfId="31" applyNumberFormat="1" applyFont="1" applyFill="1" applyBorder="1" applyAlignment="1" applyProtection="1">
      <alignment horizontal="center" vertical="center" wrapText="1"/>
    </xf>
    <xf numFmtId="0" fontId="66" fillId="2" borderId="8" xfId="31" applyNumberFormat="1" applyFont="1" applyFill="1" applyBorder="1" applyAlignment="1" applyProtection="1">
      <alignment horizontal="center" vertical="center" wrapText="1"/>
    </xf>
    <xf numFmtId="0" fontId="66" fillId="2" borderId="4" xfId="31" applyNumberFormat="1" applyFont="1" applyFill="1" applyBorder="1" applyAlignment="1" applyProtection="1">
      <alignment horizontal="center" vertical="center" wrapText="1"/>
    </xf>
    <xf numFmtId="0" fontId="60" fillId="2" borderId="3" xfId="31" applyFont="1" applyFill="1" applyBorder="1" applyAlignment="1">
      <alignment horizontal="center" vertical="top"/>
    </xf>
    <xf numFmtId="4" fontId="60" fillId="2" borderId="3" xfId="31" applyNumberFormat="1" applyFont="1" applyFill="1" applyBorder="1" applyAlignment="1">
      <alignment horizontal="center" vertical="top"/>
    </xf>
    <xf numFmtId="0" fontId="66" fillId="2" borderId="1" xfId="31" applyNumberFormat="1" applyFont="1" applyFill="1" applyBorder="1" applyAlignment="1" applyProtection="1">
      <alignment horizontal="center" vertical="center" wrapText="1"/>
    </xf>
    <xf numFmtId="0" fontId="47" fillId="2" borderId="10" xfId="31" applyFont="1" applyFill="1" applyBorder="1" applyAlignment="1">
      <alignment horizontal="center" vertical="center" wrapText="1"/>
    </xf>
    <xf numFmtId="4" fontId="60" fillId="2" borderId="10" xfId="31" applyNumberFormat="1" applyFont="1" applyFill="1" applyBorder="1" applyAlignment="1">
      <alignment horizontal="center"/>
    </xf>
    <xf numFmtId="49" fontId="111" fillId="2" borderId="1" xfId="31" applyNumberFormat="1" applyFont="1" applyFill="1" applyBorder="1" applyAlignment="1" applyProtection="1">
      <alignment horizontal="center" vertical="center"/>
    </xf>
    <xf numFmtId="49" fontId="112" fillId="2" borderId="1" xfId="31" applyNumberFormat="1" applyFont="1" applyFill="1" applyBorder="1" applyAlignment="1" applyProtection="1">
      <alignment horizontal="center" vertical="center"/>
    </xf>
    <xf numFmtId="0" fontId="119" fillId="2" borderId="0" xfId="31" applyNumberFormat="1" applyFont="1" applyFill="1" applyBorder="1" applyAlignment="1" applyProtection="1">
      <alignment horizontal="left" vertical="top" wrapText="1"/>
    </xf>
    <xf numFmtId="0" fontId="110" fillId="2" borderId="1" xfId="31" applyNumberFormat="1" applyFont="1" applyFill="1" applyBorder="1" applyAlignment="1" applyProtection="1">
      <alignment horizontal="center" vertical="center" wrapText="1"/>
    </xf>
    <xf numFmtId="0" fontId="68" fillId="2" borderId="0" xfId="24" applyFont="1" applyFill="1" applyAlignment="1">
      <alignment horizontal="right" wrapText="1"/>
    </xf>
    <xf numFmtId="0" fontId="107" fillId="2" borderId="0" xfId="31" applyNumberFormat="1" applyFont="1" applyFill="1" applyBorder="1" applyAlignment="1" applyProtection="1">
      <alignment horizontal="center" vertical="top" wrapText="1"/>
    </xf>
    <xf numFmtId="49" fontId="69" fillId="2" borderId="1" xfId="31" applyNumberFormat="1" applyFont="1" applyFill="1" applyBorder="1" applyAlignment="1" applyProtection="1">
      <alignment horizontal="center" vertical="center"/>
    </xf>
    <xf numFmtId="0" fontId="69" fillId="2" borderId="1" xfId="31" applyNumberFormat="1" applyFont="1" applyFill="1" applyBorder="1" applyAlignment="1" applyProtection="1">
      <alignment horizontal="center" vertical="center" wrapText="1"/>
    </xf>
    <xf numFmtId="0" fontId="71" fillId="2" borderId="1" xfId="31" applyNumberFormat="1" applyFont="1" applyFill="1" applyBorder="1" applyAlignment="1" applyProtection="1">
      <alignment horizontal="center" vertical="center" wrapText="1"/>
    </xf>
    <xf numFmtId="0" fontId="109" fillId="2" borderId="1" xfId="31" applyNumberFormat="1" applyFont="1" applyFill="1" applyBorder="1" applyAlignment="1" applyProtection="1">
      <alignment horizontal="center" vertical="top"/>
    </xf>
    <xf numFmtId="0" fontId="109" fillId="2" borderId="1" xfId="31" applyNumberFormat="1" applyFont="1" applyFill="1" applyBorder="1" applyAlignment="1" applyProtection="1">
      <alignment horizontal="center" vertical="top" wrapText="1"/>
    </xf>
    <xf numFmtId="0" fontId="74" fillId="0" borderId="1" xfId="25" applyFont="1" applyFill="1" applyBorder="1" applyAlignment="1">
      <alignment horizontal="center" vertical="center" wrapText="1"/>
    </xf>
    <xf numFmtId="4" fontId="169" fillId="0" borderId="7" xfId="25" applyNumberFormat="1" applyFont="1" applyFill="1" applyBorder="1" applyAlignment="1">
      <alignment horizontal="left" vertical="center" wrapText="1"/>
    </xf>
    <xf numFmtId="4" fontId="169" fillId="0" borderId="8" xfId="25" applyNumberFormat="1" applyFont="1" applyFill="1" applyBorder="1" applyAlignment="1">
      <alignment horizontal="left" vertical="center" wrapText="1"/>
    </xf>
    <xf numFmtId="4" fontId="169" fillId="0" borderId="4" xfId="25" applyNumberFormat="1" applyFont="1" applyFill="1" applyBorder="1" applyAlignment="1">
      <alignment horizontal="left" vertical="center" wrapText="1"/>
    </xf>
    <xf numFmtId="0" fontId="74" fillId="0" borderId="0" xfId="25" applyFont="1" applyFill="1" applyAlignment="1">
      <alignment horizontal="center" vertical="center" wrapText="1"/>
    </xf>
    <xf numFmtId="4" fontId="17" fillId="0" borderId="18" xfId="3" applyNumberFormat="1" applyFont="1" applyFill="1" applyBorder="1" applyAlignment="1">
      <alignment horizontal="center" vertical="center" wrapText="1"/>
    </xf>
    <xf numFmtId="4" fontId="17" fillId="0" borderId="21" xfId="3" applyNumberFormat="1" applyFont="1" applyFill="1" applyBorder="1" applyAlignment="1">
      <alignment horizontal="center" vertical="center" wrapText="1"/>
    </xf>
    <xf numFmtId="0" fontId="100" fillId="0" borderId="11" xfId="3" applyFont="1" applyBorder="1" applyAlignment="1">
      <alignment horizontal="left" vertical="center" wrapText="1"/>
    </xf>
    <xf numFmtId="0" fontId="100" fillId="0" borderId="78" xfId="3" applyFont="1" applyBorder="1" applyAlignment="1">
      <alignment horizontal="left" vertical="center" wrapText="1"/>
    </xf>
    <xf numFmtId="0" fontId="17" fillId="0" borderId="79" xfId="3" applyFont="1" applyBorder="1" applyAlignment="1">
      <alignment horizontal="center" vertical="center"/>
    </xf>
    <xf numFmtId="0" fontId="17" fillId="0" borderId="57" xfId="3" applyFont="1" applyBorder="1" applyAlignment="1">
      <alignment horizontal="center" vertical="center"/>
    </xf>
    <xf numFmtId="0" fontId="100" fillId="0" borderId="16" xfId="3" applyFont="1" applyBorder="1" applyAlignment="1">
      <alignment horizontal="left" vertical="center" wrapText="1"/>
    </xf>
    <xf numFmtId="0" fontId="17" fillId="0" borderId="77" xfId="3" applyFont="1" applyBorder="1" applyAlignment="1">
      <alignment horizontal="center" vertical="center"/>
    </xf>
    <xf numFmtId="0" fontId="17" fillId="0" borderId="76" xfId="3" applyFont="1" applyBorder="1" applyAlignment="1">
      <alignment horizontal="center" vertical="center"/>
    </xf>
    <xf numFmtId="0" fontId="17" fillId="0" borderId="58" xfId="3" applyFont="1" applyBorder="1" applyAlignment="1">
      <alignment horizontal="center" vertical="center"/>
    </xf>
    <xf numFmtId="0" fontId="17" fillId="0" borderId="11" xfId="3" applyFont="1" applyBorder="1" applyAlignment="1">
      <alignment horizontal="center" vertical="center"/>
    </xf>
    <xf numFmtId="0" fontId="17" fillId="0" borderId="16" xfId="3" applyFont="1" applyBorder="1" applyAlignment="1">
      <alignment horizontal="center" vertical="center"/>
    </xf>
    <xf numFmtId="0" fontId="17" fillId="0" borderId="78" xfId="3" applyFont="1" applyBorder="1" applyAlignment="1">
      <alignment horizontal="center" vertical="center"/>
    </xf>
    <xf numFmtId="0" fontId="17" fillId="0" borderId="11" xfId="3" applyFont="1" applyBorder="1" applyAlignment="1">
      <alignment horizontal="center" vertical="center" wrapText="1"/>
    </xf>
    <xf numFmtId="0" fontId="17" fillId="0" borderId="16" xfId="3" applyFont="1" applyBorder="1" applyAlignment="1">
      <alignment horizontal="center" vertical="center" wrapText="1"/>
    </xf>
    <xf numFmtId="0" fontId="100" fillId="0" borderId="17" xfId="3" applyFont="1" applyBorder="1" applyAlignment="1">
      <alignment horizontal="center" vertical="center" wrapText="1"/>
    </xf>
    <xf numFmtId="0" fontId="100" fillId="0" borderId="1" xfId="3" applyFont="1" applyBorder="1" applyAlignment="1">
      <alignment horizontal="center" vertical="center" wrapText="1"/>
    </xf>
    <xf numFmtId="0" fontId="100" fillId="0" borderId="18" xfId="3" applyFont="1" applyBorder="1" applyAlignment="1">
      <alignment horizontal="center" vertical="center" wrapText="1"/>
    </xf>
    <xf numFmtId="0" fontId="17" fillId="0" borderId="20" xfId="3" applyFont="1" applyFill="1" applyBorder="1" applyAlignment="1">
      <alignment horizontal="center" vertical="center" wrapText="1"/>
    </xf>
    <xf numFmtId="0" fontId="17" fillId="0" borderId="24" xfId="3" applyFont="1" applyFill="1" applyBorder="1" applyAlignment="1">
      <alignment horizontal="center" vertical="center" wrapText="1"/>
    </xf>
    <xf numFmtId="0" fontId="17" fillId="0" borderId="7" xfId="3" applyFont="1" applyBorder="1" applyAlignment="1">
      <alignment horizontal="center" vertical="center" wrapText="1"/>
    </xf>
    <xf numFmtId="0" fontId="17" fillId="0" borderId="8" xfId="3" applyFont="1" applyBorder="1" applyAlignment="1">
      <alignment horizontal="center" vertical="center" wrapText="1"/>
    </xf>
    <xf numFmtId="0" fontId="17" fillId="0" borderId="21" xfId="3" applyFont="1" applyBorder="1" applyAlignment="1">
      <alignment horizontal="center" vertical="center" wrapText="1"/>
    </xf>
    <xf numFmtId="0" fontId="17" fillId="0" borderId="72" xfId="3" applyFont="1" applyBorder="1" applyAlignment="1">
      <alignment horizontal="center" vertical="center" wrapText="1"/>
    </xf>
    <xf numFmtId="0" fontId="17" fillId="0" borderId="22" xfId="3" applyFont="1" applyBorder="1" applyAlignment="1">
      <alignment horizontal="center" vertical="center" wrapText="1"/>
    </xf>
    <xf numFmtId="0" fontId="17" fillId="0" borderId="26" xfId="3" applyFont="1" applyBorder="1" applyAlignment="1">
      <alignment horizontal="center" vertical="center" wrapText="1"/>
    </xf>
    <xf numFmtId="0" fontId="17" fillId="0" borderId="20" xfId="3" applyFont="1" applyBorder="1" applyAlignment="1">
      <alignment horizontal="center" vertical="center" wrapText="1"/>
    </xf>
    <xf numFmtId="0" fontId="17" fillId="0" borderId="24" xfId="3" applyFont="1" applyBorder="1" applyAlignment="1">
      <alignment horizontal="center" vertical="center" wrapText="1"/>
    </xf>
    <xf numFmtId="0" fontId="17" fillId="0" borderId="9" xfId="3" applyFont="1" applyBorder="1" applyAlignment="1">
      <alignment horizontal="center" vertical="center" wrapText="1"/>
    </xf>
    <xf numFmtId="0" fontId="17" fillId="0" borderId="25" xfId="3" applyFont="1" applyBorder="1" applyAlignment="1">
      <alignment horizontal="center" vertical="center" wrapText="1"/>
    </xf>
    <xf numFmtId="0" fontId="100" fillId="2" borderId="0" xfId="3" applyFont="1" applyFill="1" applyAlignment="1">
      <alignment horizontal="center" wrapText="1"/>
    </xf>
    <xf numFmtId="0" fontId="100" fillId="0" borderId="11" xfId="3" applyFont="1" applyBorder="1" applyAlignment="1">
      <alignment horizontal="center" vertical="center"/>
    </xf>
    <xf numFmtId="0" fontId="100" fillId="0" borderId="16" xfId="3" applyFont="1" applyBorder="1" applyAlignment="1">
      <alignment horizontal="center" vertical="center"/>
    </xf>
    <xf numFmtId="0" fontId="100" fillId="0" borderId="12" xfId="3" applyFont="1" applyBorder="1" applyAlignment="1">
      <alignment horizontal="center" vertical="center" wrapText="1"/>
    </xf>
    <xf numFmtId="0" fontId="100" fillId="0" borderId="15" xfId="3" applyFont="1" applyBorder="1" applyAlignment="1">
      <alignment horizontal="center" vertical="center" wrapText="1"/>
    </xf>
    <xf numFmtId="0" fontId="100" fillId="0" borderId="2" xfId="3" applyFont="1" applyBorder="1" applyAlignment="1">
      <alignment horizontal="center" vertical="center" wrapText="1"/>
    </xf>
    <xf numFmtId="0" fontId="100" fillId="0" borderId="13" xfId="3" applyFont="1" applyBorder="1" applyAlignment="1">
      <alignment horizontal="center" vertical="center" wrapText="1"/>
    </xf>
    <xf numFmtId="0" fontId="100" fillId="0" borderId="33" xfId="3" applyFont="1" applyBorder="1" applyAlignment="1">
      <alignment horizontal="center" vertical="center" wrapText="1"/>
    </xf>
    <xf numFmtId="0" fontId="100" fillId="0" borderId="6" xfId="3" applyFont="1" applyBorder="1" applyAlignment="1">
      <alignment horizontal="center" vertical="center" wrapText="1"/>
    </xf>
    <xf numFmtId="0" fontId="100" fillId="0" borderId="14" xfId="3" applyFont="1" applyBorder="1" applyAlignment="1">
      <alignment horizontal="center" vertical="center" wrapText="1"/>
    </xf>
    <xf numFmtId="0" fontId="17" fillId="0" borderId="14" xfId="3" applyFont="1" applyFill="1" applyBorder="1" applyAlignment="1">
      <alignment horizontal="center" vertical="center" wrapText="1"/>
    </xf>
    <xf numFmtId="0" fontId="17" fillId="0" borderId="1" xfId="3" applyFont="1" applyFill="1" applyBorder="1" applyAlignment="1">
      <alignment horizontal="center" vertical="center" wrapText="1"/>
    </xf>
    <xf numFmtId="0" fontId="17" fillId="0" borderId="13" xfId="3" applyFont="1" applyFill="1" applyBorder="1" applyAlignment="1">
      <alignment horizontal="center" vertical="center" wrapText="1"/>
    </xf>
    <xf numFmtId="0" fontId="17" fillId="0" borderId="18" xfId="3" applyFont="1" applyFill="1" applyBorder="1" applyAlignment="1">
      <alignment horizontal="center" vertical="center" wrapText="1"/>
    </xf>
    <xf numFmtId="0" fontId="17" fillId="0" borderId="7" xfId="3" applyFont="1" applyFill="1" applyBorder="1" applyAlignment="1">
      <alignment horizontal="center" vertical="center" wrapText="1"/>
    </xf>
    <xf numFmtId="0" fontId="17" fillId="0" borderId="8" xfId="3" applyFont="1" applyFill="1" applyBorder="1" applyAlignment="1">
      <alignment horizontal="center" vertical="center" wrapText="1"/>
    </xf>
    <xf numFmtId="4" fontId="17" fillId="0" borderId="21" xfId="3" applyNumberFormat="1" applyFont="1" applyBorder="1" applyAlignment="1">
      <alignment horizontal="center" vertical="center" wrapText="1"/>
    </xf>
    <xf numFmtId="4" fontId="17" fillId="0" borderId="72" xfId="3" applyNumberFormat="1" applyFont="1" applyBorder="1" applyAlignment="1">
      <alignment horizontal="center" vertical="center" wrapText="1"/>
    </xf>
    <xf numFmtId="4" fontId="17" fillId="0" borderId="1" xfId="3" applyNumberFormat="1" applyFont="1" applyFill="1" applyBorder="1" applyAlignment="1">
      <alignment horizontal="center" vertical="center" wrapText="1"/>
    </xf>
    <xf numFmtId="4" fontId="17" fillId="0" borderId="7" xfId="3" applyNumberFormat="1" applyFont="1" applyFill="1" applyBorder="1" applyAlignment="1">
      <alignment horizontal="center" vertical="center" wrapText="1"/>
    </xf>
    <xf numFmtId="0" fontId="48" fillId="0" borderId="2" xfId="71" applyFont="1" applyBorder="1" applyAlignment="1">
      <alignment horizontal="center" vertical="center" wrapText="1"/>
    </xf>
    <xf numFmtId="0" fontId="48" fillId="0" borderId="6" xfId="71" applyFont="1" applyBorder="1" applyAlignment="1">
      <alignment horizontal="center" vertical="center" wrapText="1"/>
    </xf>
    <xf numFmtId="0" fontId="48" fillId="0" borderId="1" xfId="71" applyFont="1" applyBorder="1" applyAlignment="1">
      <alignment horizontal="center" vertical="center" wrapText="1"/>
    </xf>
    <xf numFmtId="0" fontId="48" fillId="0" borderId="7" xfId="71" applyFont="1" applyBorder="1" applyAlignment="1">
      <alignment horizontal="center" vertical="center" wrapText="1"/>
    </xf>
    <xf numFmtId="0" fontId="48" fillId="0" borderId="4" xfId="71" applyFont="1" applyBorder="1" applyAlignment="1">
      <alignment horizontal="center" vertical="center" wrapText="1"/>
    </xf>
    <xf numFmtId="0" fontId="48" fillId="0" borderId="2" xfId="71" applyFont="1" applyBorder="1" applyAlignment="1">
      <alignment horizontal="left"/>
    </xf>
    <xf numFmtId="0" fontId="48" fillId="0" borderId="5" xfId="71" applyFont="1" applyBorder="1" applyAlignment="1">
      <alignment horizontal="left"/>
    </xf>
    <xf numFmtId="0" fontId="48" fillId="0" borderId="6" xfId="71" applyFont="1" applyBorder="1" applyAlignment="1">
      <alignment horizontal="left"/>
    </xf>
    <xf numFmtId="0" fontId="47" fillId="0" borderId="0" xfId="71" applyFont="1" applyBorder="1" applyAlignment="1">
      <alignment horizontal="left"/>
    </xf>
    <xf numFmtId="0" fontId="88" fillId="0" borderId="0" xfId="24" applyFont="1" applyFill="1" applyAlignment="1">
      <alignment horizontal="left" wrapText="1"/>
    </xf>
    <xf numFmtId="0" fontId="64" fillId="0" borderId="0" xfId="71" applyFont="1" applyAlignment="1">
      <alignment horizontal="center"/>
    </xf>
    <xf numFmtId="0" fontId="48" fillId="0" borderId="0" xfId="71" applyFont="1" applyBorder="1" applyAlignment="1">
      <alignment horizontal="center"/>
    </xf>
    <xf numFmtId="0" fontId="38" fillId="0" borderId="0" xfId="24" applyFont="1" applyFill="1" applyAlignment="1">
      <alignment horizontal="left" wrapText="1"/>
    </xf>
    <xf numFmtId="0" fontId="48" fillId="0" borderId="0" xfId="71" applyFont="1" applyFill="1" applyAlignment="1">
      <alignment wrapText="1"/>
    </xf>
    <xf numFmtId="0" fontId="48" fillId="0" borderId="0" xfId="71" applyFont="1" applyAlignment="1">
      <alignment horizontal="center"/>
    </xf>
    <xf numFmtId="0" fontId="45" fillId="2" borderId="0" xfId="71" applyFont="1" applyFill="1" applyAlignment="1">
      <alignment horizontal="center"/>
    </xf>
    <xf numFmtId="0" fontId="48" fillId="2" borderId="0" xfId="71" applyFont="1" applyFill="1" applyAlignment="1">
      <alignment horizontal="center"/>
    </xf>
    <xf numFmtId="0" fontId="48" fillId="2" borderId="1" xfId="71" applyFont="1" applyFill="1" applyBorder="1" applyAlignment="1">
      <alignment horizontal="center" vertical="center" wrapText="1"/>
    </xf>
    <xf numFmtId="0" fontId="49" fillId="0" borderId="10" xfId="71" applyFont="1" applyBorder="1" applyAlignment="1">
      <alignment horizontal="center"/>
    </xf>
    <xf numFmtId="0" fontId="43" fillId="0" borderId="1" xfId="71" applyFont="1" applyBorder="1" applyAlignment="1">
      <alignment horizontal="center" vertical="center" wrapText="1"/>
    </xf>
    <xf numFmtId="0" fontId="48" fillId="0" borderId="0" xfId="24" applyFont="1" applyFill="1" applyAlignment="1">
      <alignment horizontal="left" wrapText="1"/>
    </xf>
    <xf numFmtId="0" fontId="80" fillId="0" borderId="0" xfId="71" applyFont="1" applyAlignment="1">
      <alignment horizontal="center" vertical="center" wrapText="1"/>
    </xf>
    <xf numFmtId="0" fontId="81" fillId="0" borderId="0" xfId="71" applyFont="1" applyAlignment="1">
      <alignment horizontal="center" vertical="center" wrapText="1"/>
    </xf>
    <xf numFmtId="0" fontId="18" fillId="0" borderId="1" xfId="71" applyFont="1" applyBorder="1" applyAlignment="1">
      <alignment horizontal="center" vertical="center" wrapText="1"/>
    </xf>
    <xf numFmtId="0" fontId="44" fillId="0" borderId="1" xfId="71" applyFont="1" applyBorder="1" applyAlignment="1">
      <alignment horizontal="center" vertical="center" wrapText="1"/>
    </xf>
    <xf numFmtId="0" fontId="44" fillId="2" borderId="1" xfId="71" applyFont="1" applyFill="1" applyBorder="1" applyAlignment="1">
      <alignment horizontal="center" vertical="center" wrapText="1"/>
    </xf>
    <xf numFmtId="0" fontId="38" fillId="0" borderId="12" xfId="71" applyFont="1" applyBorder="1" applyAlignment="1">
      <alignment horizontal="center" vertical="center" wrapText="1"/>
    </xf>
    <xf numFmtId="0" fontId="38" fillId="0" borderId="14" xfId="71" applyFont="1" applyBorder="1" applyAlignment="1">
      <alignment horizontal="center" vertical="center" wrapText="1"/>
    </xf>
    <xf numFmtId="0" fontId="38" fillId="0" borderId="13" xfId="71" applyFont="1" applyBorder="1" applyAlignment="1">
      <alignment horizontal="center" vertical="center" wrapText="1"/>
    </xf>
    <xf numFmtId="0" fontId="38" fillId="0" borderId="0" xfId="71" applyFont="1" applyAlignment="1">
      <alignment horizontal="center"/>
    </xf>
    <xf numFmtId="0" fontId="121" fillId="0" borderId="0" xfId="71" applyFont="1" applyFill="1" applyAlignment="1">
      <alignment horizontal="center" vertical="center" wrapText="1"/>
    </xf>
    <xf numFmtId="0" fontId="55" fillId="0" borderId="0" xfId="71" applyFont="1" applyFill="1" applyAlignment="1">
      <alignment horizontal="center" vertical="center" wrapText="1"/>
    </xf>
    <xf numFmtId="0" fontId="38" fillId="0" borderId="17" xfId="71" applyFont="1" applyBorder="1" applyAlignment="1">
      <alignment horizontal="center" vertical="center" wrapText="1"/>
    </xf>
    <xf numFmtId="0" fontId="38" fillId="0" borderId="1" xfId="71" applyFont="1" applyBorder="1" applyAlignment="1">
      <alignment horizontal="center" vertical="center" wrapText="1"/>
    </xf>
    <xf numFmtId="0" fontId="38" fillId="0" borderId="18" xfId="71" applyFont="1" applyBorder="1" applyAlignment="1">
      <alignment horizontal="center" vertical="center" wrapText="1"/>
    </xf>
    <xf numFmtId="0" fontId="38" fillId="0" borderId="15" xfId="71" applyFont="1" applyBorder="1" applyAlignment="1">
      <alignment horizontal="center" vertical="center" wrapText="1"/>
    </xf>
    <xf numFmtId="0" fontId="38" fillId="0" borderId="33" xfId="71" applyFont="1" applyBorder="1" applyAlignment="1">
      <alignment horizontal="center" vertical="center" wrapText="1"/>
    </xf>
    <xf numFmtId="167" fontId="123" fillId="0" borderId="1" xfId="73" applyNumberFormat="1" applyFont="1" applyFill="1" applyBorder="1" applyAlignment="1">
      <alignment horizontal="center" vertical="center"/>
    </xf>
    <xf numFmtId="0" fontId="39" fillId="0" borderId="0" xfId="73" applyFont="1" applyAlignment="1">
      <alignment horizontal="center"/>
    </xf>
    <xf numFmtId="0" fontId="110" fillId="0" borderId="0" xfId="24" applyFont="1" applyFill="1" applyBorder="1" applyAlignment="1">
      <alignment horizontal="left" wrapText="1"/>
    </xf>
    <xf numFmtId="0" fontId="127" fillId="0" borderId="0" xfId="24" applyFont="1" applyFill="1" applyBorder="1" applyAlignment="1">
      <alignment horizontal="center" vertical="center" wrapText="1"/>
    </xf>
    <xf numFmtId="0" fontId="110" fillId="0" borderId="1" xfId="24" applyFont="1" applyFill="1" applyBorder="1" applyAlignment="1">
      <alignment horizontal="center" vertical="center" wrapText="1"/>
    </xf>
    <xf numFmtId="49" fontId="110" fillId="0" borderId="1" xfId="24" applyNumberFormat="1" applyFont="1" applyFill="1" applyBorder="1" applyAlignment="1">
      <alignment horizontal="center" vertical="center" wrapText="1"/>
    </xf>
    <xf numFmtId="0" fontId="68" fillId="0" borderId="0" xfId="24" applyFont="1" applyFill="1" applyAlignment="1">
      <alignment horizontal="right" wrapText="1"/>
    </xf>
    <xf numFmtId="49" fontId="110" fillId="2" borderId="1" xfId="24" applyNumberFormat="1" applyFont="1" applyFill="1" applyBorder="1" applyAlignment="1">
      <alignment horizontal="center" vertical="center" wrapText="1"/>
    </xf>
    <xf numFmtId="0" fontId="48" fillId="0" borderId="0" xfId="67" applyFont="1" applyFill="1" applyBorder="1" applyAlignment="1">
      <alignment horizontal="center" vertical="center" wrapText="1"/>
    </xf>
    <xf numFmtId="0" fontId="83" fillId="0" borderId="3" xfId="71" applyFont="1" applyFill="1" applyBorder="1" applyAlignment="1">
      <alignment horizontal="center" vertical="center"/>
    </xf>
    <xf numFmtId="0" fontId="83" fillId="0" borderId="0" xfId="71" applyFont="1" applyFill="1" applyBorder="1" applyAlignment="1">
      <alignment horizontal="center" vertical="center"/>
    </xf>
    <xf numFmtId="0" fontId="48" fillId="2" borderId="1" xfId="67" applyFont="1" applyFill="1" applyBorder="1" applyAlignment="1">
      <alignment horizontal="center" vertical="center" wrapText="1"/>
    </xf>
    <xf numFmtId="0" fontId="48" fillId="0" borderId="0" xfId="67" applyFont="1" applyFill="1" applyAlignment="1">
      <alignment horizontal="center" vertical="center" wrapText="1"/>
    </xf>
    <xf numFmtId="0" fontId="48" fillId="0" borderId="26" xfId="67" applyFont="1" applyFill="1" applyBorder="1" applyAlignment="1">
      <alignment horizontal="center" vertical="center" wrapText="1"/>
    </xf>
    <xf numFmtId="0" fontId="64" fillId="0" borderId="7" xfId="67" applyFont="1" applyFill="1" applyBorder="1" applyAlignment="1">
      <alignment horizontal="center" vertical="center" wrapText="1"/>
    </xf>
    <xf numFmtId="0" fontId="64" fillId="0" borderId="8" xfId="67" applyFont="1" applyFill="1" applyBorder="1" applyAlignment="1">
      <alignment horizontal="center" vertical="center" wrapText="1"/>
    </xf>
    <xf numFmtId="0" fontId="64" fillId="0" borderId="4" xfId="67" applyFont="1" applyFill="1" applyBorder="1" applyAlignment="1">
      <alignment horizontal="center" vertical="center" wrapText="1"/>
    </xf>
    <xf numFmtId="4" fontId="48" fillId="7" borderId="25" xfId="67" applyNumberFormat="1" applyFont="1" applyFill="1" applyBorder="1" applyAlignment="1">
      <alignment horizontal="center" vertical="center" wrapText="1"/>
    </xf>
    <xf numFmtId="4" fontId="48" fillId="7" borderId="0" xfId="67" applyNumberFormat="1" applyFont="1" applyFill="1" applyAlignment="1">
      <alignment horizontal="center" vertical="center" wrapText="1"/>
    </xf>
    <xf numFmtId="4" fontId="48" fillId="0" borderId="25" xfId="67" applyNumberFormat="1" applyFont="1" applyFill="1" applyBorder="1" applyAlignment="1">
      <alignment horizontal="center" vertical="center" wrapText="1"/>
    </xf>
    <xf numFmtId="4" fontId="48" fillId="0" borderId="0" xfId="67" applyNumberFormat="1" applyFont="1" applyFill="1" applyAlignment="1">
      <alignment horizontal="center" vertical="center" wrapText="1"/>
    </xf>
    <xf numFmtId="0" fontId="45" fillId="2" borderId="1" xfId="67" applyFont="1" applyFill="1" applyBorder="1" applyAlignment="1">
      <alignment horizontal="center" vertical="center" wrapText="1"/>
    </xf>
    <xf numFmtId="0" fontId="45" fillId="0" borderId="0" xfId="67" applyFont="1" applyFill="1" applyAlignment="1">
      <alignment horizontal="center" vertical="center" wrapText="1"/>
    </xf>
    <xf numFmtId="0" fontId="186" fillId="0" borderId="0" xfId="67" applyFont="1" applyFill="1" applyAlignment="1">
      <alignment horizontal="center" vertical="center" wrapText="1"/>
    </xf>
    <xf numFmtId="0" fontId="48" fillId="0" borderId="10" xfId="67" applyFont="1" applyFill="1" applyBorder="1" applyAlignment="1">
      <alignment horizontal="center" vertical="center" wrapText="1"/>
    </xf>
    <xf numFmtId="0" fontId="12" fillId="2" borderId="1" xfId="25" applyFont="1" applyFill="1" applyBorder="1" applyAlignment="1">
      <alignment horizontal="center" vertical="center" wrapText="1"/>
    </xf>
    <xf numFmtId="0" fontId="16" fillId="0" borderId="7" xfId="71" applyFont="1" applyBorder="1" applyAlignment="1">
      <alignment horizontal="center" vertical="center" wrapText="1"/>
    </xf>
    <xf numFmtId="0" fontId="16" fillId="0" borderId="4" xfId="71" applyFont="1" applyBorder="1" applyAlignment="1">
      <alignment horizontal="center" vertical="center" wrapText="1"/>
    </xf>
    <xf numFmtId="0" fontId="16" fillId="0" borderId="3" xfId="71" applyFont="1" applyBorder="1" applyAlignment="1">
      <alignment horizontal="center" vertical="top"/>
    </xf>
    <xf numFmtId="0" fontId="38" fillId="0" borderId="0" xfId="71" applyFont="1" applyBorder="1" applyAlignment="1">
      <alignment vertical="top" wrapText="1"/>
    </xf>
    <xf numFmtId="0" fontId="16" fillId="0" borderId="0" xfId="71" applyFont="1" applyBorder="1" applyAlignment="1">
      <alignment horizontal="left" vertical="center" wrapText="1"/>
    </xf>
    <xf numFmtId="0" fontId="123" fillId="0" borderId="0" xfId="71" applyFont="1" applyAlignment="1">
      <alignment horizontal="left" vertical="center" wrapText="1"/>
    </xf>
    <xf numFmtId="0" fontId="123" fillId="0" borderId="10" xfId="71" applyFont="1" applyBorder="1" applyAlignment="1">
      <alignment horizontal="center"/>
    </xf>
    <xf numFmtId="0" fontId="55" fillId="0" borderId="0" xfId="71" applyFont="1" applyAlignment="1">
      <alignment horizontal="center" vertical="center" wrapText="1"/>
    </xf>
    <xf numFmtId="0" fontId="121" fillId="0" borderId="0" xfId="71" applyFont="1" applyAlignment="1">
      <alignment horizontal="center" vertical="center" wrapText="1"/>
    </xf>
    <xf numFmtId="0" fontId="16" fillId="0" borderId="8" xfId="71" applyFont="1" applyBorder="1" applyAlignment="1">
      <alignment horizontal="center" vertical="center" wrapText="1"/>
    </xf>
    <xf numFmtId="0" fontId="16" fillId="0" borderId="7" xfId="71" applyFont="1" applyFill="1" applyBorder="1" applyAlignment="1">
      <alignment horizontal="center" vertical="center" wrapText="1"/>
    </xf>
    <xf numFmtId="0" fontId="16" fillId="0" borderId="8" xfId="71" applyFont="1" applyFill="1" applyBorder="1" applyAlignment="1">
      <alignment horizontal="center" vertical="center" wrapText="1"/>
    </xf>
    <xf numFmtId="0" fontId="16" fillId="0" borderId="4" xfId="71" applyFont="1" applyFill="1" applyBorder="1" applyAlignment="1">
      <alignment horizontal="center" vertical="center" wrapText="1"/>
    </xf>
    <xf numFmtId="0" fontId="16" fillId="2" borderId="7" xfId="71" applyFont="1" applyFill="1" applyBorder="1" applyAlignment="1">
      <alignment horizontal="center" vertical="center" wrapText="1"/>
    </xf>
    <xf numFmtId="0" fontId="16" fillId="2" borderId="8" xfId="71" applyFont="1" applyFill="1" applyBorder="1" applyAlignment="1">
      <alignment horizontal="center" vertical="center" wrapText="1"/>
    </xf>
    <xf numFmtId="0" fontId="16" fillId="2" borderId="4" xfId="71" applyFont="1" applyFill="1" applyBorder="1" applyAlignment="1">
      <alignment horizontal="center" vertical="center" wrapText="1"/>
    </xf>
    <xf numFmtId="0" fontId="16" fillId="2" borderId="2" xfId="71" applyFont="1" applyFill="1" applyBorder="1" applyAlignment="1">
      <alignment horizontal="center" vertical="center" wrapText="1"/>
    </xf>
    <xf numFmtId="0" fontId="16" fillId="2" borderId="5" xfId="71" applyFont="1" applyFill="1" applyBorder="1" applyAlignment="1">
      <alignment horizontal="center" vertical="center" wrapText="1"/>
    </xf>
    <xf numFmtId="0" fontId="16" fillId="2" borderId="6" xfId="71" applyFont="1" applyFill="1" applyBorder="1" applyAlignment="1">
      <alignment horizontal="center" vertical="center" wrapText="1"/>
    </xf>
    <xf numFmtId="0" fontId="16" fillId="0" borderId="2" xfId="71" applyFont="1" applyBorder="1" applyAlignment="1">
      <alignment horizontal="center" vertical="center" wrapText="1"/>
    </xf>
    <xf numFmtId="0" fontId="16" fillId="0" borderId="5" xfId="71" applyFont="1" applyBorder="1" applyAlignment="1">
      <alignment horizontal="center" vertical="center" wrapText="1"/>
    </xf>
    <xf numFmtId="0" fontId="16" fillId="0" borderId="6" xfId="71" applyFont="1" applyBorder="1" applyAlignment="1">
      <alignment horizontal="center" vertical="center" wrapText="1"/>
    </xf>
    <xf numFmtId="0" fontId="16" fillId="0" borderId="1" xfId="71" applyFont="1" applyBorder="1" applyAlignment="1">
      <alignment horizontal="center" vertical="center" wrapText="1"/>
    </xf>
    <xf numFmtId="0" fontId="93" fillId="0" borderId="0" xfId="29" applyFont="1" applyAlignment="1">
      <alignment horizontal="center" vertical="center" wrapText="1"/>
    </xf>
    <xf numFmtId="0" fontId="94" fillId="0" borderId="0" xfId="29" applyFont="1" applyAlignment="1">
      <alignment horizontal="center" vertical="center" wrapText="1"/>
    </xf>
    <xf numFmtId="0" fontId="16" fillId="0" borderId="1" xfId="29" applyFont="1" applyFill="1" applyBorder="1" applyAlignment="1">
      <alignment horizontal="center" vertical="center" wrapText="1"/>
    </xf>
    <xf numFmtId="167" fontId="16" fillId="12" borderId="1" xfId="29" applyNumberFormat="1" applyFont="1" applyFill="1" applyBorder="1" applyAlignment="1">
      <alignment horizontal="center" vertical="center" wrapText="1"/>
    </xf>
    <xf numFmtId="167" fontId="16" fillId="0" borderId="1" xfId="29" applyNumberFormat="1" applyFont="1" applyFill="1" applyBorder="1" applyAlignment="1">
      <alignment horizontal="center" vertical="center" wrapText="1"/>
    </xf>
    <xf numFmtId="169" fontId="16" fillId="0" borderId="1" xfId="26" applyNumberFormat="1" applyFont="1" applyBorder="1" applyAlignment="1">
      <alignment horizontal="center" vertical="center" wrapText="1"/>
    </xf>
    <xf numFmtId="0" fontId="37" fillId="0" borderId="1" xfId="29" applyFont="1" applyFill="1" applyBorder="1" applyAlignment="1">
      <alignment horizontal="center" vertical="center" wrapText="1"/>
    </xf>
    <xf numFmtId="0" fontId="95" fillId="0" borderId="1" xfId="29" applyFont="1" applyFill="1" applyBorder="1" applyAlignment="1">
      <alignment horizontal="center" vertical="center" wrapText="1"/>
    </xf>
    <xf numFmtId="0" fontId="16" fillId="0" borderId="7" xfId="29" applyFont="1" applyFill="1" applyBorder="1" applyAlignment="1">
      <alignment horizontal="left" vertical="top" wrapText="1"/>
    </xf>
    <xf numFmtId="0" fontId="16" fillId="0" borderId="8" xfId="29" applyFont="1" applyFill="1" applyBorder="1" applyAlignment="1">
      <alignment horizontal="left" vertical="top" wrapText="1"/>
    </xf>
    <xf numFmtId="0" fontId="16" fillId="0" borderId="4" xfId="29" applyFont="1" applyFill="1" applyBorder="1" applyAlignment="1">
      <alignment horizontal="left" vertical="top" wrapText="1"/>
    </xf>
    <xf numFmtId="167" fontId="95" fillId="0" borderId="1" xfId="29" applyNumberFormat="1" applyFont="1" applyFill="1" applyBorder="1" applyAlignment="1">
      <alignment horizontal="center" vertical="center" wrapText="1"/>
    </xf>
    <xf numFmtId="0" fontId="95" fillId="0" borderId="2" xfId="29" applyNumberFormat="1" applyFont="1" applyFill="1" applyBorder="1" applyAlignment="1">
      <alignment horizontal="center" vertical="center" wrapText="1"/>
    </xf>
    <xf numFmtId="0" fontId="95" fillId="0" borderId="5" xfId="29" applyNumberFormat="1" applyFont="1" applyFill="1" applyBorder="1" applyAlignment="1">
      <alignment horizontal="center" vertical="center" wrapText="1"/>
    </xf>
    <xf numFmtId="0" fontId="95" fillId="0" borderId="6" xfId="29" applyNumberFormat="1" applyFont="1" applyFill="1" applyBorder="1" applyAlignment="1">
      <alignment horizontal="center" vertical="center" wrapText="1"/>
    </xf>
    <xf numFmtId="0" fontId="95" fillId="0" borderId="1" xfId="29" applyFont="1" applyFill="1" applyBorder="1" applyAlignment="1">
      <alignment horizontal="center" vertical="center"/>
    </xf>
    <xf numFmtId="0" fontId="17" fillId="0" borderId="1" xfId="29" applyFont="1" applyBorder="1" applyAlignment="1">
      <alignment horizontal="center" vertical="center" wrapText="1"/>
    </xf>
    <xf numFmtId="0" fontId="17" fillId="0" borderId="1" xfId="29" applyFont="1" applyFill="1" applyBorder="1" applyAlignment="1">
      <alignment horizontal="center" vertical="center" wrapText="1"/>
    </xf>
    <xf numFmtId="0" fontId="61" fillId="0" borderId="2" xfId="70" applyFont="1" applyBorder="1" applyAlignment="1">
      <alignment horizontal="center"/>
    </xf>
    <xf numFmtId="0" fontId="61" fillId="0" borderId="5" xfId="70" applyFont="1" applyBorder="1" applyAlignment="1">
      <alignment horizontal="center"/>
    </xf>
    <xf numFmtId="0" fontId="61" fillId="0" borderId="6" xfId="70" applyFont="1" applyBorder="1" applyAlignment="1">
      <alignment horizontal="center"/>
    </xf>
    <xf numFmtId="0" fontId="47" fillId="0" borderId="0" xfId="70" applyFont="1" applyAlignment="1">
      <alignment horizontal="center" wrapText="1"/>
    </xf>
    <xf numFmtId="0" fontId="47" fillId="0" borderId="0" xfId="70" applyFont="1" applyAlignment="1">
      <alignment horizontal="center"/>
    </xf>
    <xf numFmtId="0" fontId="61" fillId="0" borderId="7" xfId="70" applyFont="1" applyBorder="1" applyAlignment="1">
      <alignment horizontal="center" vertical="center"/>
    </xf>
    <xf numFmtId="0" fontId="61" fillId="0" borderId="4" xfId="70" applyFont="1" applyBorder="1" applyAlignment="1">
      <alignment horizontal="center" vertical="center"/>
    </xf>
    <xf numFmtId="0" fontId="61" fillId="0" borderId="22" xfId="70" applyFont="1" applyBorder="1" applyAlignment="1">
      <alignment horizontal="center" vertical="center" wrapText="1"/>
    </xf>
    <xf numFmtId="0" fontId="61" fillId="0" borderId="49" xfId="70" applyFont="1" applyBorder="1" applyAlignment="1">
      <alignment horizontal="center" vertical="center" wrapText="1"/>
    </xf>
    <xf numFmtId="0" fontId="61" fillId="0" borderId="7" xfId="70" applyFont="1" applyBorder="1" applyAlignment="1">
      <alignment horizontal="center" vertical="center" wrapText="1"/>
    </xf>
    <xf numFmtId="0" fontId="61" fillId="0" borderId="4" xfId="70" applyFont="1" applyBorder="1" applyAlignment="1">
      <alignment horizontal="center" vertical="center" wrapText="1"/>
    </xf>
    <xf numFmtId="0" fontId="12" fillId="0" borderId="1" xfId="25" applyFont="1" applyBorder="1" applyAlignment="1">
      <alignment horizontal="center" vertical="center" wrapText="1"/>
    </xf>
    <xf numFmtId="0" fontId="73" fillId="0" borderId="10" xfId="25" applyBorder="1" applyAlignment="1">
      <alignment horizontal="center" wrapText="1"/>
    </xf>
    <xf numFmtId="0" fontId="43" fillId="0" borderId="1" xfId="71" applyFont="1" applyFill="1" applyBorder="1" applyAlignment="1">
      <alignment horizontal="left" vertical="center" wrapText="1"/>
    </xf>
    <xf numFmtId="0" fontId="60" fillId="0" borderId="10" xfId="71" applyFont="1" applyBorder="1" applyAlignment="1">
      <alignment horizontal="center"/>
    </xf>
    <xf numFmtId="0" fontId="59" fillId="0" borderId="3" xfId="71" applyFont="1" applyBorder="1" applyAlignment="1">
      <alignment horizontal="center" vertical="center"/>
    </xf>
    <xf numFmtId="166" fontId="16" fillId="2" borderId="7" xfId="71" applyNumberFormat="1" applyFont="1" applyFill="1" applyBorder="1" applyAlignment="1">
      <alignment horizontal="left" vertical="center" wrapText="1"/>
    </xf>
    <xf numFmtId="166" fontId="16" fillId="2" borderId="8" xfId="71" applyNumberFormat="1" applyFont="1" applyFill="1" applyBorder="1" applyAlignment="1">
      <alignment horizontal="left" vertical="center" wrapText="1"/>
    </xf>
    <xf numFmtId="166" fontId="16" fillId="2" borderId="4" xfId="71" applyNumberFormat="1" applyFont="1" applyFill="1" applyBorder="1" applyAlignment="1">
      <alignment horizontal="left" vertical="center" wrapText="1"/>
    </xf>
    <xf numFmtId="0" fontId="43" fillId="0" borderId="1" xfId="71" applyFont="1" applyFill="1" applyBorder="1" applyAlignment="1">
      <alignment horizontal="center" vertical="center" wrapText="1"/>
    </xf>
    <xf numFmtId="0" fontId="54" fillId="0" borderId="0" xfId="71" applyFont="1" applyAlignment="1">
      <alignment horizontal="center" vertical="center"/>
    </xf>
    <xf numFmtId="0" fontId="55" fillId="0" borderId="0" xfId="71" applyFont="1" applyAlignment="1">
      <alignment horizontal="center" vertical="center"/>
    </xf>
    <xf numFmtId="0" fontId="17" fillId="0" borderId="7" xfId="71" applyFont="1" applyBorder="1" applyAlignment="1">
      <alignment horizontal="center" vertical="center"/>
    </xf>
    <xf numFmtId="0" fontId="17" fillId="0" borderId="4" xfId="71" applyFont="1" applyBorder="1" applyAlignment="1">
      <alignment horizontal="center" vertical="center"/>
    </xf>
    <xf numFmtId="0" fontId="17" fillId="0" borderId="1" xfId="71" applyFont="1" applyBorder="1" applyAlignment="1">
      <alignment horizontal="center" vertical="center" wrapText="1"/>
    </xf>
    <xf numFmtId="0" fontId="17" fillId="0" borderId="1" xfId="71" applyFont="1" applyBorder="1" applyAlignment="1">
      <alignment horizontal="center" vertical="center"/>
    </xf>
    <xf numFmtId="0" fontId="44" fillId="0" borderId="7" xfId="71" applyFont="1" applyBorder="1" applyAlignment="1">
      <alignment horizontal="center" vertical="center"/>
    </xf>
    <xf numFmtId="0" fontId="44" fillId="0" borderId="4" xfId="71" applyFont="1" applyBorder="1" applyAlignment="1">
      <alignment horizontal="center" vertical="center"/>
    </xf>
    <xf numFmtId="0" fontId="43" fillId="0" borderId="7" xfId="71" applyFont="1" applyBorder="1" applyAlignment="1">
      <alignment horizontal="center" vertical="center"/>
    </xf>
    <xf numFmtId="0" fontId="43" fillId="0" borderId="4" xfId="71" applyFont="1" applyBorder="1" applyAlignment="1">
      <alignment horizontal="center" vertical="center"/>
    </xf>
    <xf numFmtId="0" fontId="45" fillId="2" borderId="0" xfId="25" applyFont="1" applyFill="1" applyAlignment="1">
      <alignment horizontal="center"/>
    </xf>
    <xf numFmtId="0" fontId="66" fillId="2" borderId="7" xfId="71" applyNumberFormat="1" applyFont="1" applyFill="1" applyBorder="1" applyAlignment="1" applyProtection="1">
      <alignment horizontal="center" vertical="center" wrapText="1"/>
    </xf>
    <xf numFmtId="0" fontId="66" fillId="2" borderId="8" xfId="71" applyNumberFormat="1" applyFont="1" applyFill="1" applyBorder="1" applyAlignment="1" applyProtection="1">
      <alignment horizontal="center" vertical="center" wrapText="1"/>
    </xf>
    <xf numFmtId="0" fontId="66" fillId="2" borderId="4" xfId="71" applyNumberFormat="1" applyFont="1" applyFill="1" applyBorder="1" applyAlignment="1" applyProtection="1">
      <alignment horizontal="center" vertical="center" wrapText="1"/>
    </xf>
    <xf numFmtId="4" fontId="66" fillId="2" borderId="1" xfId="71" applyNumberFormat="1" applyFont="1" applyFill="1" applyBorder="1" applyAlignment="1" applyProtection="1">
      <alignment horizontal="center" vertical="center" wrapText="1"/>
    </xf>
    <xf numFmtId="4" fontId="68" fillId="2" borderId="0" xfId="24" applyNumberFormat="1" applyFont="1" applyFill="1" applyAlignment="1">
      <alignment horizontal="right"/>
    </xf>
    <xf numFmtId="0" fontId="65" fillId="2" borderId="0" xfId="71" applyNumberFormat="1" applyFont="1" applyFill="1" applyBorder="1" applyAlignment="1" applyProtection="1">
      <alignment horizontal="center" vertical="top" wrapText="1"/>
    </xf>
    <xf numFmtId="0" fontId="168" fillId="2" borderId="10" xfId="71" applyNumberFormat="1" applyFont="1" applyFill="1" applyBorder="1" applyAlignment="1" applyProtection="1">
      <alignment horizontal="center" vertical="top"/>
    </xf>
    <xf numFmtId="0" fontId="69" fillId="2" borderId="0" xfId="71" applyNumberFormat="1" applyFont="1" applyFill="1" applyBorder="1" applyAlignment="1" applyProtection="1">
      <alignment horizontal="center" vertical="top"/>
    </xf>
    <xf numFmtId="49" fontId="69" fillId="2" borderId="1" xfId="71" applyNumberFormat="1" applyFont="1" applyFill="1" applyBorder="1" applyAlignment="1" applyProtection="1">
      <alignment horizontal="center" vertical="center"/>
    </xf>
    <xf numFmtId="0" fontId="69" fillId="2" borderId="1" xfId="71" applyNumberFormat="1" applyFont="1" applyFill="1" applyBorder="1" applyAlignment="1" applyProtection="1">
      <alignment horizontal="center" vertical="center" wrapText="1"/>
    </xf>
    <xf numFmtId="0" fontId="71" fillId="2" borderId="7" xfId="71" applyNumberFormat="1" applyFont="1" applyFill="1" applyBorder="1" applyAlignment="1" applyProtection="1">
      <alignment horizontal="center" vertical="center" wrapText="1"/>
    </xf>
    <xf numFmtId="0" fontId="71" fillId="2" borderId="8" xfId="71" applyNumberFormat="1" applyFont="1" applyFill="1" applyBorder="1" applyAlignment="1" applyProtection="1">
      <alignment horizontal="center" vertical="center" wrapText="1"/>
    </xf>
    <xf numFmtId="0" fontId="71" fillId="2" borderId="4" xfId="71" applyNumberFormat="1" applyFont="1" applyFill="1" applyBorder="1" applyAlignment="1" applyProtection="1">
      <alignment horizontal="center" vertical="center" wrapText="1"/>
    </xf>
    <xf numFmtId="4" fontId="110" fillId="2" borderId="1" xfId="71" applyNumberFormat="1" applyFont="1" applyFill="1" applyBorder="1" applyAlignment="1" applyProtection="1">
      <alignment horizontal="center" vertical="center" wrapText="1"/>
    </xf>
    <xf numFmtId="167" fontId="17" fillId="2" borderId="1" xfId="3" applyNumberFormat="1" applyFont="1" applyFill="1" applyBorder="1" applyAlignment="1">
      <alignment horizontal="center"/>
    </xf>
    <xf numFmtId="167" fontId="17" fillId="2" borderId="0" xfId="3" applyNumberFormat="1" applyFont="1" applyFill="1" applyAlignment="1">
      <alignment horizontal="center" wrapText="1"/>
    </xf>
    <xf numFmtId="167" fontId="16" fillId="2" borderId="0" xfId="3" applyNumberFormat="1" applyFont="1" applyFill="1" applyAlignment="1">
      <alignment horizontal="center"/>
    </xf>
    <xf numFmtId="167" fontId="17" fillId="2" borderId="1" xfId="3" applyNumberFormat="1" applyFont="1" applyFill="1" applyBorder="1" applyAlignment="1">
      <alignment horizontal="center" vertical="center"/>
    </xf>
    <xf numFmtId="0" fontId="74" fillId="2" borderId="0" xfId="25" applyFont="1" applyFill="1" applyBorder="1" applyAlignment="1">
      <alignment horizontal="left" vertical="center" wrapText="1"/>
    </xf>
    <xf numFmtId="4" fontId="74" fillId="2" borderId="0" xfId="25" applyNumberFormat="1" applyFont="1" applyFill="1" applyBorder="1" applyAlignment="1">
      <alignment horizontal="center" vertical="center" wrapText="1"/>
    </xf>
    <xf numFmtId="0" fontId="74" fillId="2" borderId="0" xfId="25" applyFont="1" applyFill="1" applyBorder="1" applyAlignment="1">
      <alignment horizontal="right" vertical="center" wrapText="1"/>
    </xf>
    <xf numFmtId="0" fontId="74" fillId="2" borderId="0" xfId="25" applyFont="1" applyFill="1" applyBorder="1" applyAlignment="1">
      <alignment horizontal="right" vertical="center"/>
    </xf>
    <xf numFmtId="0" fontId="74" fillId="2" borderId="0" xfId="25" applyFont="1" applyFill="1" applyAlignment="1">
      <alignment horizontal="center" vertical="center" wrapText="1"/>
    </xf>
    <xf numFmtId="0" fontId="74" fillId="2" borderId="1" xfId="25" applyFont="1" applyFill="1" applyBorder="1" applyAlignment="1">
      <alignment horizontal="center" vertical="center" wrapText="1"/>
    </xf>
    <xf numFmtId="0" fontId="74" fillId="2" borderId="7" xfId="25" applyFont="1" applyFill="1" applyBorder="1" applyAlignment="1">
      <alignment horizontal="center" vertical="center" wrapText="1"/>
    </xf>
    <xf numFmtId="0" fontId="74" fillId="2" borderId="4" xfId="25" applyFont="1" applyFill="1" applyBorder="1" applyAlignment="1">
      <alignment horizontal="center" vertical="center" wrapText="1"/>
    </xf>
    <xf numFmtId="0" fontId="44" fillId="0" borderId="1" xfId="76" applyFont="1" applyBorder="1" applyAlignment="1">
      <alignment horizontal="center" vertical="center" wrapText="1"/>
    </xf>
    <xf numFmtId="0" fontId="43" fillId="0" borderId="1" xfId="76" applyFont="1" applyBorder="1" applyAlignment="1">
      <alignment horizontal="center" vertical="center" wrapText="1"/>
    </xf>
    <xf numFmtId="0" fontId="38" fillId="0" borderId="1" xfId="76" applyFont="1" applyBorder="1" applyAlignment="1">
      <alignment horizontal="center" vertical="center" wrapText="1"/>
    </xf>
    <xf numFmtId="0" fontId="48" fillId="0" borderId="1" xfId="76" applyFont="1" applyBorder="1" applyAlignment="1">
      <alignment horizontal="center" vertical="center" wrapText="1"/>
    </xf>
    <xf numFmtId="0" fontId="80" fillId="0" borderId="0" xfId="76" applyFont="1" applyAlignment="1">
      <alignment horizontal="center" vertical="center" wrapText="1"/>
    </xf>
    <xf numFmtId="0" fontId="81" fillId="0" borderId="0" xfId="76" applyFont="1" applyAlignment="1">
      <alignment horizontal="center" vertical="center" wrapText="1"/>
    </xf>
    <xf numFmtId="0" fontId="18" fillId="0" borderId="1" xfId="76" applyFont="1" applyBorder="1" applyAlignment="1">
      <alignment horizontal="center" vertical="center" wrapText="1"/>
    </xf>
    <xf numFmtId="0" fontId="44" fillId="2" borderId="1" xfId="76" applyFont="1" applyFill="1" applyBorder="1" applyAlignment="1">
      <alignment horizontal="center" vertical="center" wrapText="1"/>
    </xf>
    <xf numFmtId="0" fontId="48" fillId="0" borderId="7" xfId="71" applyFont="1" applyBorder="1" applyAlignment="1">
      <alignment horizontal="center" vertical="center"/>
    </xf>
    <xf numFmtId="0" fontId="48" fillId="0" borderId="4" xfId="71" applyFont="1" applyBorder="1" applyAlignment="1">
      <alignment horizontal="center" vertical="center"/>
    </xf>
    <xf numFmtId="0" fontId="80" fillId="0" borderId="0" xfId="71" applyFont="1" applyFill="1" applyAlignment="1">
      <alignment horizontal="center" vertical="center" wrapText="1"/>
    </xf>
    <xf numFmtId="0" fontId="81" fillId="0" borderId="0" xfId="71" applyFont="1" applyFill="1" applyAlignment="1">
      <alignment horizontal="center" vertical="center" wrapText="1"/>
    </xf>
    <xf numFmtId="0" fontId="48" fillId="0" borderId="0" xfId="71" applyFont="1" applyFill="1" applyAlignment="1">
      <alignment horizontal="center" vertical="top"/>
    </xf>
    <xf numFmtId="0" fontId="18" fillId="0" borderId="0" xfId="71" applyFont="1" applyAlignment="1">
      <alignment horizontal="left" vertical="center" wrapText="1"/>
    </xf>
    <xf numFmtId="0" fontId="17" fillId="0" borderId="0" xfId="26" applyFont="1" applyAlignment="1">
      <alignment horizontal="center"/>
    </xf>
    <xf numFmtId="14" fontId="16" fillId="0" borderId="0" xfId="26" applyNumberFormat="1" applyFont="1" applyAlignment="1">
      <alignment horizontal="right"/>
    </xf>
    <xf numFmtId="0" fontId="16" fillId="0" borderId="7" xfId="26" applyFont="1" applyBorder="1" applyAlignment="1">
      <alignment horizontal="center" vertical="center" wrapText="1"/>
    </xf>
    <xf numFmtId="0" fontId="16" fillId="0" borderId="4" xfId="26" applyFont="1" applyBorder="1" applyAlignment="1">
      <alignment horizontal="center" vertical="center" wrapText="1"/>
    </xf>
    <xf numFmtId="0" fontId="16" fillId="0" borderId="1" xfId="26" applyFont="1" applyBorder="1" applyAlignment="1">
      <alignment horizontal="center" vertical="center" wrapText="1"/>
    </xf>
    <xf numFmtId="0" fontId="16" fillId="0" borderId="1" xfId="26" applyFont="1" applyFill="1" applyBorder="1" applyAlignment="1">
      <alignment horizontal="center" vertical="center" wrapText="1"/>
    </xf>
    <xf numFmtId="0" fontId="16" fillId="0" borderId="7" xfId="26" applyFont="1" applyBorder="1" applyAlignment="1">
      <alignment horizontal="center" vertical="center"/>
    </xf>
    <xf numFmtId="0" fontId="16" fillId="0" borderId="4" xfId="26" applyFont="1" applyBorder="1" applyAlignment="1">
      <alignment horizontal="center" vertical="center"/>
    </xf>
    <xf numFmtId="0" fontId="83" fillId="0" borderId="10" xfId="71" applyFont="1" applyBorder="1" applyAlignment="1">
      <alignment horizontal="center"/>
    </xf>
    <xf numFmtId="0" fontId="59" fillId="0" borderId="0" xfId="71" applyFont="1" applyBorder="1" applyAlignment="1">
      <alignment horizontal="center" vertical="top"/>
    </xf>
    <xf numFmtId="167" fontId="84" fillId="0" borderId="1" xfId="73" applyNumberFormat="1" applyFont="1" applyBorder="1" applyAlignment="1">
      <alignment horizontal="center" vertical="center" wrapText="1"/>
    </xf>
    <xf numFmtId="0" fontId="39" fillId="0" borderId="0" xfId="73" applyFont="1" applyBorder="1" applyAlignment="1">
      <alignment horizontal="left" vertical="center"/>
    </xf>
    <xf numFmtId="167" fontId="39" fillId="0" borderId="7" xfId="29" applyNumberFormat="1" applyFont="1" applyBorder="1" applyAlignment="1">
      <alignment horizontal="center" vertical="center" wrapText="1"/>
    </xf>
    <xf numFmtId="167" fontId="39" fillId="0" borderId="4" xfId="29" applyNumberFormat="1" applyFont="1" applyBorder="1" applyAlignment="1">
      <alignment horizontal="center" vertical="center" wrapText="1"/>
    </xf>
    <xf numFmtId="0" fontId="55" fillId="0" borderId="0" xfId="73" applyFont="1" applyFill="1" applyAlignment="1">
      <alignment horizontal="center" wrapText="1"/>
    </xf>
    <xf numFmtId="0" fontId="39" fillId="0" borderId="1" xfId="29" applyFont="1" applyBorder="1" applyAlignment="1">
      <alignment horizontal="center" vertical="center" wrapText="1"/>
    </xf>
    <xf numFmtId="167" fontId="39" fillId="0" borderId="7" xfId="73" applyNumberFormat="1" applyFont="1" applyBorder="1" applyAlignment="1">
      <alignment horizontal="center" vertical="center" wrapText="1"/>
    </xf>
    <xf numFmtId="167" fontId="39" fillId="0" borderId="8" xfId="73" applyNumberFormat="1" applyFont="1" applyBorder="1" applyAlignment="1">
      <alignment horizontal="center" vertical="center" wrapText="1"/>
    </xf>
    <xf numFmtId="167" fontId="39" fillId="0" borderId="4" xfId="73" applyNumberFormat="1" applyFont="1" applyBorder="1" applyAlignment="1">
      <alignment horizontal="center" vertical="center" wrapText="1"/>
    </xf>
    <xf numFmtId="0" fontId="39" fillId="0" borderId="1" xfId="73" applyFont="1" applyBorder="1" applyAlignment="1">
      <alignment horizontal="center" vertical="center"/>
    </xf>
    <xf numFmtId="0" fontId="39" fillId="0" borderId="2" xfId="29" applyFont="1" applyBorder="1" applyAlignment="1">
      <alignment horizontal="center" vertical="center" wrapText="1"/>
    </xf>
    <xf numFmtId="0" fontId="39" fillId="0" borderId="5" xfId="29" applyFont="1" applyBorder="1" applyAlignment="1">
      <alignment horizontal="center" vertical="center" wrapText="1"/>
    </xf>
    <xf numFmtId="0" fontId="84" fillId="0" borderId="1" xfId="29" applyFont="1" applyBorder="1" applyAlignment="1">
      <alignment horizontal="center" vertical="center" wrapText="1"/>
    </xf>
    <xf numFmtId="167" fontId="84" fillId="0" borderId="1" xfId="29" applyNumberFormat="1" applyFont="1" applyBorder="1" applyAlignment="1">
      <alignment horizontal="center" vertical="center" wrapText="1"/>
    </xf>
    <xf numFmtId="0" fontId="59" fillId="0" borderId="3" xfId="71" applyFont="1" applyBorder="1" applyAlignment="1">
      <alignment horizontal="center" vertical="top"/>
    </xf>
    <xf numFmtId="0" fontId="60" fillId="0" borderId="2" xfId="71" applyFont="1" applyBorder="1" applyAlignment="1">
      <alignment horizontal="center" vertical="center" wrapText="1"/>
    </xf>
    <xf numFmtId="0" fontId="60" fillId="0" borderId="6" xfId="71" applyFont="1" applyBorder="1" applyAlignment="1">
      <alignment horizontal="center" vertical="center" wrapText="1"/>
    </xf>
    <xf numFmtId="0" fontId="60" fillId="0" borderId="1" xfId="71" applyFont="1" applyBorder="1" applyAlignment="1">
      <alignment horizontal="center" vertical="center" wrapText="1"/>
    </xf>
    <xf numFmtId="0" fontId="60" fillId="0" borderId="7" xfId="71" applyFont="1" applyBorder="1" applyAlignment="1">
      <alignment horizontal="center" vertical="center" wrapText="1"/>
    </xf>
    <xf numFmtId="0" fontId="60" fillId="0" borderId="4" xfId="71" applyFont="1" applyBorder="1" applyAlignment="1">
      <alignment horizontal="center" vertical="center" wrapText="1"/>
    </xf>
    <xf numFmtId="0" fontId="85" fillId="0" borderId="0" xfId="71" applyFont="1" applyAlignment="1">
      <alignment horizontal="left" wrapText="1"/>
    </xf>
    <xf numFmtId="0" fontId="85" fillId="0" borderId="0" xfId="71" applyFont="1" applyAlignment="1">
      <alignment horizontal="center" wrapText="1"/>
    </xf>
    <xf numFmtId="0" fontId="60" fillId="0" borderId="5" xfId="71" applyFont="1" applyBorder="1" applyAlignment="1">
      <alignment horizontal="center" vertical="center" wrapText="1"/>
    </xf>
    <xf numFmtId="0" fontId="60" fillId="0" borderId="7" xfId="71" applyFont="1" applyBorder="1" applyAlignment="1">
      <alignment horizontal="center" vertical="center"/>
    </xf>
    <xf numFmtId="0" fontId="60" fillId="0" borderId="8" xfId="71" applyFont="1" applyBorder="1" applyAlignment="1">
      <alignment horizontal="center" vertical="center"/>
    </xf>
    <xf numFmtId="0" fontId="60" fillId="0" borderId="4" xfId="71" applyFont="1" applyBorder="1" applyAlignment="1">
      <alignment horizontal="center" vertical="center"/>
    </xf>
    <xf numFmtId="0" fontId="59" fillId="0" borderId="0" xfId="71" applyFont="1" applyAlignment="1">
      <alignment horizontal="center" vertical="top"/>
    </xf>
    <xf numFmtId="0" fontId="39" fillId="0" borderId="7" xfId="71" applyFont="1" applyBorder="1" applyAlignment="1">
      <alignment horizontal="center" vertical="center" wrapText="1"/>
    </xf>
    <xf numFmtId="0" fontId="39" fillId="0" borderId="4" xfId="71" applyFont="1" applyBorder="1" applyAlignment="1">
      <alignment horizontal="center" vertical="center" wrapText="1"/>
    </xf>
    <xf numFmtId="0" fontId="39" fillId="0" borderId="1" xfId="71" applyFont="1" applyBorder="1" applyAlignment="1">
      <alignment horizontal="center" vertical="center" wrapText="1"/>
    </xf>
    <xf numFmtId="0" fontId="47" fillId="6" borderId="3" xfId="71" applyFont="1" applyFill="1" applyBorder="1" applyAlignment="1">
      <alignment horizontal="left" wrapText="1"/>
    </xf>
    <xf numFmtId="0" fontId="61" fillId="0" borderId="0" xfId="71" applyFont="1" applyAlignment="1">
      <alignment horizontal="center" wrapText="1"/>
    </xf>
    <xf numFmtId="0" fontId="39" fillId="0" borderId="8" xfId="71" applyFont="1" applyBorder="1" applyAlignment="1">
      <alignment horizontal="center" vertical="center" wrapText="1"/>
    </xf>
    <xf numFmtId="0" fontId="47" fillId="0" borderId="2" xfId="71" applyFont="1" applyBorder="1" applyAlignment="1">
      <alignment horizontal="center"/>
    </xf>
    <xf numFmtId="0" fontId="47" fillId="0" borderId="5" xfId="71" applyFont="1" applyBorder="1" applyAlignment="1">
      <alignment horizontal="center"/>
    </xf>
    <xf numFmtId="0" fontId="47" fillId="0" borderId="6" xfId="71" applyFont="1" applyBorder="1" applyAlignment="1">
      <alignment horizontal="center"/>
    </xf>
    <xf numFmtId="0" fontId="47" fillId="0" borderId="1" xfId="71" applyFont="1" applyBorder="1" applyAlignment="1">
      <alignment horizontal="center" vertical="center" wrapText="1"/>
    </xf>
    <xf numFmtId="0" fontId="47" fillId="0" borderId="7" xfId="71" applyFont="1" applyBorder="1" applyAlignment="1">
      <alignment horizontal="center" vertical="center"/>
    </xf>
    <xf numFmtId="0" fontId="47" fillId="0" borderId="8" xfId="71" applyFont="1" applyBorder="1" applyAlignment="1">
      <alignment horizontal="center" vertical="center"/>
    </xf>
    <xf numFmtId="0" fontId="47" fillId="0" borderId="4" xfId="71" applyFont="1" applyBorder="1" applyAlignment="1">
      <alignment horizontal="center" vertical="center"/>
    </xf>
    <xf numFmtId="0" fontId="69" fillId="0" borderId="0" xfId="24" applyFont="1" applyFill="1" applyBorder="1" applyAlignment="1">
      <alignment horizontal="center" vertical="center" wrapText="1"/>
    </xf>
    <xf numFmtId="0" fontId="110" fillId="0" borderId="0" xfId="24" applyFont="1" applyFill="1" applyAlignment="1">
      <alignment horizontal="center" vertical="top" wrapText="1"/>
    </xf>
    <xf numFmtId="0" fontId="110" fillId="0" borderId="7" xfId="24" applyFont="1" applyFill="1" applyBorder="1" applyAlignment="1">
      <alignment horizontal="center" vertical="center" wrapText="1"/>
    </xf>
    <xf numFmtId="0" fontId="110" fillId="0" borderId="8" xfId="24" applyFont="1" applyFill="1" applyBorder="1" applyAlignment="1">
      <alignment horizontal="center" vertical="center" wrapText="1"/>
    </xf>
    <xf numFmtId="49" fontId="110" fillId="0" borderId="2" xfId="24" applyNumberFormat="1" applyFont="1" applyFill="1" applyBorder="1" applyAlignment="1">
      <alignment horizontal="center" vertical="center" wrapText="1"/>
    </xf>
    <xf numFmtId="49" fontId="110" fillId="0" borderId="5" xfId="24" applyNumberFormat="1" applyFont="1" applyFill="1" applyBorder="1" applyAlignment="1">
      <alignment horizontal="center" vertical="center" wrapText="1"/>
    </xf>
    <xf numFmtId="49" fontId="110" fillId="0" borderId="6" xfId="24" applyNumberFormat="1" applyFont="1" applyFill="1" applyBorder="1" applyAlignment="1">
      <alignment horizontal="center" vertical="center" wrapText="1"/>
    </xf>
    <xf numFmtId="0" fontId="110" fillId="0" borderId="9" xfId="24" applyFont="1" applyFill="1" applyBorder="1" applyAlignment="1">
      <alignment horizontal="center" vertical="center" wrapText="1"/>
    </xf>
    <xf numFmtId="0" fontId="110" fillId="0" borderId="3" xfId="24" applyFont="1" applyFill="1" applyBorder="1" applyAlignment="1">
      <alignment horizontal="center" vertical="center" wrapText="1"/>
    </xf>
    <xf numFmtId="0" fontId="110" fillId="0" borderId="2" xfId="24" applyFont="1" applyFill="1" applyBorder="1" applyAlignment="1">
      <alignment horizontal="center" vertical="center" wrapText="1"/>
    </xf>
    <xf numFmtId="0" fontId="110" fillId="0" borderId="6" xfId="24" applyFont="1" applyFill="1" applyBorder="1" applyAlignment="1">
      <alignment horizontal="center" vertical="center" wrapText="1"/>
    </xf>
    <xf numFmtId="0" fontId="44" fillId="8" borderId="0" xfId="71" applyFont="1" applyFill="1" applyBorder="1" applyAlignment="1">
      <alignment horizontal="left" vertical="center" wrapText="1"/>
    </xf>
    <xf numFmtId="0" fontId="43" fillId="0" borderId="0" xfId="71" applyFont="1" applyAlignment="1">
      <alignment horizontal="left" vertical="center" wrapText="1"/>
    </xf>
    <xf numFmtId="0" fontId="61" fillId="0" borderId="0" xfId="71" applyFont="1" applyAlignment="1">
      <alignment horizontal="center" vertical="center" wrapText="1"/>
    </xf>
    <xf numFmtId="0" fontId="187" fillId="0" borderId="0" xfId="71" applyFont="1" applyAlignment="1">
      <alignment horizontal="center" vertical="center" wrapText="1"/>
    </xf>
    <xf numFmtId="0" fontId="44" fillId="0" borderId="1" xfId="71" applyFont="1" applyBorder="1" applyAlignment="1">
      <alignment horizontal="center" vertical="top" wrapText="1"/>
    </xf>
    <xf numFmtId="49" fontId="44" fillId="0" borderId="1" xfId="71" applyNumberFormat="1" applyFont="1" applyBorder="1" applyAlignment="1">
      <alignment horizontal="center" vertical="top" wrapText="1"/>
    </xf>
    <xf numFmtId="0" fontId="47" fillId="0" borderId="7" xfId="71" applyFont="1" applyBorder="1" applyAlignment="1">
      <alignment horizontal="center" vertical="center" wrapText="1"/>
    </xf>
    <xf numFmtId="0" fontId="47" fillId="0" borderId="8" xfId="71" applyFont="1" applyBorder="1" applyAlignment="1">
      <alignment horizontal="center" vertical="center" wrapText="1"/>
    </xf>
    <xf numFmtId="0" fontId="47" fillId="0" borderId="4" xfId="71" applyFont="1" applyBorder="1" applyAlignment="1">
      <alignment horizontal="center" vertical="center" wrapText="1"/>
    </xf>
    <xf numFmtId="0" fontId="47" fillId="0" borderId="3" xfId="71" applyFont="1" applyBorder="1" applyAlignment="1">
      <alignment horizontal="left" wrapText="1"/>
    </xf>
    <xf numFmtId="0" fontId="64" fillId="0" borderId="0" xfId="71" applyFont="1" applyBorder="1" applyAlignment="1">
      <alignment horizontal="left" wrapText="1"/>
    </xf>
    <xf numFmtId="0" fontId="1" fillId="2" borderId="1" xfId="25" applyFont="1" applyFill="1" applyBorder="1" applyAlignment="1">
      <alignment horizontal="center" vertical="center" wrapText="1"/>
    </xf>
    <xf numFmtId="0" fontId="130" fillId="0" borderId="1" xfId="77" applyFont="1" applyBorder="1" applyAlignment="1">
      <alignment horizontal="right" vertical="center"/>
    </xf>
    <xf numFmtId="0" fontId="47" fillId="0" borderId="0" xfId="77" applyFont="1" applyAlignment="1">
      <alignment horizontal="center" wrapText="1"/>
    </xf>
    <xf numFmtId="0" fontId="61" fillId="0" borderId="0" xfId="77" applyFont="1" applyAlignment="1">
      <alignment horizontal="center"/>
    </xf>
    <xf numFmtId="0" fontId="47" fillId="0" borderId="0" xfId="77" applyFont="1" applyAlignment="1">
      <alignment horizontal="left" wrapText="1"/>
    </xf>
    <xf numFmtId="0" fontId="47" fillId="0" borderId="0" xfId="77" applyFont="1" applyBorder="1" applyAlignment="1">
      <alignment horizontal="center" vertical="center"/>
    </xf>
    <xf numFmtId="170" fontId="43" fillId="2" borderId="7" xfId="0" applyNumberFormat="1" applyFont="1" applyFill="1" applyBorder="1" applyAlignment="1">
      <alignment horizontal="center" vertical="center" wrapText="1"/>
    </xf>
    <xf numFmtId="170" fontId="43" fillId="2" borderId="8" xfId="0" applyNumberFormat="1" applyFont="1" applyFill="1" applyBorder="1" applyAlignment="1">
      <alignment horizontal="center" vertical="center" wrapText="1"/>
    </xf>
    <xf numFmtId="170" fontId="43" fillId="2" borderId="4" xfId="0" applyNumberFormat="1" applyFont="1" applyFill="1" applyBorder="1" applyAlignment="1">
      <alignment horizontal="center" vertical="center" wrapText="1"/>
    </xf>
    <xf numFmtId="0" fontId="45" fillId="2" borderId="1" xfId="0" applyFont="1" applyFill="1" applyBorder="1" applyAlignment="1">
      <alignment horizontal="center" vertical="center" wrapText="1"/>
    </xf>
    <xf numFmtId="0" fontId="44" fillId="2" borderId="1" xfId="0" applyFont="1" applyFill="1" applyBorder="1" applyAlignment="1">
      <alignment horizontal="center" vertical="center" wrapText="1"/>
    </xf>
    <xf numFmtId="170" fontId="16" fillId="2" borderId="7" xfId="0" applyNumberFormat="1" applyFont="1" applyFill="1" applyBorder="1" applyAlignment="1">
      <alignment horizontal="center" vertical="center" wrapText="1"/>
    </xf>
    <xf numFmtId="170" fontId="16" fillId="2" borderId="8" xfId="0" applyNumberFormat="1" applyFont="1" applyFill="1" applyBorder="1" applyAlignment="1">
      <alignment horizontal="center" vertical="center" wrapText="1"/>
    </xf>
    <xf numFmtId="170" fontId="16" fillId="2" borderId="4" xfId="0" applyNumberFormat="1" applyFont="1" applyFill="1" applyBorder="1" applyAlignment="1">
      <alignment horizontal="center" vertical="center" wrapText="1"/>
    </xf>
    <xf numFmtId="0" fontId="37" fillId="2" borderId="1" xfId="0" applyFont="1" applyFill="1" applyBorder="1" applyAlignment="1">
      <alignment horizontal="center" vertical="center" wrapText="1"/>
    </xf>
    <xf numFmtId="0" fontId="16" fillId="2" borderId="1" xfId="8" applyFont="1" applyFill="1" applyBorder="1" applyAlignment="1">
      <alignment horizontal="center" vertical="center" textRotation="90" wrapText="1"/>
    </xf>
    <xf numFmtId="0" fontId="16" fillId="2" borderId="1" xfId="8" applyFont="1" applyFill="1" applyBorder="1" applyAlignment="1">
      <alignment horizontal="center" vertical="center" wrapText="1"/>
    </xf>
  </cellXfs>
  <cellStyles count="80">
    <cellStyle name="Excel Built-in Normal" xfId="59" xr:uid="{00000000-0005-0000-0000-000000000000}"/>
    <cellStyle name="Гиперссылка" xfId="53" builtinId="8"/>
    <cellStyle name="Денежный 2" xfId="1" xr:uid="{00000000-0005-0000-0000-000002000000}"/>
    <cellStyle name="Денежный 3" xfId="2" xr:uid="{00000000-0005-0000-0000-000003000000}"/>
    <cellStyle name="Денежный 3 2" xfId="43" xr:uid="{00000000-0005-0000-0000-000004000000}"/>
    <cellStyle name="Обычный" xfId="0" builtinId="0"/>
    <cellStyle name="Обычный 10" xfId="25" xr:uid="{00000000-0005-0000-0000-000006000000}"/>
    <cellStyle name="Обычный 10 2" xfId="31" xr:uid="{00000000-0005-0000-0000-000007000000}"/>
    <cellStyle name="Обычный 10 3" xfId="34" xr:uid="{00000000-0005-0000-0000-000008000000}"/>
    <cellStyle name="Обычный 10 4" xfId="44" xr:uid="{00000000-0005-0000-0000-000009000000}"/>
    <cellStyle name="Обычный 10 5" xfId="50" xr:uid="{00000000-0005-0000-0000-00000A000000}"/>
    <cellStyle name="Обычный 11" xfId="40" xr:uid="{00000000-0005-0000-0000-00000B000000}"/>
    <cellStyle name="Обычный 11 2" xfId="46" xr:uid="{00000000-0005-0000-0000-00000C000000}"/>
    <cellStyle name="Обычный 12" xfId="55" xr:uid="{00000000-0005-0000-0000-00000D000000}"/>
    <cellStyle name="Обычный 13" xfId="71" xr:uid="{00000000-0005-0000-0000-00000E000000}"/>
    <cellStyle name="Обычный 15 2" xfId="77" xr:uid="{00000000-0005-0000-0000-00000F000000}"/>
    <cellStyle name="Обычный 2" xfId="3" xr:uid="{00000000-0005-0000-0000-000010000000}"/>
    <cellStyle name="Обычный 2 2" xfId="4" xr:uid="{00000000-0005-0000-0000-000011000000}"/>
    <cellStyle name="Обычный 2 2 2" xfId="36" xr:uid="{00000000-0005-0000-0000-000012000000}"/>
    <cellStyle name="Обычный 2 2 3" xfId="62" xr:uid="{00000000-0005-0000-0000-000013000000}"/>
    <cellStyle name="Обычный 2 3" xfId="5" xr:uid="{00000000-0005-0000-0000-000014000000}"/>
    <cellStyle name="Обычный 2 3 2" xfId="61" xr:uid="{00000000-0005-0000-0000-000015000000}"/>
    <cellStyle name="Обычный 2 4" xfId="6" xr:uid="{00000000-0005-0000-0000-000016000000}"/>
    <cellStyle name="Обычный 2 5" xfId="26" xr:uid="{00000000-0005-0000-0000-000017000000}"/>
    <cellStyle name="Обычный 2 5 2" xfId="33" xr:uid="{00000000-0005-0000-0000-000018000000}"/>
    <cellStyle name="Обычный 2 6" xfId="74" xr:uid="{00000000-0005-0000-0000-000019000000}"/>
    <cellStyle name="Обычный 3" xfId="7" xr:uid="{00000000-0005-0000-0000-00001A000000}"/>
    <cellStyle name="Обычный 3 2" xfId="42" xr:uid="{00000000-0005-0000-0000-00001B000000}"/>
    <cellStyle name="Обычный 3 2 2 2" xfId="78" xr:uid="{00000000-0005-0000-0000-00001C000000}"/>
    <cellStyle name="Обычный 4" xfId="8" xr:uid="{00000000-0005-0000-0000-00001D000000}"/>
    <cellStyle name="Обычный 4 2" xfId="9" xr:uid="{00000000-0005-0000-0000-00001E000000}"/>
    <cellStyle name="Обычный 4 3" xfId="10" xr:uid="{00000000-0005-0000-0000-00001F000000}"/>
    <cellStyle name="Обычный 4_Норильск" xfId="11" xr:uid="{00000000-0005-0000-0000-000020000000}"/>
    <cellStyle name="Обычный 5" xfId="12" xr:uid="{00000000-0005-0000-0000-000021000000}"/>
    <cellStyle name="Обычный 5 2" xfId="37" xr:uid="{00000000-0005-0000-0000-000022000000}"/>
    <cellStyle name="Обычный 5 3" xfId="54" xr:uid="{00000000-0005-0000-0000-000023000000}"/>
    <cellStyle name="Обычный 5 3 3 2" xfId="47" xr:uid="{00000000-0005-0000-0000-000024000000}"/>
    <cellStyle name="Обычный 5 4" xfId="67" xr:uid="{00000000-0005-0000-0000-000025000000}"/>
    <cellStyle name="Обычный 6" xfId="13" xr:uid="{00000000-0005-0000-0000-000026000000}"/>
    <cellStyle name="Обычный 6 2" xfId="63" xr:uid="{00000000-0005-0000-0000-000027000000}"/>
    <cellStyle name="Обычный 6 2 2" xfId="35" xr:uid="{00000000-0005-0000-0000-000028000000}"/>
    <cellStyle name="Обычный 6 3" xfId="70" xr:uid="{00000000-0005-0000-0000-000029000000}"/>
    <cellStyle name="Обычный 7" xfId="14" xr:uid="{00000000-0005-0000-0000-00002A000000}"/>
    <cellStyle name="Обычный 7 2" xfId="29" xr:uid="{00000000-0005-0000-0000-00002B000000}"/>
    <cellStyle name="Обычный 7 2 2" xfId="38" xr:uid="{00000000-0005-0000-0000-00002C000000}"/>
    <cellStyle name="Обычный 8" xfId="15" xr:uid="{00000000-0005-0000-0000-00002D000000}"/>
    <cellStyle name="Обычный 8 2" xfId="28" xr:uid="{00000000-0005-0000-0000-00002E000000}"/>
    <cellStyle name="Обычный 8 2 2" xfId="57" xr:uid="{00000000-0005-0000-0000-00002F000000}"/>
    <cellStyle name="Обычный 8 2 2 2" xfId="39" xr:uid="{00000000-0005-0000-0000-000030000000}"/>
    <cellStyle name="Обычный 8 2 2 2 2" xfId="45" xr:uid="{00000000-0005-0000-0000-000031000000}"/>
    <cellStyle name="Обычный 8 2 2 2 3" xfId="48" xr:uid="{00000000-0005-0000-0000-000032000000}"/>
    <cellStyle name="Обычный 8 2 2 2 4" xfId="58" xr:uid="{00000000-0005-0000-0000-000033000000}"/>
    <cellStyle name="Обычный 8 2 2 2 5" xfId="65" xr:uid="{00000000-0005-0000-0000-000034000000}"/>
    <cellStyle name="Обычный 8 2 2 2 6" xfId="68" xr:uid="{00000000-0005-0000-0000-000035000000}"/>
    <cellStyle name="Обычный 8 2 2 3" xfId="79" xr:uid="{00000000-0005-0000-0000-000036000000}"/>
    <cellStyle name="Обычный 8 2 3" xfId="73" xr:uid="{00000000-0005-0000-0000-000037000000}"/>
    <cellStyle name="Обычный 8 2 3 2" xfId="49" xr:uid="{00000000-0005-0000-0000-000038000000}"/>
    <cellStyle name="Обычный 9" xfId="21" xr:uid="{00000000-0005-0000-0000-000039000000}"/>
    <cellStyle name="Обычный 9 2" xfId="30" xr:uid="{00000000-0005-0000-0000-00003A000000}"/>
    <cellStyle name="Обычный 9 3" xfId="76" xr:uid="{00000000-0005-0000-0000-00003B000000}"/>
    <cellStyle name="Обычный_310 (972)" xfId="23" xr:uid="{00000000-0005-0000-0000-00003C000000}"/>
    <cellStyle name="Обычный_бредятина" xfId="24" xr:uid="{00000000-0005-0000-0000-00003D000000}"/>
    <cellStyle name="Обычный_План ФХД на 15.12.2011 г." xfId="51" xr:uid="{00000000-0005-0000-0000-00003E000000}"/>
    <cellStyle name="Обычный_ШР рязр. культ." xfId="16" xr:uid="{00000000-0005-0000-0000-00003F000000}"/>
    <cellStyle name="Процентный 2" xfId="17" xr:uid="{00000000-0005-0000-0000-000040000000}"/>
    <cellStyle name="Процентный 3" xfId="18" xr:uid="{00000000-0005-0000-0000-000041000000}"/>
    <cellStyle name="Финансовый 2" xfId="19" xr:uid="{00000000-0005-0000-0000-000042000000}"/>
    <cellStyle name="Финансовый 2 2" xfId="27" xr:uid="{00000000-0005-0000-0000-000043000000}"/>
    <cellStyle name="Финансовый 2 2 2" xfId="64" xr:uid="{00000000-0005-0000-0000-000044000000}"/>
    <cellStyle name="Финансовый 2 3" xfId="75" xr:uid="{00000000-0005-0000-0000-000045000000}"/>
    <cellStyle name="Финансовый 3" xfId="20" xr:uid="{00000000-0005-0000-0000-000046000000}"/>
    <cellStyle name="Финансовый 3 2" xfId="60" xr:uid="{00000000-0005-0000-0000-000047000000}"/>
    <cellStyle name="Финансовый 3 3" xfId="66" xr:uid="{00000000-0005-0000-0000-000048000000}"/>
    <cellStyle name="Финансовый 3 4" xfId="69" xr:uid="{00000000-0005-0000-0000-000049000000}"/>
    <cellStyle name="Финансовый 4" xfId="22" xr:uid="{00000000-0005-0000-0000-00004A000000}"/>
    <cellStyle name="Финансовый 4 2" xfId="32" xr:uid="{00000000-0005-0000-0000-00004B000000}"/>
    <cellStyle name="Финансовый 5" xfId="41" xr:uid="{00000000-0005-0000-0000-00004C000000}"/>
    <cellStyle name="Финансовый 6" xfId="52" xr:uid="{00000000-0005-0000-0000-00004D000000}"/>
    <cellStyle name="Финансовый 7" xfId="56" xr:uid="{00000000-0005-0000-0000-00004E000000}"/>
    <cellStyle name="Финансовый 8" xfId="72" xr:uid="{00000000-0005-0000-0000-00004F000000}"/>
  </cellStyles>
  <dxfs count="0"/>
  <tableStyles count="0" defaultTableStyle="TableStyleMedium9" defaultPivotStyle="PivotStyleLight16"/>
  <colors>
    <mruColors>
      <color rgb="FF00FFFF"/>
      <color rgb="FFFFFFCC"/>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8.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3.xml"/><Relationship Id="rId16" Type="http://schemas.openxmlformats.org/officeDocument/2006/relationships/worksheet" Target="worksheets/sheet16.xml"/><Relationship Id="rId107" Type="http://schemas.openxmlformats.org/officeDocument/2006/relationships/externalLink" Target="externalLinks/externalLink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3.xml"/><Relationship Id="rId123"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1.xml"/><Relationship Id="rId105" Type="http://schemas.openxmlformats.org/officeDocument/2006/relationships/externalLink" Target="externalLinks/externalLink6.xml"/><Relationship Id="rId113" Type="http://schemas.openxmlformats.org/officeDocument/2006/relationships/externalLink" Target="externalLinks/externalLink14.xml"/><Relationship Id="rId118" Type="http://schemas.openxmlformats.org/officeDocument/2006/relationships/externalLink" Target="externalLinks/externalLink1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2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4.xml"/><Relationship Id="rId108" Type="http://schemas.openxmlformats.org/officeDocument/2006/relationships/externalLink" Target="externalLinks/externalLink9.xml"/><Relationship Id="rId116" Type="http://schemas.openxmlformats.org/officeDocument/2006/relationships/externalLink" Target="externalLinks/externalLink17.xml"/><Relationship Id="rId124"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7.xml"/><Relationship Id="rId114" Type="http://schemas.openxmlformats.org/officeDocument/2006/relationships/externalLink" Target="externalLinks/externalLink15.xml"/><Relationship Id="rId119" Type="http://schemas.openxmlformats.org/officeDocument/2006/relationships/externalLink" Target="externalLinks/externalLink20.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2.xml"/><Relationship Id="rId12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5.xml"/><Relationship Id="rId120" Type="http://schemas.openxmlformats.org/officeDocument/2006/relationships/externalLink" Target="externalLinks/externalLink21.xml"/><Relationship Id="rId125"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1.xml"/><Relationship Id="rId115" Type="http://schemas.openxmlformats.org/officeDocument/2006/relationships/externalLink" Target="externalLinks/externalLink1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cnts4\userland\&#1041;&#1072;&#1083;&#1072;&#1085;&#1089;\An(EsMon)\SC_W\&#1055;&#1088;&#1086;&#1075;&#1085;&#1086;&#1079;\&#1055;&#1088;&#1086;&#1075;05_00(27.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050;&#1091;&#1088;&#1072;&#1085;&#1086;&#1074;/Pr(2000)Tabl/9&#1072;&#1087;&#1088;2003/V&#1094;&#1077;&#1083;2.1_2002.1.04.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ult11\plan\&#1050;&#1091;&#1088;&#1072;&#1085;&#1086;&#1074;\Pr(2000)Tabl\9&#1072;&#1087;&#1088;2003\V&#1094;&#1077;&#1083;2.1_2002.1.04.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cnts4\userland\&#1041;&#1072;&#1083;&#1072;&#1085;&#1089;\An(EsMon)\7.02.01\V&#1045;&#1052;_2001.5.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cnts4\userland\SC_W\&#1055;&#1088;&#1086;&#1075;&#1085;&#1086;&#1079;\&#1055;&#1088;&#1086;&#1075;05_00(27.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1061;&#1072;&#1085;&#1086;&#1074;&#1072;\&#1043;&#1088;(27.07.00)5&#106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Kult11\plan\&#1055;&#1051;&#1040;&#1053;&#1067;%20&#1060;&#1061;&#1044;%20&#1085;&#1072;%202020\&#1055;&#1060;&#1061;&#1044;%20&#1085;&#1072;%2001.01.2020\11.%20&#1043;&#1062;&#1050;\&#1043;&#1062;&#1050;%20&#1086;&#1073;&#1086;&#1089;&#1085;&#1086;&#1074;&#1072;&#1085;&#1080;&#1077;%20&#1076;&#1086;&#1093;&#1086;&#1076;&#1099;%2020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KULT11\plan\&#1055;&#1051;&#1040;&#1053;&#1067;%20&#1060;&#1061;&#1044;%20&#1085;&#1072;%202020\&#1055;&#1060;&#1061;&#1044;%20&#1085;&#1072;%2001.01.2020\8.%20&#1062;&#1041;&#1057;\&#1073;&#1102;&#1076;&#1078;&#1077;&#109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087;&#1083;&#1072;&#1085;&#1086;&#1074;&#1099;&#1081;%20&#1086;&#1090;&#1076;&#1077;&#1083;/&#1055;&#1060;&#1061;&#1044;%20&#1085;&#1072;%2001.01.2020/3.%20&#1053;&#1044;&#1061;&#1064;/&#1090;&#1077;&#1093;%20&#1086;&#1090;&#1076;&#1077;&#1083;/01.01.20/&#1053;&#1044;&#1061;&#1064;%20953,%2095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ULT11\plan\&#1055;&#1088;&#1086;&#1077;&#1082;&#1090;%20&#1073;&#1102;&#1076;&#1078;&#1077;&#1090;&#1072;%202020-2022\&#1059;&#1052;&#1047;\&#1059;&#1050;_28%20(953,%20954)%2030.07.201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ult11\plan\&#1055;&#1088;&#1086;&#1077;&#1082;&#1090;%20&#1073;&#1102;&#1076;&#1078;&#1077;&#1090;&#1072;%202020-2022\&#1101;&#1082;&#1086;&#1085;&#1086;&#1084;&#1080;&#1082;&#1072;\995\&#1057;&#1042;&#1054;&#1044;%2016%20(995)%202020-2022%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cnts4\userland\&#1041;&#1072;&#1083;&#1072;&#1085;&#1089;\An(EsMon)\7.02.01\SC_W\&#1055;&#1088;&#1086;&#1075;&#1085;&#1086;&#1079;\&#1055;&#1088;&#1086;&#1075;05_00(27.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lt11\plan\&#1056;&#1086;&#1076;&#1080;&#1090;&#1077;&#1083;&#1100;&#1089;&#1082;&#1072;&#1103;%20&#1087;&#1083;&#1072;&#1090;&#1072;%20&#1080;%20&#1089;&#1072;&#1084;&#1086;&#1086;&#1082;&#1091;&#1087;&#1072;&#1077;&#1084;&#1099;&#1077;%20&#1075;&#1088;&#1091;&#1087;&#1087;&#1099;\&#1057;&#1072;&#1084;&#1086;&#1086;&#1082;&#1091;&#1087;&#1072;&#1077;&#1084;&#1099;&#1077;%202019-2020\&#1053;&#1044;&#1061;&#1064;\+%201%20&#1075;&#1088;&#1091;&#1087;&#1087;&#1072;\2019-2020_01.11.19\8.%20&#1056;&#1072;&#1089;&#1093;&#1086;&#1076;&#1099;%20+01.11.1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Kult11\plan\&#1056;&#1086;&#1076;&#1080;&#1090;&#1077;&#1083;&#1100;&#1089;&#1082;&#1072;&#1103;%20&#1087;&#1083;&#1072;&#1090;&#1072;%20&#1080;%20&#1089;&#1072;&#1084;&#1086;&#1086;&#1082;&#1091;&#1087;&#1072;&#1077;&#1084;&#1099;&#1077;%20&#1075;&#1088;&#1091;&#1087;&#1087;&#1099;\&#1057;&#1072;&#1084;&#1086;&#1086;&#1082;&#1091;&#1087;&#1072;&#1077;&#1084;&#1099;&#1077;%202019-2020\&#1053;&#1044;&#1061;&#1064;\5%20&#1075;&#1088;&#1091;&#1087;\2019-2020_30.09.19\2.%20&#1088;&#1072;&#1089;&#1095;&#1077;&#1090;%20&#1089;&#1090;&#1086;&#1080;&#1084;&#1086;&#1089;&#1090;&#1080;%2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ult11\plan\&#1056;&#1086;&#1076;&#1080;&#1090;&#1077;&#1083;&#1100;&#1089;&#1082;&#1072;&#1103;%20&#1087;&#1083;&#1072;&#1090;&#1072;%20&#1080;%20&#1089;&#1072;&#1084;&#1086;&#1086;&#1082;&#1091;&#1087;&#1072;&#1077;&#1084;&#1099;&#1077;%20&#1075;&#1088;&#1091;&#1087;&#1087;&#1099;\&#1057;&#1072;&#1084;&#1086;&#1086;&#1082;&#1091;&#1087;&#1072;&#1077;&#1084;&#1099;&#1077;%202019-2020\&#1053;&#1044;&#1061;&#1064;\5%20&#1075;&#1088;&#1091;&#1087;\2019-2020_30.09.19\2.%20&#1088;&#1072;&#1089;&#1095;&#1077;&#1090;%20&#1089;&#1090;&#1086;&#1080;&#1084;&#1086;&#1089;&#1090;&#108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cnts4\userland\&#1041;&#1072;&#1083;&#1072;&#1085;&#1089;\An(EsMon)\7.02.01\&#1061;&#1072;&#1085;&#1086;&#1074;&#1072;\&#1043;&#1088;(27.07.00)5&#106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cnts4\userland\&#1041;&#1072;&#1083;&#1072;&#1085;&#1089;\An(EsMon)\&#1061;&#1072;&#1085;&#1086;&#1074;&#1072;\&#1043;&#1088;(27.07.00)5&#106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1061;&#1072;&#1085;&#1086;&#1074;&#1072;\&#1043;&#1088;(27.07.00)5&#10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SC_W\&#1055;&#1088;&#1086;&#1075;&#1085;&#1086;&#1079;\&#1055;&#1088;&#1086;&#1075;05_00(27.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SC_W\&#1055;&#1088;&#1086;&#1075;&#1085;&#1086;&#1079;\&#1055;&#1088;&#1086;&#1075;05_00(27.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cnts4\userland\&#1061;&#1072;&#1085;&#1086;&#1074;&#1072;\&#1043;&#1088;(27.07.00)5&#106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23.21.7\&#1087;&#1088;&#1080;&#1077;&#1084;&#1085;&#1072;&#1103;\&#1050;&#1091;&#1088;&#1072;&#1085;&#1086;&#1074;\Pr(2000)Tabl\9&#1072;&#1087;&#1088;2003\V&#1094;&#1077;&#1083;2.1_2002.1.04.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2)"/>
      <sheetName val="2004(v2) "/>
      <sheetName val="Печ"/>
      <sheetName val="2002(v1) "/>
      <sheetName val="2004(v1)  "/>
      <sheetName val="2002-03(v2) "/>
      <sheetName val="2002-03(v1)  "/>
      <sheetName val="I"/>
      <sheetName val="динамика цвет мет "/>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2)"/>
      <sheetName val="2004(v2) "/>
      <sheetName val="Печ"/>
      <sheetName val="2002(v1) "/>
      <sheetName val="2004(v1)  "/>
      <sheetName val="2002-03(v2) "/>
      <sheetName val="2002-03(v1)  "/>
      <sheetName val="I"/>
      <sheetName val="динамика цвет мет "/>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1)"/>
      <sheetName val="2002(v2)"/>
      <sheetName val="I"/>
      <sheetName val="Печv1"/>
      <sheetName val="Печv2 "/>
      <sheetName val="ПечМОНv1"/>
      <sheetName val="2002_v1_"/>
    </sheetNames>
    <sheetDataSet>
      <sheetData sheetId="0"/>
      <sheetData sheetId="1"/>
      <sheetData sheetId="2" refreshError="1"/>
      <sheetData sheetId="3" refreshError="1"/>
      <sheetData sheetId="4" refreshError="1"/>
      <sheetData sheetId="5" refreshError="1"/>
      <sheetData sheetId="6" refreshError="1"/>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Гр5_о_"/>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ока 1100 (120)"/>
      <sheetName val="строка 1110 (121) аренда"/>
      <sheetName val="строка 1200(130)"/>
      <sheetName val="субсидии стр1210(130)культ"/>
      <sheetName val="субсидии стр1210(130)туризм"/>
      <sheetName val="платные строка 1220 (131)"/>
      <sheetName val="штрафы строка 1300 (140)"/>
      <sheetName val="безвозм1400(150)"/>
      <sheetName val="безвозм1400(155)"/>
      <sheetName val="прочие строка 1500 (150)"/>
      <sheetName val="прочие поступ строка 1980 (510)"/>
    </sheetNames>
    <sheetDataSet>
      <sheetData sheetId="0" refreshError="1"/>
      <sheetData sheetId="1">
        <row r="20">
          <cell r="L20">
            <v>0</v>
          </cell>
          <cell r="M20">
            <v>0</v>
          </cell>
          <cell r="N20">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1,992,911 (01.01.20) 2020"/>
      <sheetName val="991,992,911 (01.01.20) 2021"/>
      <sheetName val="991,992,911 (01.01.20) 2022"/>
      <sheetName val="914 (01.01.20)"/>
      <sheetName val="919 (01.01.20)"/>
      <sheetName val="921 (01.01.20)"/>
    </sheetNames>
    <sheetDataSet>
      <sheetData sheetId="0">
        <row r="12">
          <cell r="K12">
            <v>283.8</v>
          </cell>
        </row>
        <row r="30">
          <cell r="K30" t="str">
            <v>А.Ю. Касьяненко</v>
          </cell>
        </row>
      </sheetData>
      <sheetData sheetId="1"/>
      <sheetData sheetId="2"/>
      <sheetData sheetId="3"/>
      <sheetData sheetId="4"/>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КДШИ"/>
      <sheetName val="НДХШ"/>
      <sheetName val="НДМШ"/>
      <sheetName val="ОДШИ"/>
      <sheetName val="НДШИ"/>
      <sheetName val="ТДШИ"/>
      <sheetName val="ЦБС"/>
      <sheetName val="Музей"/>
      <sheetName val="ГЦК"/>
      <sheetName val="Высоцкий"/>
      <sheetName val="Родина"/>
      <sheetName val="Юбилейный"/>
      <sheetName val="ОК УК"/>
      <sheetName val="Аппарат"/>
    </sheetNames>
    <sheetDataSet>
      <sheetData sheetId="0" refreshError="1"/>
      <sheetData sheetId="1">
        <row r="46">
          <cell r="B46" t="str">
            <v>Колесникова Оксана  Владимировна (2840): в части ДопКР 953, ДопКР 954 (размещение ТБО, утилизация ртутьсодержащих отходов)</v>
          </cell>
        </row>
        <row r="47">
          <cell r="B47" t="str">
            <v>Касьяненко Анастасия Юрьевна (2824): в части ДопКР 951, ДопКР 954 (кроме размещение ТБО, утилизация ртутьсодержащих отходов)</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КДШИ"/>
      <sheetName val="НДХШ"/>
      <sheetName val="НДМШ"/>
      <sheetName val="ОДШИ"/>
      <sheetName val="НДШИ"/>
      <sheetName val="ТДШИ"/>
      <sheetName val="ЦБС"/>
      <sheetName val="Музей"/>
      <sheetName val="ГЦК"/>
      <sheetName val="Высоцкий"/>
      <sheetName val="Родина"/>
      <sheetName val="Юбилейный"/>
      <sheetName val="ОК УК"/>
      <sheetName val="Аппарат"/>
    </sheetNames>
    <sheetDataSet>
      <sheetData sheetId="0" refreshError="1"/>
      <sheetData sheetId="1">
        <row r="46">
          <cell r="B46" t="str">
            <v>Колесникова Оксана  Владимировна (2840): в части ДопКР 953, ДопКР 954 (размещение ТБО, утилизация ртутьсодержащих отходов)</v>
          </cell>
        </row>
        <row r="47">
          <cell r="B47" t="str">
            <v>Касьяненко Анастасия Юрьевна (2824): в части ДопКР 951, ДопКР 954 (кроме размещение ТБО, утилизация ртутьсодержащих отходов)</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того"/>
      <sheetName val="СВОД 2"/>
      <sheetName val="СВОД"/>
      <sheetName val="КДШИ категор+++"/>
      <sheetName val="КДШИ средняя+++"/>
      <sheetName val="КДШИ Рук+"/>
      <sheetName val="КДШИ Спец+"/>
      <sheetName val="КДШИ Служ+"/>
      <sheetName val="КДШИ МОП+"/>
      <sheetName val="НДХШ категории+ "/>
      <sheetName val="НДХШ категор+++"/>
      <sheetName val="НДХШ средняя+++"/>
      <sheetName val="НДХШ Рук+"/>
      <sheetName val="НДХШ Спец+"/>
      <sheetName val="НДХШ Служ+"/>
      <sheetName val="НДХШ МОП+"/>
      <sheetName val="НДМШ категории+"/>
      <sheetName val="ндмш категор+++"/>
      <sheetName val="НДМШ средн+++"/>
      <sheetName val="НДМШ Рук+"/>
      <sheetName val="НДМШ Спец+"/>
      <sheetName val="НДМШ Служ+"/>
      <sheetName val="НДМШ МОП+"/>
      <sheetName val="НДШИ категории+ "/>
      <sheetName val="НДШИ категор+++"/>
      <sheetName val="НДШИ средн+++"/>
      <sheetName val="НДШИ Рук+"/>
      <sheetName val="НДШИ Спец+"/>
      <sheetName val="НДШИ Служ+"/>
      <sheetName val="НДШИ МОП+"/>
      <sheetName val="ОДШИ категории+"/>
      <sheetName val="ОДШИ категор+++"/>
      <sheetName val="ОДШИ средн+++"/>
      <sheetName val="ОДШИ  Рук+"/>
      <sheetName val="ОДШИ  Спец+"/>
      <sheetName val="ОДШИ  Служ+"/>
      <sheetName val="ОДШИ  МОП+"/>
      <sheetName val="ТДШИ категории+"/>
      <sheetName val="ТДШИ категор+++"/>
      <sheetName val="ТДШИ средняя+++"/>
      <sheetName val="ТДШИ Рук+"/>
      <sheetName val="ТДШИ Спец+"/>
      <sheetName val="ТДШИ Служ+"/>
      <sheetName val="ТДШИ МОП+"/>
      <sheetName val="ТДШИ категор доп сеть"/>
      <sheetName val="ТДШИ средняя доп сеть"/>
      <sheetName val="ЦБС категории+++"/>
      <sheetName val="музей категории+"/>
      <sheetName val="музей категор+++ (2)"/>
      <sheetName val="музей категор+++"/>
      <sheetName val="музей средняя+++"/>
      <sheetName val="музей Рук+"/>
      <sheetName val="музей Спец+"/>
      <sheetName val="музей Служ+"/>
      <sheetName val="музей МОП+"/>
      <sheetName val="гцк категории+"/>
      <sheetName val="гцк категор+++"/>
      <sheetName val="гцк средняя+++"/>
      <sheetName val="гцк Рук+"/>
      <sheetName val="гцк Спец+"/>
      <sheetName val="гцк Служ+"/>
      <sheetName val="гцк МОП+"/>
      <sheetName val="Родина категории+"/>
      <sheetName val="родина категории+++"/>
      <sheetName val="родина средняя+++"/>
      <sheetName val="родина Рук+"/>
      <sheetName val="родина Спец+"/>
      <sheetName val="родина Служ+"/>
      <sheetName val="родина МОП+"/>
      <sheetName val="Высоцкий категории+"/>
      <sheetName val="Высоцкий категории +++"/>
      <sheetName val="высоцкий средняя +++"/>
      <sheetName val="высоцкий Рук+"/>
      <sheetName val="высоцкий Спец+"/>
      <sheetName val="высоцкий Служ+"/>
      <sheetName val="высоцкий МОП+"/>
      <sheetName val="Юбилейный категор+++ "/>
      <sheetName val="Юбилейный категории+"/>
      <sheetName val="Юбилейный средняя+++"/>
      <sheetName val="Юбилейный Рук+"/>
      <sheetName val="Юбилейный Спец+"/>
      <sheetName val="Юбилейный Служ+"/>
      <sheetName val="Юбилейный МОП+"/>
      <sheetName val="ОК УК категории+"/>
      <sheetName val="ОК УК категор +++"/>
      <sheetName val="ок ук Рук+"/>
      <sheetName val="ок ук Спец+"/>
      <sheetName val="ок ук Служ+"/>
      <sheetName val="ок ук МОП+"/>
      <sheetName val=" Свод ОК УК по должн+"/>
      <sheetName val="аппарат ОК УК+"/>
      <sheetName val="убор ОК УК+"/>
      <sheetName val="дворник ОК УК+"/>
      <sheetName val="раб по КОЗ, подс раб  ОК УК+"/>
      <sheetName val="окук"/>
      <sheetName val="ок ук средняя +++"/>
      <sheetName val="Управление МС"/>
      <sheetName val="Управление НС"/>
      <sheetName val="Аппарат МС сред"/>
      <sheetName val="Аппарат НС сред"/>
      <sheetName val="факт 2017"/>
      <sheetName val="план 2018"/>
      <sheetName val="расход май 2018"/>
      <sheetName val="план 18 апп ок ук"/>
      <sheetName val="факт 17 апп,ок ук"/>
    </sheetNames>
    <sheetDataSet>
      <sheetData sheetId="0"/>
      <sheetData sheetId="1"/>
      <sheetData sheetId="2"/>
      <sheetData sheetId="3"/>
      <sheetData sheetId="4">
        <row r="80">
          <cell r="D80">
            <v>55</v>
          </cell>
        </row>
      </sheetData>
      <sheetData sheetId="5"/>
      <sheetData sheetId="6"/>
      <sheetData sheetId="7"/>
      <sheetData sheetId="8"/>
      <sheetData sheetId="9"/>
      <sheetData sheetId="10"/>
      <sheetData sheetId="11">
        <row r="79">
          <cell r="D79">
            <v>29</v>
          </cell>
        </row>
        <row r="80">
          <cell r="F80">
            <v>5.3167586206896535</v>
          </cell>
          <cell r="L80">
            <v>4.8412648275862065</v>
          </cell>
          <cell r="O80">
            <v>6.1786077419354841</v>
          </cell>
        </row>
      </sheetData>
      <sheetData sheetId="12"/>
      <sheetData sheetId="13"/>
      <sheetData sheetId="14"/>
      <sheetData sheetId="15"/>
      <sheetData sheetId="16"/>
      <sheetData sheetId="17"/>
      <sheetData sheetId="18">
        <row r="80">
          <cell r="D80">
            <v>46</v>
          </cell>
        </row>
      </sheetData>
      <sheetData sheetId="19"/>
      <sheetData sheetId="20"/>
      <sheetData sheetId="21"/>
      <sheetData sheetId="22"/>
      <sheetData sheetId="23"/>
      <sheetData sheetId="24"/>
      <sheetData sheetId="25">
        <row r="80">
          <cell r="D80">
            <v>78</v>
          </cell>
        </row>
      </sheetData>
      <sheetData sheetId="26"/>
      <sheetData sheetId="27"/>
      <sheetData sheetId="28"/>
      <sheetData sheetId="29"/>
      <sheetData sheetId="30"/>
      <sheetData sheetId="31"/>
      <sheetData sheetId="32">
        <row r="76">
          <cell r="D76">
            <v>28</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71">
          <cell r="D71">
            <v>44</v>
          </cell>
        </row>
      </sheetData>
      <sheetData sheetId="58"/>
      <sheetData sheetId="59"/>
      <sheetData sheetId="60"/>
      <sheetData sheetId="61"/>
      <sheetData sheetId="62"/>
      <sheetData sheetId="63"/>
      <sheetData sheetId="64">
        <row r="73">
          <cell r="D73">
            <v>6</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73">
          <cell r="J73">
            <v>15</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ы"/>
    </sheetNames>
    <sheetDataSet>
      <sheetData sheetId="0">
        <row r="15">
          <cell r="H15">
            <v>3189.6000000000004</v>
          </cell>
        </row>
        <row r="16">
          <cell r="H16">
            <v>579.59999999999991</v>
          </cell>
        </row>
        <row r="17">
          <cell r="H17">
            <v>1209.5999999999999</v>
          </cell>
        </row>
        <row r="18">
          <cell r="H18">
            <v>1500</v>
          </cell>
        </row>
        <row r="19">
          <cell r="H19">
            <v>4496.3999999999996</v>
          </cell>
        </row>
        <row r="20">
          <cell r="H20">
            <v>420</v>
          </cell>
        </row>
        <row r="21">
          <cell r="H21">
            <v>22550.119200000001</v>
          </cell>
        </row>
        <row r="22">
          <cell r="H22">
            <v>2160</v>
          </cell>
        </row>
        <row r="23">
          <cell r="H23">
            <v>2114.6987999999956</v>
          </cell>
        </row>
        <row r="24">
          <cell r="H24">
            <v>10500</v>
          </cell>
        </row>
        <row r="25">
          <cell r="H25">
            <v>696</v>
          </cell>
        </row>
        <row r="26">
          <cell r="H26">
            <v>22219.199999999997</v>
          </cell>
        </row>
        <row r="27">
          <cell r="H27">
            <v>364.78200000000004</v>
          </cell>
        </row>
        <row r="28">
          <cell r="H28">
            <v>72000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Расчет цены"/>
      <sheetName val="ДХШ Керамист"/>
      <sheetName val="КШИ Акварелька"/>
      <sheetName val="КШИ Каранд"/>
      <sheetName val="НДШИ хореогр"/>
      <sheetName val="НДШИ эстет"/>
    </sheetNames>
    <sheetDataSet>
      <sheetData sheetId="0" refreshError="1"/>
      <sheetData sheetId="1">
        <row r="34">
          <cell r="F34">
            <v>45100.238399999995</v>
          </cell>
        </row>
        <row r="35">
          <cell r="F35">
            <v>45359.5</v>
          </cell>
        </row>
      </sheetData>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Кисточка"/>
      <sheetName val="Акварелька"/>
      <sheetName val="Палитра"/>
      <sheetName val="Радуга"/>
      <sheetName val="Цвет"/>
      <sheetName val="ДХШ Керамист"/>
      <sheetName val="КШИ Акварелька"/>
      <sheetName val="КШИ Каранд"/>
      <sheetName val="НДШИ хореогр"/>
      <sheetName val="НДШИ эстет"/>
    </sheetNames>
    <sheetDataSet>
      <sheetData sheetId="0"/>
      <sheetData sheetId="1">
        <row r="42">
          <cell r="F42">
            <v>135949.32210617283</v>
          </cell>
        </row>
      </sheetData>
      <sheetData sheetId="2">
        <row r="42">
          <cell r="F42">
            <v>135949.32210617283</v>
          </cell>
        </row>
      </sheetData>
      <sheetData sheetId="3">
        <row r="42">
          <cell r="F42">
            <v>135949.32210617283</v>
          </cell>
        </row>
      </sheetData>
      <sheetData sheetId="4">
        <row r="42">
          <cell r="F42">
            <v>135949.32210617283</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Гр5_о_"/>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Гр5_о_"/>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Гр5_о_"/>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Гр5_о_"/>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2)"/>
      <sheetName val="2004(v2) "/>
      <sheetName val="Печ"/>
      <sheetName val="2002(v1) "/>
      <sheetName val="2004(v1)  "/>
      <sheetName val="2002-03(v2) "/>
      <sheetName val="2002-03(v1)  "/>
      <sheetName val="I"/>
      <sheetName val="динамика цвет мет "/>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CCC"/>
    <pageSetUpPr fitToPage="1"/>
  </sheetPr>
  <dimension ref="A2:W46"/>
  <sheetViews>
    <sheetView view="pageBreakPreview" zoomScale="80" zoomScaleNormal="100" zoomScaleSheetLayoutView="80" workbookViewId="0">
      <pane xSplit="1" ySplit="9" topLeftCell="B10" activePane="bottomRight" state="frozen"/>
      <selection activeCell="M26" sqref="M26:N26"/>
      <selection pane="topRight" activeCell="M26" sqref="M26:N26"/>
      <selection pane="bottomLeft" activeCell="M26" sqref="M26:N26"/>
      <selection pane="bottomRight" activeCell="M26" sqref="M26:N26"/>
    </sheetView>
  </sheetViews>
  <sheetFormatPr defaultRowHeight="15" x14ac:dyDescent="0.25"/>
  <cols>
    <col min="1" max="1" width="59.6640625" style="7" customWidth="1"/>
    <col min="2" max="2" width="11.6640625" style="7" customWidth="1"/>
    <col min="3" max="3" width="14.6640625" style="7" customWidth="1"/>
    <col min="4" max="4" width="14" style="7" customWidth="1"/>
    <col min="5" max="20" width="14.83203125" style="13" customWidth="1"/>
    <col min="21" max="21" width="12.5" style="7" customWidth="1"/>
    <col min="22" max="22" width="15.5" style="7" bestFit="1" customWidth="1"/>
    <col min="23" max="23" width="14.33203125" style="7" customWidth="1"/>
    <col min="24" max="24" width="11.5" style="7" bestFit="1" customWidth="1"/>
    <col min="25" max="16384" width="9.33203125" style="7"/>
  </cols>
  <sheetData>
    <row r="2" spans="1:23" x14ac:dyDescent="0.25">
      <c r="A2" s="2223" t="s">
        <v>168</v>
      </c>
      <c r="B2" s="2223"/>
      <c r="C2" s="2223"/>
      <c r="D2" s="2223"/>
      <c r="E2" s="2223"/>
      <c r="F2" s="2223"/>
      <c r="G2" s="2223"/>
      <c r="H2" s="2223"/>
      <c r="I2" s="2223"/>
      <c r="J2" s="2223"/>
      <c r="K2" s="2223"/>
      <c r="L2" s="2223"/>
      <c r="M2" s="2223"/>
      <c r="N2" s="2223"/>
      <c r="O2" s="2223"/>
      <c r="P2" s="2223"/>
      <c r="Q2" s="2223"/>
      <c r="R2" s="2223"/>
      <c r="S2" s="2223"/>
      <c r="T2" s="2223"/>
      <c r="U2" s="2223"/>
      <c r="V2" s="2223"/>
      <c r="W2" s="2223"/>
    </row>
    <row r="4" spans="1:23" x14ac:dyDescent="0.25">
      <c r="A4" s="2223" t="s">
        <v>169</v>
      </c>
      <c r="B4" s="2223"/>
      <c r="C4" s="2223"/>
      <c r="D4" s="2223"/>
      <c r="E4" s="2223"/>
      <c r="F4" s="2223"/>
      <c r="G4" s="2223"/>
      <c r="H4" s="2223"/>
      <c r="I4" s="2223"/>
      <c r="J4" s="2223"/>
      <c r="K4" s="2223"/>
      <c r="L4" s="2223"/>
      <c r="M4" s="2223"/>
      <c r="N4" s="2223"/>
      <c r="O4" s="2223"/>
      <c r="P4" s="2223"/>
      <c r="Q4" s="2223"/>
      <c r="R4" s="2223"/>
      <c r="S4" s="2223"/>
      <c r="T4" s="2223"/>
      <c r="U4" s="2223"/>
      <c r="V4" s="2223"/>
      <c r="W4" s="2223"/>
    </row>
    <row r="5" spans="1:23" x14ac:dyDescent="0.25">
      <c r="A5" s="291"/>
      <c r="B5" s="291"/>
      <c r="C5" s="291"/>
      <c r="D5" s="291"/>
      <c r="E5" s="291"/>
      <c r="F5" s="291"/>
      <c r="G5" s="291"/>
      <c r="H5" s="291"/>
      <c r="I5" s="291"/>
      <c r="J5" s="291"/>
      <c r="K5" s="291"/>
      <c r="L5" s="291"/>
      <c r="M5" s="291"/>
      <c r="N5" s="291"/>
      <c r="O5" s="291"/>
      <c r="P5" s="291"/>
      <c r="Q5" s="291"/>
      <c r="R5" s="291"/>
      <c r="S5" s="291"/>
      <c r="T5" s="291"/>
      <c r="U5" s="291"/>
      <c r="V5" s="291"/>
      <c r="W5" s="291"/>
    </row>
    <row r="6" spans="1:23" x14ac:dyDescent="0.25">
      <c r="A6" s="291"/>
      <c r="B6" s="291"/>
      <c r="C6" s="291"/>
      <c r="D6" s="291"/>
      <c r="E6" s="291"/>
      <c r="F6" s="291"/>
      <c r="G6" s="291"/>
      <c r="H6" s="291"/>
      <c r="I6" s="291"/>
      <c r="J6" s="291"/>
      <c r="K6" s="291"/>
      <c r="L6" s="291"/>
      <c r="M6" s="291"/>
      <c r="N6" s="291"/>
      <c r="O6" s="291"/>
      <c r="P6" s="291"/>
      <c r="Q6" s="291"/>
      <c r="R6" s="291"/>
      <c r="S6" s="291"/>
      <c r="T6" s="291"/>
      <c r="U6" s="291"/>
      <c r="V6" s="291"/>
      <c r="W6" s="291"/>
    </row>
    <row r="7" spans="1:23" x14ac:dyDescent="0.25">
      <c r="A7" s="7" t="s">
        <v>170</v>
      </c>
    </row>
    <row r="8" spans="1:23" ht="42.75" customHeight="1" x14ac:dyDescent="0.25">
      <c r="A8" s="2233" t="s">
        <v>95</v>
      </c>
      <c r="B8" s="2234" t="s">
        <v>98</v>
      </c>
      <c r="C8" s="2236" t="s">
        <v>140</v>
      </c>
      <c r="D8" s="2237"/>
      <c r="E8" s="2238"/>
      <c r="F8" s="2236" t="s">
        <v>152</v>
      </c>
      <c r="G8" s="2237"/>
      <c r="H8" s="2238"/>
      <c r="I8" s="2224" t="s">
        <v>165</v>
      </c>
      <c r="J8" s="2225"/>
      <c r="K8" s="2226"/>
      <c r="L8" s="2224" t="s">
        <v>172</v>
      </c>
      <c r="M8" s="2225"/>
      <c r="N8" s="2226"/>
      <c r="O8" s="2224" t="s">
        <v>8</v>
      </c>
      <c r="P8" s="2225"/>
      <c r="Q8" s="2226"/>
      <c r="R8" s="2224" t="s">
        <v>173</v>
      </c>
      <c r="S8" s="2225"/>
      <c r="T8" s="2226"/>
      <c r="U8" s="2239" t="s">
        <v>174</v>
      </c>
      <c r="V8" s="2239"/>
      <c r="W8" s="2239"/>
    </row>
    <row r="9" spans="1:23" ht="27.75" customHeight="1" x14ac:dyDescent="0.25">
      <c r="A9" s="2233"/>
      <c r="B9" s="2235"/>
      <c r="C9" s="292">
        <v>991</v>
      </c>
      <c r="D9" s="292">
        <v>992</v>
      </c>
      <c r="E9" s="15">
        <v>911</v>
      </c>
      <c r="F9" s="292">
        <v>991</v>
      </c>
      <c r="G9" s="292">
        <v>992</v>
      </c>
      <c r="H9" s="15">
        <v>911</v>
      </c>
      <c r="I9" s="294">
        <v>991</v>
      </c>
      <c r="J9" s="294">
        <v>992</v>
      </c>
      <c r="K9" s="294">
        <v>911</v>
      </c>
      <c r="L9" s="294">
        <v>991</v>
      </c>
      <c r="M9" s="294">
        <v>992</v>
      </c>
      <c r="N9" s="294"/>
      <c r="O9" s="294">
        <v>991</v>
      </c>
      <c r="P9" s="294">
        <v>992</v>
      </c>
      <c r="Q9" s="294">
        <v>911</v>
      </c>
      <c r="R9" s="294">
        <v>991</v>
      </c>
      <c r="S9" s="294">
        <v>992</v>
      </c>
      <c r="T9" s="294">
        <v>911</v>
      </c>
      <c r="U9" s="292">
        <v>991</v>
      </c>
      <c r="V9" s="293">
        <v>992</v>
      </c>
      <c r="W9" s="292">
        <v>911</v>
      </c>
    </row>
    <row r="10" spans="1:23" s="13" customFormat="1" ht="38.25" customHeight="1" x14ac:dyDescent="0.25">
      <c r="A10" s="273" t="s">
        <v>111</v>
      </c>
      <c r="B10" s="8">
        <f>'музей 2020'!C28</f>
        <v>64.5</v>
      </c>
      <c r="C10" s="10">
        <f>'музей 2020'!G34</f>
        <v>39360.400000000001</v>
      </c>
      <c r="D10" s="10">
        <f>'музей 2020'!H34</f>
        <v>11661.7</v>
      </c>
      <c r="E10" s="10">
        <v>897</v>
      </c>
      <c r="F10" s="10"/>
      <c r="G10" s="10"/>
      <c r="H10" s="10"/>
      <c r="I10" s="295">
        <f>'музей 2020'!V28</f>
        <v>39360.400000000001</v>
      </c>
      <c r="J10" s="295">
        <f>'музей 2020'!W28</f>
        <v>11654.6</v>
      </c>
      <c r="K10" s="295">
        <f>'музей 2020'!AH28</f>
        <v>1677</v>
      </c>
      <c r="L10" s="295">
        <v>12072.6</v>
      </c>
      <c r="M10" s="295">
        <v>3617.2</v>
      </c>
      <c r="N10" s="295"/>
      <c r="O10" s="295">
        <f>I10+L10</f>
        <v>51433</v>
      </c>
      <c r="P10" s="295">
        <f t="shared" ref="P10:Q10" si="0">J10+M10</f>
        <v>15271.8</v>
      </c>
      <c r="Q10" s="295">
        <f t="shared" si="0"/>
        <v>1677</v>
      </c>
      <c r="R10" s="295">
        <v>51466.7</v>
      </c>
      <c r="S10" s="295">
        <v>15317.8</v>
      </c>
      <c r="T10" s="295">
        <v>1677</v>
      </c>
      <c r="U10" s="10">
        <f>R10-O10</f>
        <v>33.700000000000003</v>
      </c>
      <c r="V10" s="10">
        <f t="shared" ref="V10:W10" si="1">S10-P10</f>
        <v>46</v>
      </c>
      <c r="W10" s="10">
        <f t="shared" si="1"/>
        <v>0</v>
      </c>
    </row>
    <row r="11" spans="1:23" s="13" customFormat="1" x14ac:dyDescent="0.25">
      <c r="A11" s="273" t="s">
        <v>133</v>
      </c>
      <c r="B11" s="9" t="e">
        <f>#REF!</f>
        <v>#REF!</v>
      </c>
      <c r="C11" s="10" t="e">
        <f>#REF!</f>
        <v>#REF!</v>
      </c>
      <c r="D11" s="10" t="e">
        <f>#REF!</f>
        <v>#REF!</v>
      </c>
      <c r="E11" s="10">
        <v>3224</v>
      </c>
      <c r="F11" s="10" t="e">
        <f>#REF!</f>
        <v>#REF!</v>
      </c>
      <c r="G11" s="10" t="e">
        <f>#REF!</f>
        <v>#REF!</v>
      </c>
      <c r="H11" s="10"/>
      <c r="I11" s="295" t="e">
        <f>#REF!</f>
        <v>#REF!</v>
      </c>
      <c r="J11" s="295" t="e">
        <f>#REF!</f>
        <v>#REF!</v>
      </c>
      <c r="K11" s="295" t="e">
        <f>#REF!</f>
        <v>#REF!</v>
      </c>
      <c r="L11" s="295">
        <v>24676.400000000001</v>
      </c>
      <c r="M11" s="295">
        <v>7431.5</v>
      </c>
      <c r="N11" s="295"/>
      <c r="O11" s="295" t="e">
        <f t="shared" ref="O11:O15" si="2">I11+L11</f>
        <v>#REF!</v>
      </c>
      <c r="P11" s="295" t="e">
        <f t="shared" ref="P11:P15" si="3">J11+M11</f>
        <v>#REF!</v>
      </c>
      <c r="Q11" s="295" t="e">
        <f t="shared" ref="Q11:Q15" si="4">K11+N11</f>
        <v>#REF!</v>
      </c>
      <c r="R11" s="295">
        <v>104789.4</v>
      </c>
      <c r="S11" s="295">
        <v>31487.5</v>
      </c>
      <c r="T11" s="295">
        <v>4140.5</v>
      </c>
      <c r="U11" s="10" t="e">
        <f>R11-O11</f>
        <v>#REF!</v>
      </c>
      <c r="V11" s="10" t="e">
        <f t="shared" ref="V11" si="5">S11-P11</f>
        <v>#REF!</v>
      </c>
      <c r="W11" s="10" t="e">
        <f t="shared" ref="W11" si="6">T11-Q11</f>
        <v>#REF!</v>
      </c>
    </row>
    <row r="12" spans="1:23" s="13" customFormat="1" x14ac:dyDescent="0.25">
      <c r="A12" s="273" t="s">
        <v>112</v>
      </c>
      <c r="B12" s="8">
        <f>'Родина 2020'!C21</f>
        <v>15.5</v>
      </c>
      <c r="C12" s="10">
        <f>'Родина 2020'!G28</f>
        <v>8874.7000000000007</v>
      </c>
      <c r="D12" s="10">
        <f>'Родина 2020'!H28</f>
        <v>2640.7</v>
      </c>
      <c r="E12" s="10">
        <v>546</v>
      </c>
      <c r="F12" s="10"/>
      <c r="G12" s="10"/>
      <c r="H12" s="10"/>
      <c r="I12" s="295">
        <f>'Родина 2020'!V21</f>
        <v>8874.7000000000007</v>
      </c>
      <c r="J12" s="295">
        <f>'Родина 2020'!W21</f>
        <v>2635.8</v>
      </c>
      <c r="K12" s="295">
        <f>'Родина 2020'!AH21</f>
        <v>253.5</v>
      </c>
      <c r="L12" s="295">
        <v>2722.1</v>
      </c>
      <c r="M12" s="295">
        <v>816</v>
      </c>
      <c r="N12" s="295"/>
      <c r="O12" s="295">
        <f t="shared" ref="O12" si="7">I12+L12</f>
        <v>11596.8</v>
      </c>
      <c r="P12" s="295">
        <f t="shared" ref="P12" si="8">J12+M12</f>
        <v>3451.8</v>
      </c>
      <c r="Q12" s="295">
        <f t="shared" ref="Q12" si="9">K12+N12</f>
        <v>253.5</v>
      </c>
      <c r="R12" s="2227">
        <v>114402.6</v>
      </c>
      <c r="S12" s="2227">
        <v>33648.800000000003</v>
      </c>
      <c r="T12" s="2227">
        <v>2996.5</v>
      </c>
      <c r="U12" s="2230">
        <f>R12-O12-O13-O14-O15</f>
        <v>-133</v>
      </c>
      <c r="V12" s="2230">
        <f>S12-P12-P13-P14-P15</f>
        <v>-94.1</v>
      </c>
      <c r="W12" s="2230">
        <f>T12-Q12-Q13-Q14-Q15</f>
        <v>0</v>
      </c>
    </row>
    <row r="13" spans="1:23" s="13" customFormat="1" x14ac:dyDescent="0.25">
      <c r="A13" s="273" t="s">
        <v>113</v>
      </c>
      <c r="B13" s="9">
        <f>'ГЦК+Энергия 2020'!C52</f>
        <v>59.75</v>
      </c>
      <c r="C13" s="10">
        <f>'ГЦК+Энергия 2020'!G57</f>
        <v>46179.199999999997</v>
      </c>
      <c r="D13" s="10">
        <f>'ГЦК+Энергия 2020'!H57</f>
        <v>13446.9</v>
      </c>
      <c r="E13" s="10">
        <v>1351.3</v>
      </c>
      <c r="F13" s="10">
        <f>'ГЦК+Энергия 2020'!I57</f>
        <v>678.3</v>
      </c>
      <c r="G13" s="10">
        <f>'ГЦК+Энергия 2020'!J57</f>
        <v>204.8</v>
      </c>
      <c r="H13" s="10"/>
      <c r="I13" s="295">
        <f>'ГЦК+Энергия 2020'!V52</f>
        <v>45500.9</v>
      </c>
      <c r="J13" s="295">
        <f>'ГЦК+Энергия 2020'!W52</f>
        <v>13348.7</v>
      </c>
      <c r="K13" s="295">
        <f>'ГЦК+Энергия 2020'!AH52</f>
        <v>1924</v>
      </c>
      <c r="L13" s="295">
        <v>14164.1</v>
      </c>
      <c r="M13" s="295">
        <v>4215.2</v>
      </c>
      <c r="N13" s="295"/>
      <c r="O13" s="295">
        <f t="shared" si="2"/>
        <v>59665</v>
      </c>
      <c r="P13" s="295">
        <f t="shared" si="3"/>
        <v>17563.900000000001</v>
      </c>
      <c r="Q13" s="295">
        <f t="shared" si="4"/>
        <v>1924</v>
      </c>
      <c r="R13" s="2228"/>
      <c r="S13" s="2228"/>
      <c r="T13" s="2228"/>
      <c r="U13" s="2231"/>
      <c r="V13" s="2231"/>
      <c r="W13" s="2231"/>
    </row>
    <row r="14" spans="1:23" s="13" customFormat="1" ht="19.5" customHeight="1" x14ac:dyDescent="0.25">
      <c r="A14" s="273" t="s">
        <v>114</v>
      </c>
      <c r="B14" s="9">
        <f>'Юбилейный 2020'!C25</f>
        <v>19</v>
      </c>
      <c r="C14" s="10">
        <f>'Юбилейный 2020'!G31</f>
        <v>14722.5</v>
      </c>
      <c r="D14" s="10">
        <f>'Юбилейный 2020'!H31</f>
        <v>4245.1000000000004</v>
      </c>
      <c r="E14" s="10">
        <v>429</v>
      </c>
      <c r="F14" s="10"/>
      <c r="G14" s="10"/>
      <c r="H14" s="10"/>
      <c r="I14" s="295">
        <f>'Юбилейный 2020'!V25</f>
        <v>14722.5</v>
      </c>
      <c r="J14" s="295">
        <f>'Юбилейный 2020'!W25</f>
        <v>4305.6000000000004</v>
      </c>
      <c r="K14" s="295">
        <f>'Юбилейный 2020'!AH25</f>
        <v>370.5</v>
      </c>
      <c r="L14" s="295">
        <v>4515.6000000000004</v>
      </c>
      <c r="M14" s="295">
        <v>1337.9</v>
      </c>
      <c r="N14" s="295"/>
      <c r="O14" s="295">
        <f t="shared" si="2"/>
        <v>19238.099999999999</v>
      </c>
      <c r="P14" s="295">
        <f t="shared" si="3"/>
        <v>5643.5</v>
      </c>
      <c r="Q14" s="295">
        <f t="shared" si="4"/>
        <v>370.5</v>
      </c>
      <c r="R14" s="2228"/>
      <c r="S14" s="2228"/>
      <c r="T14" s="2228"/>
      <c r="U14" s="2231"/>
      <c r="V14" s="2231"/>
      <c r="W14" s="2231"/>
    </row>
    <row r="15" spans="1:23" s="13" customFormat="1" ht="32.25" customHeight="1" x14ac:dyDescent="0.25">
      <c r="A15" s="273" t="s">
        <v>115</v>
      </c>
      <c r="B15" s="9">
        <f>'Высоцкий 2020'!C28</f>
        <v>25</v>
      </c>
      <c r="C15" s="10">
        <f>'Высоцкий 2020'!G33</f>
        <v>18394</v>
      </c>
      <c r="D15" s="10">
        <f>'Высоцкий 2020'!H33</f>
        <v>5393.9</v>
      </c>
      <c r="E15" s="10">
        <v>799.5</v>
      </c>
      <c r="F15" s="10"/>
      <c r="G15" s="10"/>
      <c r="H15" s="10"/>
      <c r="I15" s="295">
        <f>'Высоцкий 2020'!V28</f>
        <v>18394</v>
      </c>
      <c r="J15" s="295">
        <f>'Высоцкий 2020'!W28</f>
        <v>5400.8</v>
      </c>
      <c r="K15" s="295">
        <f>'Высоцкий 2020'!AH28</f>
        <v>448.5</v>
      </c>
      <c r="L15" s="295">
        <v>5641.7</v>
      </c>
      <c r="M15" s="295">
        <v>1682.9</v>
      </c>
      <c r="N15" s="295"/>
      <c r="O15" s="295">
        <f t="shared" si="2"/>
        <v>24035.7</v>
      </c>
      <c r="P15" s="295">
        <f t="shared" si="3"/>
        <v>7083.7</v>
      </c>
      <c r="Q15" s="295">
        <f t="shared" si="4"/>
        <v>448.5</v>
      </c>
      <c r="R15" s="2229"/>
      <c r="S15" s="2229"/>
      <c r="T15" s="2229"/>
      <c r="U15" s="2232"/>
      <c r="V15" s="2232"/>
      <c r="W15" s="2232"/>
    </row>
    <row r="16" spans="1:23" x14ac:dyDescent="0.25">
      <c r="A16" s="16" t="s">
        <v>99</v>
      </c>
      <c r="B16" s="17" t="e">
        <f t="shared" ref="B16:W16" si="10">SUM(B10:B15)</f>
        <v>#REF!</v>
      </c>
      <c r="C16" s="18" t="e">
        <f t="shared" si="10"/>
        <v>#REF!</v>
      </c>
      <c r="D16" s="18" t="e">
        <f t="shared" si="10"/>
        <v>#REF!</v>
      </c>
      <c r="E16" s="18">
        <f t="shared" si="10"/>
        <v>7246.8</v>
      </c>
      <c r="F16" s="18" t="e">
        <f t="shared" si="10"/>
        <v>#REF!</v>
      </c>
      <c r="G16" s="18" t="e">
        <f t="shared" si="10"/>
        <v>#REF!</v>
      </c>
      <c r="H16" s="18">
        <f t="shared" si="10"/>
        <v>0</v>
      </c>
      <c r="I16" s="18" t="e">
        <f t="shared" si="10"/>
        <v>#REF!</v>
      </c>
      <c r="J16" s="18" t="e">
        <f t="shared" si="10"/>
        <v>#REF!</v>
      </c>
      <c r="K16" s="18" t="e">
        <f t="shared" si="10"/>
        <v>#REF!</v>
      </c>
      <c r="L16" s="18">
        <f t="shared" si="10"/>
        <v>63792.5</v>
      </c>
      <c r="M16" s="18">
        <f t="shared" si="10"/>
        <v>19100.7</v>
      </c>
      <c r="N16" s="18">
        <f t="shared" si="10"/>
        <v>0</v>
      </c>
      <c r="O16" s="18" t="e">
        <f t="shared" si="10"/>
        <v>#REF!</v>
      </c>
      <c r="P16" s="18" t="e">
        <f t="shared" si="10"/>
        <v>#REF!</v>
      </c>
      <c r="Q16" s="18" t="e">
        <f t="shared" si="10"/>
        <v>#REF!</v>
      </c>
      <c r="R16" s="18">
        <f t="shared" si="10"/>
        <v>270658.7</v>
      </c>
      <c r="S16" s="18">
        <f t="shared" si="10"/>
        <v>80454.100000000006</v>
      </c>
      <c r="T16" s="18">
        <f t="shared" si="10"/>
        <v>8814</v>
      </c>
      <c r="U16" s="18" t="e">
        <f t="shared" si="10"/>
        <v>#REF!</v>
      </c>
      <c r="V16" s="18" t="e">
        <f t="shared" si="10"/>
        <v>#REF!</v>
      </c>
      <c r="W16" s="18" t="e">
        <f t="shared" si="10"/>
        <v>#REF!</v>
      </c>
    </row>
    <row r="17" spans="1:23" x14ac:dyDescent="0.25">
      <c r="C17" s="11"/>
      <c r="D17" s="11"/>
      <c r="E17" s="12"/>
      <c r="F17" s="12"/>
      <c r="G17" s="12"/>
      <c r="H17" s="12"/>
      <c r="I17" s="12"/>
      <c r="J17" s="12"/>
      <c r="K17" s="12"/>
      <c r="L17" s="12"/>
      <c r="M17" s="12"/>
      <c r="N17" s="12"/>
      <c r="O17" s="12"/>
      <c r="P17" s="12"/>
      <c r="Q17" s="12"/>
      <c r="R17" s="12"/>
      <c r="S17" s="12"/>
      <c r="T17" s="12"/>
    </row>
    <row r="18" spans="1:23" x14ac:dyDescent="0.25">
      <c r="U18" s="2223" t="s">
        <v>171</v>
      </c>
      <c r="V18" s="2223"/>
      <c r="W18" s="2223"/>
    </row>
    <row r="19" spans="1:23" s="20" customFormat="1" ht="20.25" x14ac:dyDescent="0.3">
      <c r="A19" s="1" t="s">
        <v>138</v>
      </c>
      <c r="C19" s="2"/>
      <c r="D19" s="6" t="s">
        <v>166</v>
      </c>
      <c r="E19" s="3"/>
      <c r="F19" s="4"/>
      <c r="G19" s="4"/>
      <c r="H19" s="5"/>
      <c r="I19" s="5"/>
      <c r="J19" s="4"/>
    </row>
    <row r="21" spans="1:23" x14ac:dyDescent="0.25">
      <c r="A21" s="7" t="s">
        <v>151</v>
      </c>
    </row>
    <row r="22" spans="1:23" s="11" customFormat="1" x14ac:dyDescent="0.25">
      <c r="D22" s="11" t="e">
        <f>D16-G16</f>
        <v>#REF!</v>
      </c>
      <c r="E22" s="12"/>
      <c r="F22" s="12"/>
      <c r="G22" s="12"/>
      <c r="H22" s="12"/>
      <c r="I22" s="12"/>
      <c r="J22" s="12"/>
      <c r="K22" s="12"/>
      <c r="L22" s="12"/>
      <c r="M22" s="12"/>
      <c r="N22" s="12"/>
      <c r="O22" s="12"/>
      <c r="P22" s="12"/>
      <c r="Q22" s="12"/>
      <c r="R22" s="12"/>
      <c r="S22" s="12"/>
      <c r="T22" s="12"/>
    </row>
    <row r="23" spans="1:23" s="11" customFormat="1" x14ac:dyDescent="0.25">
      <c r="E23" s="12"/>
      <c r="F23" s="12"/>
      <c r="G23" s="12"/>
      <c r="H23" s="12"/>
      <c r="I23" s="12"/>
      <c r="J23" s="12"/>
      <c r="K23" s="12"/>
      <c r="L23" s="12"/>
      <c r="M23" s="12"/>
      <c r="N23" s="12"/>
      <c r="O23" s="12"/>
      <c r="P23" s="12"/>
      <c r="Q23" s="12"/>
      <c r="R23" s="12"/>
      <c r="S23" s="12"/>
      <c r="T23" s="12"/>
    </row>
    <row r="24" spans="1:23" s="11" customFormat="1" x14ac:dyDescent="0.25">
      <c r="E24" s="12"/>
      <c r="F24" s="12"/>
      <c r="G24" s="12"/>
      <c r="H24" s="12"/>
      <c r="I24" s="12"/>
      <c r="J24" s="12"/>
      <c r="K24" s="12"/>
      <c r="L24" s="12"/>
      <c r="M24" s="12"/>
      <c r="N24" s="12"/>
      <c r="O24" s="12"/>
      <c r="P24" s="12"/>
      <c r="Q24" s="12"/>
      <c r="R24" s="12"/>
      <c r="S24" s="12"/>
      <c r="T24" s="12"/>
    </row>
    <row r="25" spans="1:23" s="11" customFormat="1" x14ac:dyDescent="0.25">
      <c r="E25" s="12"/>
      <c r="F25" s="12"/>
      <c r="G25" s="12"/>
      <c r="H25" s="12"/>
      <c r="I25" s="12"/>
      <c r="J25" s="12"/>
      <c r="K25" s="12"/>
      <c r="L25" s="12"/>
      <c r="M25" s="12"/>
      <c r="N25" s="12"/>
      <c r="O25" s="12"/>
      <c r="P25" s="12"/>
      <c r="Q25" s="12"/>
      <c r="R25" s="12"/>
      <c r="S25" s="12"/>
      <c r="T25" s="12"/>
    </row>
    <row r="26" spans="1:23" s="11" customFormat="1" x14ac:dyDescent="0.25">
      <c r="E26" s="12"/>
      <c r="F26" s="12"/>
      <c r="G26" s="12"/>
      <c r="H26" s="12"/>
      <c r="I26" s="12"/>
      <c r="J26" s="12"/>
      <c r="K26" s="12"/>
      <c r="L26" s="12"/>
      <c r="M26" s="12"/>
      <c r="N26" s="12"/>
      <c r="O26" s="12"/>
      <c r="P26" s="12"/>
      <c r="Q26" s="12"/>
      <c r="R26" s="12"/>
      <c r="S26" s="12"/>
      <c r="T26" s="12"/>
    </row>
    <row r="27" spans="1:23" s="11" customFormat="1" x14ac:dyDescent="0.25">
      <c r="E27" s="12"/>
      <c r="F27" s="12"/>
      <c r="G27" s="12"/>
      <c r="H27" s="12"/>
      <c r="I27" s="12"/>
      <c r="J27" s="12"/>
      <c r="K27" s="12"/>
      <c r="L27" s="12"/>
      <c r="M27" s="12"/>
      <c r="N27" s="12"/>
      <c r="O27" s="12"/>
      <c r="P27" s="12"/>
      <c r="Q27" s="12"/>
      <c r="R27" s="12"/>
      <c r="S27" s="12"/>
      <c r="T27" s="12"/>
    </row>
    <row r="28" spans="1:23" s="11" customFormat="1" x14ac:dyDescent="0.25">
      <c r="E28" s="12"/>
      <c r="F28" s="12"/>
      <c r="G28" s="12"/>
      <c r="H28" s="12"/>
      <c r="I28" s="12"/>
      <c r="J28" s="12"/>
      <c r="K28" s="12"/>
      <c r="L28" s="12"/>
      <c r="M28" s="12"/>
      <c r="N28" s="12"/>
      <c r="O28" s="12"/>
      <c r="P28" s="12"/>
      <c r="Q28" s="12"/>
      <c r="R28" s="12"/>
      <c r="S28" s="12"/>
      <c r="T28" s="12"/>
    </row>
    <row r="29" spans="1:23" s="11" customFormat="1" x14ac:dyDescent="0.25">
      <c r="E29" s="12"/>
      <c r="F29" s="12"/>
      <c r="G29" s="12"/>
      <c r="H29" s="12"/>
      <c r="I29" s="12"/>
      <c r="J29" s="12"/>
      <c r="K29" s="12"/>
      <c r="L29" s="12"/>
      <c r="M29" s="12"/>
      <c r="N29" s="12"/>
      <c r="O29" s="12"/>
      <c r="P29" s="12"/>
      <c r="Q29" s="12"/>
      <c r="R29" s="12"/>
      <c r="S29" s="12"/>
      <c r="T29" s="12"/>
    </row>
    <row r="30" spans="1:23" s="11" customFormat="1" x14ac:dyDescent="0.25">
      <c r="E30" s="12"/>
      <c r="F30" s="12"/>
      <c r="G30" s="12"/>
      <c r="H30" s="12"/>
      <c r="I30" s="12"/>
      <c r="J30" s="12"/>
      <c r="K30" s="12"/>
      <c r="L30" s="12"/>
      <c r="M30" s="12"/>
      <c r="N30" s="12"/>
      <c r="O30" s="12"/>
      <c r="P30" s="12"/>
      <c r="Q30" s="12"/>
      <c r="R30" s="12"/>
      <c r="S30" s="12"/>
      <c r="T30" s="12"/>
    </row>
    <row r="31" spans="1:23" s="11" customFormat="1" x14ac:dyDescent="0.25">
      <c r="E31" s="12"/>
      <c r="F31" s="12"/>
      <c r="G31" s="12"/>
      <c r="H31" s="12"/>
      <c r="I31" s="12"/>
      <c r="J31" s="12"/>
      <c r="K31" s="12"/>
      <c r="L31" s="12"/>
      <c r="M31" s="12"/>
      <c r="N31" s="12"/>
      <c r="O31" s="12"/>
      <c r="P31" s="12"/>
      <c r="Q31" s="12"/>
      <c r="R31" s="12"/>
      <c r="S31" s="12"/>
      <c r="T31" s="12"/>
    </row>
    <row r="32" spans="1:23" s="11" customFormat="1" x14ac:dyDescent="0.25">
      <c r="E32" s="12"/>
      <c r="F32" s="12"/>
      <c r="G32" s="12"/>
      <c r="H32" s="12"/>
      <c r="I32" s="12"/>
      <c r="J32" s="12"/>
      <c r="K32" s="12"/>
      <c r="L32" s="12"/>
      <c r="M32" s="12"/>
      <c r="N32" s="12"/>
      <c r="O32" s="12"/>
      <c r="P32" s="12"/>
      <c r="Q32" s="12"/>
      <c r="R32" s="12"/>
      <c r="S32" s="12"/>
      <c r="T32" s="12"/>
    </row>
    <row r="33" spans="5:20" s="11" customFormat="1" x14ac:dyDescent="0.25">
      <c r="E33" s="12"/>
      <c r="F33" s="12"/>
      <c r="G33" s="12"/>
      <c r="H33" s="12"/>
      <c r="I33" s="12"/>
      <c r="J33" s="12"/>
      <c r="K33" s="12"/>
      <c r="L33" s="12"/>
      <c r="M33" s="12"/>
      <c r="N33" s="12"/>
      <c r="O33" s="12"/>
      <c r="P33" s="12"/>
      <c r="Q33" s="12"/>
      <c r="R33" s="12"/>
      <c r="S33" s="12"/>
      <c r="T33" s="12"/>
    </row>
    <row r="34" spans="5:20" s="11" customFormat="1" x14ac:dyDescent="0.25">
      <c r="E34" s="12"/>
      <c r="F34" s="12"/>
      <c r="G34" s="12"/>
      <c r="H34" s="12"/>
      <c r="I34" s="12"/>
      <c r="J34" s="12"/>
      <c r="K34" s="12"/>
      <c r="L34" s="12"/>
      <c r="M34" s="12"/>
      <c r="N34" s="12"/>
      <c r="O34" s="12"/>
      <c r="P34" s="12"/>
      <c r="Q34" s="12"/>
      <c r="R34" s="12"/>
      <c r="S34" s="12"/>
      <c r="T34" s="12"/>
    </row>
    <row r="35" spans="5:20" s="11" customFormat="1" x14ac:dyDescent="0.25">
      <c r="E35" s="12"/>
      <c r="F35" s="12"/>
      <c r="G35" s="12"/>
      <c r="H35" s="12"/>
      <c r="I35" s="12"/>
      <c r="J35" s="12"/>
      <c r="K35" s="12"/>
      <c r="L35" s="12"/>
      <c r="M35" s="12"/>
      <c r="N35" s="12"/>
      <c r="O35" s="12"/>
      <c r="P35" s="12"/>
      <c r="Q35" s="12"/>
      <c r="R35" s="12"/>
      <c r="S35" s="12"/>
      <c r="T35" s="12"/>
    </row>
    <row r="36" spans="5:20" s="11" customFormat="1" x14ac:dyDescent="0.25">
      <c r="E36" s="12"/>
      <c r="F36" s="12"/>
      <c r="G36" s="12"/>
      <c r="H36" s="12"/>
      <c r="I36" s="12"/>
      <c r="J36" s="12"/>
      <c r="K36" s="12"/>
      <c r="L36" s="12"/>
      <c r="M36" s="12"/>
      <c r="N36" s="12"/>
      <c r="O36" s="12"/>
      <c r="P36" s="12"/>
      <c r="Q36" s="12"/>
      <c r="R36" s="12"/>
      <c r="S36" s="12"/>
      <c r="T36" s="12"/>
    </row>
    <row r="37" spans="5:20" s="11" customFormat="1" x14ac:dyDescent="0.25">
      <c r="E37" s="12"/>
      <c r="F37" s="12"/>
      <c r="G37" s="12"/>
      <c r="H37" s="12"/>
      <c r="I37" s="12"/>
      <c r="J37" s="12"/>
      <c r="K37" s="12"/>
      <c r="L37" s="12"/>
      <c r="M37" s="12"/>
      <c r="N37" s="12"/>
      <c r="O37" s="12"/>
      <c r="P37" s="12"/>
      <c r="Q37" s="12"/>
      <c r="R37" s="12"/>
      <c r="S37" s="12"/>
      <c r="T37" s="12"/>
    </row>
    <row r="38" spans="5:20" s="11" customFormat="1" x14ac:dyDescent="0.25">
      <c r="E38" s="12"/>
      <c r="F38" s="12"/>
      <c r="G38" s="12"/>
      <c r="H38" s="12"/>
      <c r="I38" s="12"/>
      <c r="J38" s="12"/>
      <c r="K38" s="12"/>
      <c r="L38" s="12"/>
      <c r="M38" s="12"/>
      <c r="N38" s="12"/>
      <c r="O38" s="12"/>
      <c r="P38" s="12"/>
      <c r="Q38" s="12"/>
      <c r="R38" s="12"/>
      <c r="S38" s="12"/>
      <c r="T38" s="12"/>
    </row>
    <row r="39" spans="5:20" s="11" customFormat="1" x14ac:dyDescent="0.25">
      <c r="E39" s="12"/>
      <c r="F39" s="12"/>
      <c r="G39" s="12"/>
      <c r="H39" s="12"/>
      <c r="I39" s="12"/>
      <c r="J39" s="12"/>
      <c r="K39" s="12"/>
      <c r="L39" s="12"/>
      <c r="M39" s="12"/>
      <c r="N39" s="12"/>
      <c r="O39" s="12"/>
      <c r="P39" s="12"/>
      <c r="Q39" s="12"/>
      <c r="R39" s="12"/>
      <c r="S39" s="12"/>
      <c r="T39" s="12"/>
    </row>
    <row r="40" spans="5:20" s="11" customFormat="1" x14ac:dyDescent="0.25">
      <c r="E40" s="12"/>
      <c r="F40" s="12"/>
      <c r="G40" s="12"/>
      <c r="H40" s="12"/>
      <c r="I40" s="12"/>
      <c r="J40" s="12"/>
      <c r="K40" s="12"/>
      <c r="L40" s="12"/>
      <c r="M40" s="12"/>
      <c r="N40" s="12"/>
      <c r="O40" s="12"/>
      <c r="P40" s="12"/>
      <c r="Q40" s="12"/>
      <c r="R40" s="12"/>
      <c r="S40" s="12"/>
      <c r="T40" s="12"/>
    </row>
    <row r="41" spans="5:20" s="11" customFormat="1" x14ac:dyDescent="0.25">
      <c r="E41" s="12"/>
      <c r="F41" s="12"/>
      <c r="G41" s="12"/>
      <c r="H41" s="12"/>
      <c r="I41" s="12"/>
      <c r="J41" s="12"/>
      <c r="K41" s="12"/>
      <c r="L41" s="12"/>
      <c r="M41" s="12"/>
      <c r="N41" s="12"/>
      <c r="O41" s="12"/>
      <c r="P41" s="12"/>
      <c r="Q41" s="12"/>
      <c r="R41" s="12"/>
      <c r="S41" s="12"/>
      <c r="T41" s="12"/>
    </row>
    <row r="42" spans="5:20" s="11" customFormat="1" x14ac:dyDescent="0.25">
      <c r="E42" s="12"/>
      <c r="F42" s="12"/>
      <c r="G42" s="12"/>
      <c r="H42" s="12"/>
      <c r="I42" s="12"/>
      <c r="J42" s="12"/>
      <c r="K42" s="12"/>
      <c r="L42" s="12"/>
      <c r="M42" s="12"/>
      <c r="N42" s="12"/>
      <c r="O42" s="12"/>
      <c r="P42" s="12"/>
      <c r="Q42" s="12"/>
      <c r="R42" s="12"/>
      <c r="S42" s="12"/>
      <c r="T42" s="12"/>
    </row>
    <row r="43" spans="5:20" s="11" customFormat="1" x14ac:dyDescent="0.25">
      <c r="E43" s="12"/>
      <c r="F43" s="12"/>
      <c r="G43" s="12"/>
      <c r="H43" s="12"/>
      <c r="I43" s="12"/>
      <c r="J43" s="12"/>
      <c r="K43" s="12"/>
      <c r="L43" s="12"/>
      <c r="M43" s="12"/>
      <c r="N43" s="12"/>
      <c r="O43" s="12"/>
      <c r="P43" s="12"/>
      <c r="Q43" s="12"/>
      <c r="R43" s="12"/>
      <c r="S43" s="12"/>
      <c r="T43" s="12"/>
    </row>
    <row r="44" spans="5:20" s="11" customFormat="1" x14ac:dyDescent="0.25">
      <c r="E44" s="12"/>
      <c r="F44" s="12"/>
      <c r="G44" s="12"/>
      <c r="H44" s="12"/>
      <c r="I44" s="12"/>
      <c r="J44" s="12"/>
      <c r="K44" s="12"/>
      <c r="L44" s="12"/>
      <c r="M44" s="12"/>
      <c r="N44" s="12"/>
      <c r="O44" s="12"/>
      <c r="P44" s="12"/>
      <c r="Q44" s="12"/>
      <c r="R44" s="12"/>
      <c r="S44" s="12"/>
      <c r="T44" s="12"/>
    </row>
    <row r="45" spans="5:20" s="11" customFormat="1" x14ac:dyDescent="0.25">
      <c r="E45" s="12"/>
      <c r="F45" s="12"/>
      <c r="G45" s="12"/>
      <c r="H45" s="12"/>
      <c r="I45" s="12"/>
      <c r="J45" s="12"/>
      <c r="K45" s="12"/>
      <c r="L45" s="12"/>
      <c r="M45" s="12"/>
      <c r="N45" s="12"/>
      <c r="O45" s="12"/>
      <c r="P45" s="12"/>
      <c r="Q45" s="12"/>
      <c r="R45" s="12"/>
      <c r="S45" s="12"/>
      <c r="T45" s="12"/>
    </row>
    <row r="46" spans="5:20" s="11" customFormat="1" x14ac:dyDescent="0.25">
      <c r="E46" s="12"/>
      <c r="F46" s="12"/>
      <c r="G46" s="12"/>
      <c r="H46" s="12"/>
      <c r="I46" s="12"/>
      <c r="J46" s="12"/>
      <c r="K46" s="12"/>
      <c r="L46" s="12"/>
      <c r="M46" s="12"/>
      <c r="N46" s="12"/>
      <c r="O46" s="12"/>
      <c r="P46" s="12"/>
      <c r="Q46" s="12"/>
      <c r="R46" s="12"/>
      <c r="S46" s="12"/>
      <c r="T46" s="12"/>
    </row>
  </sheetData>
  <mergeCells count="18">
    <mergeCell ref="A2:W2"/>
    <mergeCell ref="A4:W4"/>
    <mergeCell ref="A8:A9"/>
    <mergeCell ref="B8:B9"/>
    <mergeCell ref="C8:E8"/>
    <mergeCell ref="F8:H8"/>
    <mergeCell ref="I8:K8"/>
    <mergeCell ref="U8:W8"/>
    <mergeCell ref="U18:W18"/>
    <mergeCell ref="L8:N8"/>
    <mergeCell ref="O8:Q8"/>
    <mergeCell ref="R8:T8"/>
    <mergeCell ref="R12:R15"/>
    <mergeCell ref="S12:S15"/>
    <mergeCell ref="T12:T15"/>
    <mergeCell ref="U12:U15"/>
    <mergeCell ref="V12:V15"/>
    <mergeCell ref="W12:W15"/>
  </mergeCells>
  <pageMargins left="0.19685039370078741" right="0.19685039370078741" top="0.74803149606299213" bottom="0.74803149606299213" header="0.31496062992125984" footer="0.31496062992125984"/>
  <pageSetup paperSize="9" scale="4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I43"/>
  <sheetViews>
    <sheetView zoomScale="80" zoomScaleNormal="80" workbookViewId="0">
      <pane xSplit="1" ySplit="1" topLeftCell="B35" activePane="bottomRight" state="frozen"/>
      <selection activeCell="E71" sqref="E71"/>
      <selection pane="topRight" activeCell="E71" sqref="E71"/>
      <selection pane="bottomLeft" activeCell="E71" sqref="E71"/>
      <selection pane="bottomRight" activeCell="H61" sqref="H61"/>
    </sheetView>
  </sheetViews>
  <sheetFormatPr defaultRowHeight="12.75" x14ac:dyDescent="0.2"/>
  <cols>
    <col min="1" max="1" width="35.6640625" style="638" customWidth="1"/>
    <col min="2" max="2" width="7.5" style="638" customWidth="1"/>
    <col min="3" max="3" width="6.5" style="638" customWidth="1"/>
    <col min="4" max="4" width="31.83203125" style="638" customWidth="1"/>
    <col min="5" max="5" width="8.6640625" style="638" customWidth="1"/>
    <col min="6" max="6" width="36.1640625" style="638" customWidth="1"/>
    <col min="7" max="7" width="9.33203125" style="638" customWidth="1"/>
    <col min="8" max="8" width="50.6640625" style="638" customWidth="1"/>
    <col min="9" max="9" width="42.5" style="638" customWidth="1"/>
    <col min="10" max="16384" width="9.33203125" style="638"/>
  </cols>
  <sheetData>
    <row r="1" spans="1:9" ht="46.5" customHeight="1" x14ac:dyDescent="0.2">
      <c r="A1" s="633" t="s">
        <v>988</v>
      </c>
      <c r="B1" s="634">
        <v>2100</v>
      </c>
      <c r="C1" s="634" t="s">
        <v>1111</v>
      </c>
      <c r="D1" s="635" t="s">
        <v>1112</v>
      </c>
      <c r="E1" s="634" t="s">
        <v>1113</v>
      </c>
      <c r="F1" s="635" t="s">
        <v>1114</v>
      </c>
      <c r="G1" s="636" t="s">
        <v>511</v>
      </c>
      <c r="H1" s="636" t="s">
        <v>1115</v>
      </c>
      <c r="I1" s="637" t="s">
        <v>182</v>
      </c>
    </row>
    <row r="2" spans="1:9" ht="20.25" customHeight="1" x14ac:dyDescent="0.2">
      <c r="A2" s="351" t="s">
        <v>440</v>
      </c>
      <c r="B2" s="639"/>
      <c r="C2" s="639"/>
      <c r="D2" s="640"/>
      <c r="E2" s="639"/>
      <c r="F2" s="640"/>
      <c r="G2" s="641"/>
      <c r="H2" s="642"/>
      <c r="I2" s="643"/>
    </row>
    <row r="3" spans="1:9" ht="27.75" customHeight="1" x14ac:dyDescent="0.2">
      <c r="A3" s="644" t="s">
        <v>989</v>
      </c>
      <c r="B3" s="645">
        <v>2110</v>
      </c>
      <c r="C3" s="645">
        <v>111</v>
      </c>
      <c r="D3" s="646" t="s">
        <v>1116</v>
      </c>
      <c r="E3" s="646">
        <v>211</v>
      </c>
      <c r="F3" s="646" t="s">
        <v>543</v>
      </c>
      <c r="G3" s="647">
        <v>991</v>
      </c>
      <c r="H3" s="648" t="s">
        <v>543</v>
      </c>
      <c r="I3" s="649"/>
    </row>
    <row r="4" spans="1:9" ht="42.75" customHeight="1" x14ac:dyDescent="0.2">
      <c r="A4" s="351"/>
      <c r="B4" s="639"/>
      <c r="C4" s="639"/>
      <c r="D4" s="640"/>
      <c r="E4" s="640">
        <v>266</v>
      </c>
      <c r="F4" s="640" t="s">
        <v>1117</v>
      </c>
      <c r="G4" s="641">
        <v>991</v>
      </c>
      <c r="H4" s="642" t="s">
        <v>543</v>
      </c>
      <c r="I4" s="643"/>
    </row>
    <row r="5" spans="1:9" ht="54" customHeight="1" x14ac:dyDescent="0.2">
      <c r="A5" s="644" t="s">
        <v>990</v>
      </c>
      <c r="B5" s="645">
        <v>2120</v>
      </c>
      <c r="C5" s="645">
        <v>112</v>
      </c>
      <c r="D5" s="646" t="s">
        <v>493</v>
      </c>
      <c r="E5" s="645">
        <v>212</v>
      </c>
      <c r="F5" s="646" t="s">
        <v>1118</v>
      </c>
      <c r="G5" s="647">
        <v>912</v>
      </c>
      <c r="H5" s="648" t="s">
        <v>494</v>
      </c>
      <c r="I5" s="649"/>
    </row>
    <row r="6" spans="1:9" ht="29.25" customHeight="1" x14ac:dyDescent="0.2">
      <c r="A6" s="351"/>
      <c r="B6" s="639"/>
      <c r="C6" s="639"/>
      <c r="D6" s="640"/>
      <c r="E6" s="639">
        <v>214</v>
      </c>
      <c r="F6" s="640" t="s">
        <v>1119</v>
      </c>
      <c r="G6" s="641">
        <v>911</v>
      </c>
      <c r="H6" s="642" t="s">
        <v>495</v>
      </c>
      <c r="I6" s="643"/>
    </row>
    <row r="7" spans="1:9" ht="13.5" customHeight="1" x14ac:dyDescent="0.2">
      <c r="A7" s="351"/>
      <c r="B7" s="639"/>
      <c r="C7" s="639"/>
      <c r="D7" s="640"/>
      <c r="E7" s="639"/>
      <c r="F7" s="640"/>
      <c r="G7" s="641" t="s">
        <v>505</v>
      </c>
      <c r="H7" s="642" t="s">
        <v>496</v>
      </c>
      <c r="I7" s="643"/>
    </row>
    <row r="8" spans="1:9" ht="66.75" customHeight="1" x14ac:dyDescent="0.2">
      <c r="A8" s="351"/>
      <c r="B8" s="639"/>
      <c r="C8" s="639"/>
      <c r="D8" s="640"/>
      <c r="E8" s="639"/>
      <c r="F8" s="640"/>
      <c r="G8" s="641" t="s">
        <v>506</v>
      </c>
      <c r="H8" s="642" t="s">
        <v>497</v>
      </c>
      <c r="I8" s="643"/>
    </row>
    <row r="9" spans="1:9" ht="15.75" customHeight="1" x14ac:dyDescent="0.2">
      <c r="A9" s="351"/>
      <c r="B9" s="639"/>
      <c r="C9" s="639"/>
      <c r="D9" s="640"/>
      <c r="E9" s="639">
        <v>226</v>
      </c>
      <c r="F9" s="640" t="s">
        <v>1120</v>
      </c>
      <c r="G9" s="641" t="s">
        <v>507</v>
      </c>
      <c r="H9" s="642" t="s">
        <v>498</v>
      </c>
      <c r="I9" s="643" t="s">
        <v>1121</v>
      </c>
    </row>
    <row r="10" spans="1:9" ht="28.5" customHeight="1" x14ac:dyDescent="0.2">
      <c r="A10" s="351"/>
      <c r="B10" s="639"/>
      <c r="C10" s="639"/>
      <c r="D10" s="640"/>
      <c r="E10" s="639"/>
      <c r="F10" s="640"/>
      <c r="G10" s="641" t="s">
        <v>508</v>
      </c>
      <c r="H10" s="642" t="s">
        <v>499</v>
      </c>
      <c r="I10" s="643"/>
    </row>
    <row r="11" spans="1:9" ht="66.75" customHeight="1" x14ac:dyDescent="0.2">
      <c r="A11" s="351"/>
      <c r="B11" s="639"/>
      <c r="C11" s="639"/>
      <c r="D11" s="640"/>
      <c r="E11" s="639"/>
      <c r="F11" s="640"/>
      <c r="G11" s="641" t="s">
        <v>506</v>
      </c>
      <c r="H11" s="642" t="s">
        <v>497</v>
      </c>
      <c r="I11" s="643"/>
    </row>
    <row r="12" spans="1:9" ht="41.25" customHeight="1" x14ac:dyDescent="0.2">
      <c r="A12" s="351"/>
      <c r="B12" s="639"/>
      <c r="C12" s="639"/>
      <c r="D12" s="640"/>
      <c r="E12" s="639"/>
      <c r="F12" s="640"/>
      <c r="G12" s="641" t="s">
        <v>509</v>
      </c>
      <c r="H12" s="642" t="s">
        <v>500</v>
      </c>
      <c r="I12" s="643"/>
    </row>
    <row r="13" spans="1:9" ht="43.5" customHeight="1" x14ac:dyDescent="0.2">
      <c r="A13" s="351"/>
      <c r="B13" s="639"/>
      <c r="C13" s="639"/>
      <c r="D13" s="640"/>
      <c r="E13" s="639">
        <v>266</v>
      </c>
      <c r="F13" s="640" t="s">
        <v>501</v>
      </c>
      <c r="G13" s="641" t="s">
        <v>510</v>
      </c>
      <c r="H13" s="642" t="s">
        <v>501</v>
      </c>
      <c r="I13" s="643"/>
    </row>
    <row r="14" spans="1:9" ht="63.75" customHeight="1" x14ac:dyDescent="0.2">
      <c r="A14" s="644" t="s">
        <v>991</v>
      </c>
      <c r="B14" s="645">
        <v>2130</v>
      </c>
      <c r="C14" s="645">
        <v>113</v>
      </c>
      <c r="D14" s="646" t="s">
        <v>514</v>
      </c>
      <c r="E14" s="645" t="s">
        <v>1122</v>
      </c>
      <c r="F14" s="646" t="s">
        <v>1120</v>
      </c>
      <c r="G14" s="647" t="s">
        <v>531</v>
      </c>
      <c r="H14" s="648" t="s">
        <v>515</v>
      </c>
      <c r="I14" s="649"/>
    </row>
    <row r="15" spans="1:9" ht="61.5" customHeight="1" x14ac:dyDescent="0.2">
      <c r="A15" s="644" t="s">
        <v>992</v>
      </c>
      <c r="B15" s="645">
        <v>2140</v>
      </c>
      <c r="C15" s="645">
        <v>119</v>
      </c>
      <c r="D15" s="646" t="s">
        <v>1123</v>
      </c>
      <c r="E15" s="649"/>
      <c r="F15" s="649"/>
      <c r="G15" s="649"/>
      <c r="H15" s="649"/>
      <c r="I15" s="649"/>
    </row>
    <row r="16" spans="1:9" ht="20.25" customHeight="1" x14ac:dyDescent="0.2">
      <c r="A16" s="351" t="s">
        <v>440</v>
      </c>
      <c r="B16" s="639"/>
      <c r="C16" s="639"/>
      <c r="D16" s="640"/>
      <c r="E16" s="639"/>
      <c r="F16" s="640"/>
      <c r="G16" s="641"/>
      <c r="H16" s="642"/>
      <c r="I16" s="643"/>
    </row>
    <row r="17" spans="1:9" s="352" customFormat="1" ht="24" customHeight="1" x14ac:dyDescent="0.2">
      <c r="A17" s="351" t="s">
        <v>993</v>
      </c>
      <c r="B17" s="639">
        <v>2141</v>
      </c>
      <c r="C17" s="639">
        <v>119</v>
      </c>
      <c r="D17" s="640"/>
      <c r="E17" s="639" t="s">
        <v>1124</v>
      </c>
      <c r="F17" s="640" t="s">
        <v>1125</v>
      </c>
      <c r="G17" s="650" t="s">
        <v>1126</v>
      </c>
      <c r="H17" s="651" t="s">
        <v>1125</v>
      </c>
      <c r="I17" s="652"/>
    </row>
    <row r="18" spans="1:9" ht="63" customHeight="1" x14ac:dyDescent="0.2">
      <c r="A18" s="351" t="s">
        <v>994</v>
      </c>
      <c r="B18" s="639">
        <v>2142</v>
      </c>
      <c r="C18" s="639">
        <v>119</v>
      </c>
      <c r="D18" s="640"/>
      <c r="E18" s="639" t="s">
        <v>1122</v>
      </c>
      <c r="F18" s="640" t="s">
        <v>1120</v>
      </c>
      <c r="G18" s="641" t="s">
        <v>1127</v>
      </c>
      <c r="H18" s="642" t="s">
        <v>1128</v>
      </c>
      <c r="I18" s="642" t="s">
        <v>1129</v>
      </c>
    </row>
    <row r="19" spans="1:9" ht="25.5" x14ac:dyDescent="0.2">
      <c r="A19" s="643"/>
      <c r="B19" s="643"/>
      <c r="C19" s="643"/>
      <c r="D19" s="643"/>
      <c r="E19" s="639" t="s">
        <v>1130</v>
      </c>
      <c r="F19" s="640" t="s">
        <v>1131</v>
      </c>
      <c r="G19" s="641" t="s">
        <v>1132</v>
      </c>
      <c r="H19" s="642" t="s">
        <v>1133</v>
      </c>
      <c r="I19" s="642" t="s">
        <v>1129</v>
      </c>
    </row>
    <row r="20" spans="1:9" ht="57" customHeight="1" x14ac:dyDescent="0.2">
      <c r="A20" s="644" t="s">
        <v>997</v>
      </c>
      <c r="B20" s="645">
        <v>2211</v>
      </c>
      <c r="C20" s="645">
        <v>321</v>
      </c>
      <c r="D20" s="646" t="s">
        <v>541</v>
      </c>
      <c r="E20" s="646">
        <v>264</v>
      </c>
      <c r="F20" s="646" t="s">
        <v>1134</v>
      </c>
      <c r="G20" s="647" t="s">
        <v>1135</v>
      </c>
      <c r="H20" s="648" t="s">
        <v>542</v>
      </c>
      <c r="I20" s="643"/>
    </row>
    <row r="21" spans="1:9" ht="53.25" customHeight="1" x14ac:dyDescent="0.2">
      <c r="A21" s="351"/>
      <c r="B21" s="639"/>
      <c r="C21" s="639"/>
      <c r="D21" s="640"/>
      <c r="E21" s="640" t="s">
        <v>1136</v>
      </c>
      <c r="F21" s="640" t="s">
        <v>1134</v>
      </c>
      <c r="G21" s="641" t="s">
        <v>1137</v>
      </c>
      <c r="H21" s="642" t="s">
        <v>543</v>
      </c>
      <c r="I21" s="653" t="s">
        <v>1138</v>
      </c>
    </row>
    <row r="22" spans="1:9" ht="63.75" customHeight="1" x14ac:dyDescent="0.2">
      <c r="A22" s="351"/>
      <c r="B22" s="639"/>
      <c r="C22" s="639"/>
      <c r="D22" s="640"/>
      <c r="E22" s="640" t="s">
        <v>1136</v>
      </c>
      <c r="F22" s="640" t="s">
        <v>1134</v>
      </c>
      <c r="G22" s="641" t="s">
        <v>1139</v>
      </c>
      <c r="H22" s="642" t="s">
        <v>544</v>
      </c>
      <c r="I22" s="654" t="s">
        <v>1140</v>
      </c>
    </row>
    <row r="23" spans="1:9" ht="51" customHeight="1" x14ac:dyDescent="0.2">
      <c r="A23" s="351"/>
      <c r="B23" s="639"/>
      <c r="C23" s="639"/>
      <c r="D23" s="640"/>
      <c r="E23" s="640" t="s">
        <v>1141</v>
      </c>
      <c r="F23" s="640" t="s">
        <v>1142</v>
      </c>
      <c r="G23" s="641" t="s">
        <v>1143</v>
      </c>
      <c r="H23" s="642" t="s">
        <v>545</v>
      </c>
      <c r="I23" s="654"/>
    </row>
    <row r="24" spans="1:9" ht="25.5" x14ac:dyDescent="0.2">
      <c r="A24" s="655" t="s">
        <v>998</v>
      </c>
      <c r="B24" s="656">
        <v>2300</v>
      </c>
      <c r="C24" s="656">
        <v>850</v>
      </c>
      <c r="D24" s="648"/>
      <c r="E24" s="647"/>
      <c r="F24" s="648"/>
      <c r="G24" s="647"/>
      <c r="H24" s="648"/>
      <c r="I24" s="647"/>
    </row>
    <row r="25" spans="1:9" ht="40.5" customHeight="1" x14ac:dyDescent="0.2">
      <c r="A25" s="351" t="s">
        <v>999</v>
      </c>
      <c r="B25" s="639">
        <v>2310</v>
      </c>
      <c r="C25" s="639">
        <v>851</v>
      </c>
      <c r="D25" s="642"/>
      <c r="E25" s="641"/>
      <c r="F25" s="642"/>
      <c r="G25" s="641"/>
      <c r="H25" s="642"/>
      <c r="I25" s="641"/>
    </row>
    <row r="26" spans="1:9" ht="55.5" customHeight="1" x14ac:dyDescent="0.2">
      <c r="A26" s="351" t="s">
        <v>1000</v>
      </c>
      <c r="B26" s="639">
        <v>2320</v>
      </c>
      <c r="C26" s="639">
        <v>852</v>
      </c>
      <c r="D26" s="642" t="s">
        <v>1144</v>
      </c>
      <c r="E26" s="641" t="s">
        <v>1145</v>
      </c>
      <c r="F26" s="642" t="s">
        <v>937</v>
      </c>
      <c r="G26" s="641" t="s">
        <v>1146</v>
      </c>
      <c r="H26" s="642" t="s">
        <v>937</v>
      </c>
      <c r="I26" s="641"/>
    </row>
    <row r="27" spans="1:9" ht="51" x14ac:dyDescent="0.2">
      <c r="A27" s="351" t="s">
        <v>1001</v>
      </c>
      <c r="B27" s="639">
        <v>2330</v>
      </c>
      <c r="C27" s="639">
        <v>853</v>
      </c>
      <c r="D27" s="642" t="s">
        <v>1147</v>
      </c>
      <c r="E27" s="641" t="s">
        <v>1148</v>
      </c>
      <c r="F27" s="642" t="s">
        <v>938</v>
      </c>
      <c r="G27" s="641" t="s">
        <v>1149</v>
      </c>
      <c r="H27" s="642" t="s">
        <v>938</v>
      </c>
      <c r="I27" s="641"/>
    </row>
    <row r="28" spans="1:9" x14ac:dyDescent="0.2">
      <c r="A28" s="351"/>
      <c r="B28" s="639"/>
      <c r="C28" s="639"/>
      <c r="D28" s="642"/>
      <c r="E28" s="641" t="s">
        <v>1150</v>
      </c>
      <c r="F28" s="642" t="s">
        <v>939</v>
      </c>
      <c r="G28" s="641" t="s">
        <v>1151</v>
      </c>
      <c r="H28" s="642" t="s">
        <v>1152</v>
      </c>
      <c r="I28" s="641"/>
    </row>
    <row r="29" spans="1:9" ht="25.5" x14ac:dyDescent="0.2">
      <c r="A29" s="351"/>
      <c r="B29" s="639"/>
      <c r="C29" s="639"/>
      <c r="D29" s="642"/>
      <c r="E29" s="641" t="s">
        <v>1153</v>
      </c>
      <c r="F29" s="642" t="s">
        <v>1154</v>
      </c>
      <c r="G29" s="641" t="s">
        <v>1155</v>
      </c>
      <c r="H29" s="642" t="s">
        <v>940</v>
      </c>
      <c r="I29" s="641"/>
    </row>
    <row r="30" spans="1:9" ht="25.5" x14ac:dyDescent="0.2">
      <c r="A30" s="351"/>
      <c r="B30" s="639"/>
      <c r="C30" s="639"/>
      <c r="D30" s="642"/>
      <c r="E30" s="641" t="s">
        <v>1156</v>
      </c>
      <c r="F30" s="642" t="s">
        <v>1157</v>
      </c>
      <c r="G30" s="641" t="s">
        <v>1158</v>
      </c>
      <c r="H30" s="642" t="s">
        <v>941</v>
      </c>
      <c r="I30" s="641"/>
    </row>
    <row r="31" spans="1:9" ht="41.25" customHeight="1" x14ac:dyDescent="0.2">
      <c r="A31" s="655" t="s">
        <v>1002</v>
      </c>
      <c r="B31" s="656">
        <v>2400</v>
      </c>
      <c r="C31" s="656" t="s">
        <v>859</v>
      </c>
      <c r="D31" s="648"/>
      <c r="E31" s="647"/>
      <c r="F31" s="648"/>
      <c r="G31" s="647"/>
      <c r="H31" s="648"/>
      <c r="I31" s="647"/>
    </row>
    <row r="32" spans="1:9" ht="38.25" x14ac:dyDescent="0.2">
      <c r="A32" s="351" t="s">
        <v>1003</v>
      </c>
      <c r="B32" s="639">
        <v>2410</v>
      </c>
      <c r="C32" s="639">
        <v>810</v>
      </c>
      <c r="D32" s="642"/>
      <c r="E32" s="641"/>
      <c r="F32" s="642"/>
      <c r="G32" s="641"/>
      <c r="H32" s="642"/>
      <c r="I32" s="641"/>
    </row>
    <row r="33" spans="1:9" ht="25.5" x14ac:dyDescent="0.2">
      <c r="A33" s="351" t="s">
        <v>1004</v>
      </c>
      <c r="B33" s="639">
        <v>2420</v>
      </c>
      <c r="C33" s="639">
        <v>862</v>
      </c>
      <c r="D33" s="642"/>
      <c r="E33" s="641"/>
      <c r="F33" s="642"/>
      <c r="G33" s="641"/>
      <c r="H33" s="642"/>
      <c r="I33" s="641"/>
    </row>
    <row r="34" spans="1:9" ht="25.5" x14ac:dyDescent="0.2">
      <c r="A34" s="655" t="s">
        <v>1005</v>
      </c>
      <c r="B34" s="656">
        <v>2500</v>
      </c>
      <c r="C34" s="656" t="s">
        <v>859</v>
      </c>
      <c r="D34" s="648"/>
      <c r="E34" s="647"/>
      <c r="F34" s="648"/>
      <c r="G34" s="647"/>
      <c r="H34" s="648"/>
      <c r="I34" s="647"/>
    </row>
    <row r="35" spans="1:9" ht="81.75" customHeight="1" x14ac:dyDescent="0.2">
      <c r="A35" s="351" t="s">
        <v>1006</v>
      </c>
      <c r="B35" s="639">
        <v>252</v>
      </c>
      <c r="C35" s="639">
        <v>831</v>
      </c>
      <c r="D35" s="642"/>
      <c r="E35" s="641"/>
      <c r="F35" s="642"/>
      <c r="G35" s="641"/>
      <c r="H35" s="642"/>
      <c r="I35" s="641"/>
    </row>
    <row r="36" spans="1:9" ht="29.25" customHeight="1" x14ac:dyDescent="0.2">
      <c r="A36" s="655" t="s">
        <v>1159</v>
      </c>
      <c r="B36" s="656">
        <v>2600</v>
      </c>
      <c r="C36" s="656" t="s">
        <v>859</v>
      </c>
      <c r="D36" s="648"/>
      <c r="E36" s="647"/>
      <c r="F36" s="648"/>
      <c r="G36" s="647"/>
      <c r="H36" s="648"/>
      <c r="I36" s="647"/>
    </row>
    <row r="37" spans="1:9" ht="45.75" customHeight="1" x14ac:dyDescent="0.2">
      <c r="A37" s="351" t="s">
        <v>1008</v>
      </c>
      <c r="B37" s="639">
        <v>2610</v>
      </c>
      <c r="C37" s="639">
        <v>241</v>
      </c>
      <c r="D37" s="642"/>
      <c r="E37" s="641"/>
      <c r="F37" s="642"/>
      <c r="G37" s="641"/>
      <c r="H37" s="642"/>
      <c r="I37" s="641"/>
    </row>
    <row r="38" spans="1:9" ht="42.75" customHeight="1" x14ac:dyDescent="0.2">
      <c r="A38" s="351" t="s">
        <v>1009</v>
      </c>
      <c r="B38" s="639">
        <v>2620</v>
      </c>
      <c r="C38" s="639">
        <v>242</v>
      </c>
      <c r="D38" s="642"/>
      <c r="E38" s="641"/>
      <c r="F38" s="642"/>
      <c r="G38" s="641"/>
      <c r="H38" s="642"/>
      <c r="I38" s="641"/>
    </row>
    <row r="39" spans="1:9" ht="65.25" customHeight="1" x14ac:dyDescent="0.2">
      <c r="A39" s="351" t="s">
        <v>1010</v>
      </c>
      <c r="B39" s="639">
        <v>2630</v>
      </c>
      <c r="C39" s="639">
        <v>243</v>
      </c>
      <c r="D39" s="642" t="s">
        <v>1160</v>
      </c>
      <c r="E39" s="641" t="s">
        <v>1122</v>
      </c>
      <c r="F39" s="642" t="s">
        <v>1120</v>
      </c>
      <c r="G39" s="641" t="s">
        <v>1161</v>
      </c>
      <c r="H39" s="642" t="s">
        <v>1162</v>
      </c>
      <c r="I39" s="641"/>
    </row>
    <row r="40" spans="1:9" ht="81.75" customHeight="1" x14ac:dyDescent="0.2">
      <c r="A40" s="351"/>
      <c r="B40" s="639"/>
      <c r="C40" s="639"/>
      <c r="D40" s="642" t="s">
        <v>1160</v>
      </c>
      <c r="E40" s="641" t="s">
        <v>1122</v>
      </c>
      <c r="F40" s="642" t="s">
        <v>1120</v>
      </c>
      <c r="G40" s="641" t="s">
        <v>1163</v>
      </c>
      <c r="H40" s="642" t="s">
        <v>1164</v>
      </c>
      <c r="I40" s="641"/>
    </row>
    <row r="41" spans="1:9" ht="25.5" x14ac:dyDescent="0.2">
      <c r="A41" s="351" t="s">
        <v>1011</v>
      </c>
      <c r="B41" s="639">
        <v>2640</v>
      </c>
      <c r="C41" s="639">
        <v>244</v>
      </c>
      <c r="D41" s="642"/>
      <c r="E41" s="641"/>
      <c r="F41" s="642"/>
      <c r="G41" s="641"/>
      <c r="H41" s="642"/>
      <c r="I41" s="641"/>
    </row>
    <row r="42" spans="1:9" x14ac:dyDescent="0.2">
      <c r="A42" s="351" t="s">
        <v>800</v>
      </c>
      <c r="B42" s="639"/>
      <c r="C42" s="639"/>
      <c r="D42" s="642"/>
      <c r="E42" s="641"/>
      <c r="F42" s="642"/>
      <c r="G42" s="641"/>
      <c r="H42" s="642"/>
      <c r="I42" s="641"/>
    </row>
    <row r="43" spans="1:9" x14ac:dyDescent="0.2">
      <c r="A43" s="351"/>
      <c r="B43" s="639"/>
      <c r="C43" s="639"/>
      <c r="D43" s="642"/>
      <c r="E43" s="641"/>
      <c r="F43" s="642"/>
      <c r="G43" s="641"/>
      <c r="H43" s="642"/>
      <c r="I43" s="641"/>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59999389629810485"/>
  </sheetPr>
  <dimension ref="A2:F24"/>
  <sheetViews>
    <sheetView view="pageBreakPreview" zoomScaleNormal="90" zoomScaleSheetLayoutView="100" workbookViewId="0">
      <pane xSplit="2" ySplit="7" topLeftCell="C8" activePane="bottomRight" state="frozen"/>
      <selection activeCell="E71" sqref="E71"/>
      <selection pane="topRight" activeCell="E71" sqref="E71"/>
      <selection pane="bottomLeft" activeCell="E71" sqref="E71"/>
      <selection pane="bottomRight" activeCell="F4" sqref="F4"/>
    </sheetView>
  </sheetViews>
  <sheetFormatPr defaultRowHeight="14.25" customHeight="1" x14ac:dyDescent="0.2"/>
  <cols>
    <col min="1" max="1" width="53.6640625" style="490" customWidth="1"/>
    <col min="2" max="2" width="7.83203125" style="490" customWidth="1"/>
    <col min="3" max="3" width="22.1640625" style="490" customWidth="1"/>
    <col min="4" max="4" width="24.83203125" style="490" customWidth="1"/>
    <col min="5" max="5" width="22.83203125" style="490" customWidth="1"/>
    <col min="6" max="6" width="19.33203125" style="490" customWidth="1"/>
    <col min="7" max="16384" width="9.33203125" style="490"/>
  </cols>
  <sheetData>
    <row r="2" spans="1:6" ht="14.25" customHeight="1" x14ac:dyDescent="0.2">
      <c r="A2" s="2425" t="s">
        <v>834</v>
      </c>
      <c r="B2" s="2425"/>
      <c r="C2" s="2425"/>
      <c r="D2" s="2425"/>
      <c r="E2" s="2425"/>
      <c r="F2" s="2425"/>
    </row>
    <row r="3" spans="1:6" ht="14.25" customHeight="1" x14ac:dyDescent="0.2">
      <c r="A3" s="2426" t="s">
        <v>1253</v>
      </c>
      <c r="B3" s="2426"/>
      <c r="C3" s="2426"/>
      <c r="D3" s="2426"/>
      <c r="E3" s="2426"/>
      <c r="F3" s="2426"/>
    </row>
    <row r="4" spans="1:6" ht="14.25" customHeight="1" x14ac:dyDescent="0.2">
      <c r="A4" s="2064"/>
      <c r="B4" s="2064"/>
      <c r="C4" s="2064"/>
      <c r="D4" s="2064"/>
      <c r="E4" s="2064"/>
      <c r="F4" s="2068">
        <v>43829</v>
      </c>
    </row>
    <row r="5" spans="1:6" ht="14.25" customHeight="1" x14ac:dyDescent="0.2">
      <c r="A5" s="2424" t="s">
        <v>416</v>
      </c>
      <c r="B5" s="2424" t="s">
        <v>417</v>
      </c>
      <c r="C5" s="2424" t="s">
        <v>418</v>
      </c>
      <c r="D5" s="2424"/>
      <c r="E5" s="2424"/>
      <c r="F5" s="2427" t="s">
        <v>835</v>
      </c>
    </row>
    <row r="6" spans="1:6" ht="14.25" customHeight="1" x14ac:dyDescent="0.2">
      <c r="A6" s="2424"/>
      <c r="B6" s="2424"/>
      <c r="C6" s="491" t="s">
        <v>428</v>
      </c>
      <c r="D6" s="491" t="s">
        <v>429</v>
      </c>
      <c r="E6" s="491" t="s">
        <v>430</v>
      </c>
      <c r="F6" s="2428"/>
    </row>
    <row r="7" spans="1:6" ht="26.25" customHeight="1" x14ac:dyDescent="0.2">
      <c r="A7" s="2424"/>
      <c r="B7" s="2424"/>
      <c r="C7" s="491" t="s">
        <v>419</v>
      </c>
      <c r="D7" s="491" t="s">
        <v>420</v>
      </c>
      <c r="E7" s="491" t="s">
        <v>421</v>
      </c>
      <c r="F7" s="2429"/>
    </row>
    <row r="8" spans="1:6" ht="14.25" customHeight="1" x14ac:dyDescent="0.2">
      <c r="A8" s="491">
        <v>1</v>
      </c>
      <c r="B8" s="491">
        <v>2</v>
      </c>
      <c r="C8" s="491">
        <v>3</v>
      </c>
      <c r="D8" s="491">
        <v>4</v>
      </c>
      <c r="E8" s="491">
        <v>5</v>
      </c>
      <c r="F8" s="491">
        <v>6</v>
      </c>
    </row>
    <row r="9" spans="1:6" ht="33.75" customHeight="1" x14ac:dyDescent="0.2">
      <c r="A9" s="492" t="s">
        <v>836</v>
      </c>
      <c r="B9" s="491">
        <v>100</v>
      </c>
      <c r="C9" s="491"/>
      <c r="D9" s="491"/>
      <c r="E9" s="491"/>
      <c r="F9" s="493"/>
    </row>
    <row r="10" spans="1:6" ht="39.75" customHeight="1" x14ac:dyDescent="0.2">
      <c r="A10" s="492" t="s">
        <v>837</v>
      </c>
      <c r="B10" s="491">
        <v>200</v>
      </c>
      <c r="C10" s="491"/>
      <c r="D10" s="491"/>
      <c r="E10" s="491"/>
      <c r="F10" s="493"/>
    </row>
    <row r="11" spans="1:6" s="548" customFormat="1" ht="11.25" customHeight="1" x14ac:dyDescent="0.2">
      <c r="A11" s="545" t="s">
        <v>838</v>
      </c>
      <c r="B11" s="546">
        <v>300</v>
      </c>
      <c r="C11" s="547">
        <f>C12+C14+C15+C16+C17+C18+C19+C20+C21+C13</f>
        <v>0</v>
      </c>
      <c r="D11" s="547">
        <f t="shared" ref="D11:E11" si="0">D12+D14+D15+D16+D17+D18+D19+D20+D21+D13</f>
        <v>0</v>
      </c>
      <c r="E11" s="547">
        <f t="shared" si="0"/>
        <v>0</v>
      </c>
      <c r="F11" s="547">
        <f t="shared" ref="F11" si="1">F12+F14+F15+F16+F17+F18+F19+F20+F21</f>
        <v>0</v>
      </c>
    </row>
    <row r="12" spans="1:6" ht="14.25" customHeight="1" x14ac:dyDescent="0.2">
      <c r="A12" s="492" t="s">
        <v>440</v>
      </c>
      <c r="B12" s="2424">
        <v>310</v>
      </c>
      <c r="C12" s="490">
        <f>'[15]строка 1110 (121) аренда'!L20</f>
        <v>0</v>
      </c>
      <c r="D12" s="658">
        <f>'[15]строка 1110 (121) аренда'!M20</f>
        <v>0</v>
      </c>
      <c r="E12" s="658">
        <f>'[15]строка 1110 (121) аренда'!N20</f>
        <v>0</v>
      </c>
      <c r="F12" s="658">
        <f>'[15]строка 1110 (121) аренда'!O20</f>
        <v>0</v>
      </c>
    </row>
    <row r="13" spans="1:6" ht="36.75" customHeight="1" x14ac:dyDescent="0.2">
      <c r="A13" s="492" t="s">
        <v>839</v>
      </c>
      <c r="B13" s="2424"/>
      <c r="C13" s="657">
        <f>'строка 1110 (121) аренда+'!L21</f>
        <v>0</v>
      </c>
      <c r="D13" s="494">
        <f>'строка 1110 (121) аренда+'!M21</f>
        <v>0</v>
      </c>
      <c r="E13" s="494">
        <f>'строка 1110 (121) аренда+'!N21</f>
        <v>0</v>
      </c>
      <c r="F13" s="495"/>
    </row>
    <row r="14" spans="1:6" ht="13.5" customHeight="1" x14ac:dyDescent="0.2">
      <c r="A14" s="492" t="s">
        <v>840</v>
      </c>
      <c r="B14" s="491">
        <v>320</v>
      </c>
      <c r="C14" s="657"/>
      <c r="D14" s="494"/>
      <c r="E14" s="494"/>
      <c r="F14" s="495"/>
    </row>
    <row r="15" spans="1:6" ht="24.75" customHeight="1" x14ac:dyDescent="0.2">
      <c r="A15" s="492" t="s">
        <v>841</v>
      </c>
      <c r="B15" s="491">
        <v>330</v>
      </c>
      <c r="C15" s="494"/>
      <c r="D15" s="494"/>
      <c r="E15" s="494"/>
      <c r="F15" s="495"/>
    </row>
    <row r="16" spans="1:6" ht="24" customHeight="1" x14ac:dyDescent="0.2">
      <c r="A16" s="492" t="s">
        <v>842</v>
      </c>
      <c r="B16" s="491">
        <v>340</v>
      </c>
      <c r="C16" s="494"/>
      <c r="D16" s="494"/>
      <c r="E16" s="494"/>
      <c r="F16" s="495"/>
    </row>
    <row r="17" spans="1:6" ht="12" customHeight="1" x14ac:dyDescent="0.2">
      <c r="A17" s="492" t="s">
        <v>843</v>
      </c>
      <c r="B17" s="491">
        <v>350</v>
      </c>
      <c r="C17" s="494"/>
      <c r="D17" s="494"/>
      <c r="E17" s="494"/>
      <c r="F17" s="495"/>
    </row>
    <row r="18" spans="1:6" ht="14.25" customHeight="1" x14ac:dyDescent="0.2">
      <c r="A18" s="492" t="s">
        <v>844</v>
      </c>
      <c r="B18" s="491">
        <v>360</v>
      </c>
      <c r="C18" s="494"/>
      <c r="D18" s="494"/>
      <c r="E18" s="494"/>
      <c r="F18" s="495"/>
    </row>
    <row r="19" spans="1:6" ht="51" customHeight="1" x14ac:dyDescent="0.2">
      <c r="A19" s="492" t="s">
        <v>845</v>
      </c>
      <c r="B19" s="491">
        <v>370</v>
      </c>
      <c r="C19" s="494"/>
      <c r="D19" s="494"/>
      <c r="E19" s="494"/>
      <c r="F19" s="495"/>
    </row>
    <row r="20" spans="1:6" ht="36.75" customHeight="1" x14ac:dyDescent="0.2">
      <c r="A20" s="492" t="s">
        <v>846</v>
      </c>
      <c r="B20" s="491">
        <v>380</v>
      </c>
      <c r="C20" s="494"/>
      <c r="D20" s="494"/>
      <c r="E20" s="494"/>
      <c r="F20" s="495"/>
    </row>
    <row r="21" spans="1:6" ht="24" customHeight="1" x14ac:dyDescent="0.2">
      <c r="A21" s="492" t="s">
        <v>847</v>
      </c>
      <c r="B21" s="491">
        <v>390</v>
      </c>
      <c r="C21" s="494"/>
      <c r="D21" s="494"/>
      <c r="E21" s="494"/>
      <c r="F21" s="495"/>
    </row>
    <row r="22" spans="1:6" ht="24" customHeight="1" x14ac:dyDescent="0.2">
      <c r="A22" s="492" t="s">
        <v>848</v>
      </c>
      <c r="B22" s="491">
        <v>400</v>
      </c>
      <c r="C22" s="494"/>
      <c r="D22" s="494"/>
      <c r="E22" s="494"/>
      <c r="F22" s="495"/>
    </row>
    <row r="23" spans="1:6" ht="37.5" customHeight="1" x14ac:dyDescent="0.2">
      <c r="A23" s="492" t="s">
        <v>849</v>
      </c>
      <c r="B23" s="491">
        <v>500</v>
      </c>
      <c r="C23" s="494"/>
      <c r="D23" s="494"/>
      <c r="E23" s="494"/>
      <c r="F23" s="495"/>
    </row>
    <row r="24" spans="1:6" s="499" customFormat="1" ht="23.25" customHeight="1" x14ac:dyDescent="0.2">
      <c r="A24" s="496" t="s">
        <v>850</v>
      </c>
      <c r="B24" s="497">
        <v>600</v>
      </c>
      <c r="C24" s="498">
        <f>C9-C10+C11-C22+C23</f>
        <v>0</v>
      </c>
      <c r="D24" s="498">
        <f t="shared" ref="D24:F24" si="2">D9-D10+D11-D22+D23</f>
        <v>0</v>
      </c>
      <c r="E24" s="498">
        <f t="shared" si="2"/>
        <v>0</v>
      </c>
      <c r="F24" s="498">
        <f t="shared" si="2"/>
        <v>0</v>
      </c>
    </row>
  </sheetData>
  <mergeCells count="7">
    <mergeCell ref="B12:B13"/>
    <mergeCell ref="A2:F2"/>
    <mergeCell ref="A3:F3"/>
    <mergeCell ref="A5:A7"/>
    <mergeCell ref="B5:B7"/>
    <mergeCell ref="C5:E5"/>
    <mergeCell ref="F5:F7"/>
  </mergeCells>
  <pageMargins left="0.70866141732283472" right="0.70866141732283472" top="0.74803149606299213" bottom="0.74803149606299213" header="0.31496062992125984" footer="0.31496062992125984"/>
  <pageSetup paperSize="9" scale="8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O26"/>
  <sheetViews>
    <sheetView view="pageBreakPreview" zoomScale="70" zoomScaleNormal="80" zoomScaleSheetLayoutView="70" workbookViewId="0">
      <selection activeCell="G37" sqref="G37"/>
    </sheetView>
  </sheetViews>
  <sheetFormatPr defaultRowHeight="15.75" x14ac:dyDescent="0.25"/>
  <cols>
    <col min="1" max="1" width="36" style="672" customWidth="1"/>
    <col min="2" max="2" width="9.33203125" style="672"/>
    <col min="3" max="14" width="18.1640625" style="672" customWidth="1"/>
    <col min="15" max="15" width="32.83203125" style="672" customWidth="1"/>
    <col min="16" max="16384" width="9.33203125" style="672"/>
  </cols>
  <sheetData>
    <row r="1" spans="1:15" ht="16.5" x14ac:dyDescent="0.25">
      <c r="A1" s="2433" t="s">
        <v>851</v>
      </c>
      <c r="B1" s="2433"/>
      <c r="C1" s="2433"/>
      <c r="D1" s="2433"/>
      <c r="E1" s="2433"/>
      <c r="F1" s="2433"/>
      <c r="G1" s="2433"/>
      <c r="H1" s="2433"/>
      <c r="I1" s="2433"/>
      <c r="J1" s="2433"/>
      <c r="K1" s="2433"/>
      <c r="L1" s="2433"/>
      <c r="M1" s="2433"/>
      <c r="N1" s="2433"/>
    </row>
    <row r="2" spans="1:15" x14ac:dyDescent="0.25">
      <c r="A2" s="2434" t="s">
        <v>1253</v>
      </c>
      <c r="B2" s="2434"/>
      <c r="C2" s="2434"/>
      <c r="D2" s="2434"/>
      <c r="E2" s="2434"/>
      <c r="F2" s="2434"/>
      <c r="G2" s="2434"/>
      <c r="H2" s="2434"/>
      <c r="I2" s="2434"/>
      <c r="J2" s="2434"/>
      <c r="K2" s="2434"/>
      <c r="L2" s="2434"/>
      <c r="M2" s="2434"/>
      <c r="N2" s="2434"/>
    </row>
    <row r="3" spans="1:15" x14ac:dyDescent="0.25">
      <c r="A3" s="2435" t="s">
        <v>852</v>
      </c>
      <c r="B3" s="2435"/>
      <c r="C3" s="2435"/>
      <c r="D3" s="2435"/>
      <c r="E3" s="2435"/>
      <c r="F3" s="2435"/>
      <c r="G3" s="2435"/>
      <c r="H3" s="2435"/>
      <c r="I3" s="2435"/>
      <c r="J3" s="2435"/>
      <c r="K3" s="2435"/>
      <c r="L3" s="2435"/>
      <c r="M3" s="2435"/>
      <c r="N3" s="2435"/>
    </row>
    <row r="5" spans="1:15" ht="60" customHeight="1" x14ac:dyDescent="0.25">
      <c r="A5" s="2436" t="s">
        <v>853</v>
      </c>
      <c r="B5" s="2436" t="s">
        <v>417</v>
      </c>
      <c r="C5" s="2437" t="s">
        <v>854</v>
      </c>
      <c r="D5" s="2437"/>
      <c r="E5" s="2437"/>
      <c r="F5" s="2437" t="s">
        <v>855</v>
      </c>
      <c r="G5" s="2437"/>
      <c r="H5" s="2437"/>
      <c r="I5" s="2436" t="s">
        <v>856</v>
      </c>
      <c r="J5" s="2436"/>
      <c r="K5" s="2436"/>
      <c r="L5" s="2436" t="s">
        <v>857</v>
      </c>
      <c r="M5" s="2436"/>
      <c r="N5" s="2436"/>
      <c r="O5" s="2430" t="s">
        <v>835</v>
      </c>
    </row>
    <row r="6" spans="1:15" x14ac:dyDescent="0.25">
      <c r="A6" s="2436"/>
      <c r="B6" s="2436"/>
      <c r="C6" s="673" t="s">
        <v>428</v>
      </c>
      <c r="D6" s="673" t="s">
        <v>429</v>
      </c>
      <c r="E6" s="673" t="s">
        <v>430</v>
      </c>
      <c r="F6" s="673" t="s">
        <v>428</v>
      </c>
      <c r="G6" s="673" t="s">
        <v>429</v>
      </c>
      <c r="H6" s="673" t="s">
        <v>430</v>
      </c>
      <c r="I6" s="674" t="s">
        <v>428</v>
      </c>
      <c r="J6" s="674" t="s">
        <v>429</v>
      </c>
      <c r="K6" s="674" t="s">
        <v>430</v>
      </c>
      <c r="L6" s="674" t="s">
        <v>428</v>
      </c>
      <c r="M6" s="674" t="s">
        <v>429</v>
      </c>
      <c r="N6" s="674" t="s">
        <v>430</v>
      </c>
      <c r="O6" s="2431"/>
    </row>
    <row r="7" spans="1:15" ht="47.25" x14ac:dyDescent="0.25">
      <c r="A7" s="2436"/>
      <c r="B7" s="2436"/>
      <c r="C7" s="673" t="s">
        <v>419</v>
      </c>
      <c r="D7" s="673" t="s">
        <v>420</v>
      </c>
      <c r="E7" s="673" t="s">
        <v>421</v>
      </c>
      <c r="F7" s="673" t="s">
        <v>419</v>
      </c>
      <c r="G7" s="673" t="s">
        <v>420</v>
      </c>
      <c r="H7" s="673" t="s">
        <v>421</v>
      </c>
      <c r="I7" s="674" t="s">
        <v>419</v>
      </c>
      <c r="J7" s="674" t="s">
        <v>420</v>
      </c>
      <c r="K7" s="674" t="s">
        <v>421</v>
      </c>
      <c r="L7" s="674" t="s">
        <v>419</v>
      </c>
      <c r="M7" s="674" t="s">
        <v>420</v>
      </c>
      <c r="N7" s="674" t="s">
        <v>421</v>
      </c>
      <c r="O7" s="2432"/>
    </row>
    <row r="8" spans="1:15" x14ac:dyDescent="0.25">
      <c r="A8" s="674">
        <v>1</v>
      </c>
      <c r="B8" s="674">
        <v>2</v>
      </c>
      <c r="C8" s="674">
        <v>3</v>
      </c>
      <c r="D8" s="674">
        <v>4</v>
      </c>
      <c r="E8" s="674">
        <v>5</v>
      </c>
      <c r="F8" s="674">
        <v>6</v>
      </c>
      <c r="G8" s="674">
        <v>7</v>
      </c>
      <c r="H8" s="674">
        <v>8</v>
      </c>
      <c r="I8" s="674">
        <v>9</v>
      </c>
      <c r="J8" s="674">
        <v>10</v>
      </c>
      <c r="K8" s="674">
        <v>11</v>
      </c>
      <c r="L8" s="674">
        <v>12</v>
      </c>
      <c r="M8" s="674">
        <v>13</v>
      </c>
      <c r="N8" s="674">
        <v>14</v>
      </c>
      <c r="O8" s="674">
        <v>15</v>
      </c>
    </row>
    <row r="9" spans="1:15" ht="31.5" x14ac:dyDescent="0.25">
      <c r="A9" s="504" t="s">
        <v>858</v>
      </c>
      <c r="B9" s="674">
        <v>100</v>
      </c>
      <c r="C9" s="674" t="s">
        <v>859</v>
      </c>
      <c r="D9" s="674" t="s">
        <v>859</v>
      </c>
      <c r="E9" s="674" t="s">
        <v>859</v>
      </c>
      <c r="F9" s="674" t="s">
        <v>859</v>
      </c>
      <c r="G9" s="674" t="s">
        <v>859</v>
      </c>
      <c r="H9" s="674" t="s">
        <v>859</v>
      </c>
      <c r="I9" s="674" t="s">
        <v>859</v>
      </c>
      <c r="J9" s="674" t="s">
        <v>859</v>
      </c>
      <c r="K9" s="674" t="s">
        <v>859</v>
      </c>
      <c r="L9" s="504"/>
      <c r="M9" s="504"/>
      <c r="N9" s="504"/>
      <c r="O9" s="675"/>
    </row>
    <row r="10" spans="1:15" x14ac:dyDescent="0.25">
      <c r="A10" s="504" t="s">
        <v>523</v>
      </c>
      <c r="B10" s="504"/>
      <c r="C10" s="504"/>
      <c r="D10" s="504"/>
      <c r="E10" s="504"/>
      <c r="F10" s="504"/>
      <c r="G10" s="504"/>
      <c r="H10" s="504"/>
      <c r="I10" s="504"/>
      <c r="J10" s="504"/>
      <c r="K10" s="504"/>
      <c r="L10" s="504"/>
      <c r="M10" s="504"/>
      <c r="N10" s="504"/>
      <c r="O10" s="675"/>
    </row>
    <row r="11" spans="1:15" s="679" customFormat="1" x14ac:dyDescent="0.25">
      <c r="A11" s="676"/>
      <c r="B11" s="673"/>
      <c r="C11" s="677"/>
      <c r="D11" s="677"/>
      <c r="E11" s="677"/>
      <c r="F11" s="677"/>
      <c r="G11" s="677"/>
      <c r="H11" s="677"/>
      <c r="I11" s="677"/>
      <c r="J11" s="677"/>
      <c r="K11" s="677"/>
      <c r="L11" s="677"/>
      <c r="M11" s="677"/>
      <c r="N11" s="677"/>
      <c r="O11" s="678"/>
    </row>
    <row r="12" spans="1:15" x14ac:dyDescent="0.25">
      <c r="A12" s="676"/>
      <c r="B12" s="674"/>
      <c r="C12" s="680"/>
      <c r="D12" s="680"/>
      <c r="E12" s="680"/>
      <c r="F12" s="680"/>
      <c r="G12" s="680"/>
      <c r="H12" s="680"/>
      <c r="I12" s="680"/>
      <c r="J12" s="680"/>
      <c r="K12" s="680"/>
      <c r="L12" s="680"/>
      <c r="M12" s="680"/>
      <c r="N12" s="680"/>
      <c r="O12" s="675"/>
    </row>
    <row r="13" spans="1:15" hidden="1" x14ac:dyDescent="0.25">
      <c r="A13" s="504"/>
      <c r="B13" s="674">
        <v>101</v>
      </c>
      <c r="C13" s="680"/>
      <c r="D13" s="680"/>
      <c r="E13" s="680"/>
      <c r="F13" s="680"/>
      <c r="G13" s="680"/>
      <c r="H13" s="680"/>
      <c r="I13" s="680"/>
      <c r="J13" s="680"/>
      <c r="K13" s="680"/>
      <c r="L13" s="680">
        <f t="shared" ref="L13:N14" si="0">C13*F13*I13</f>
        <v>0</v>
      </c>
      <c r="M13" s="680">
        <f t="shared" si="0"/>
        <v>0</v>
      </c>
      <c r="N13" s="680">
        <f t="shared" si="0"/>
        <v>0</v>
      </c>
      <c r="O13" s="675"/>
    </row>
    <row r="14" spans="1:15" hidden="1" x14ac:dyDescent="0.25">
      <c r="A14" s="504"/>
      <c r="B14" s="674">
        <v>101</v>
      </c>
      <c r="C14" s="680"/>
      <c r="D14" s="680"/>
      <c r="E14" s="680"/>
      <c r="F14" s="680"/>
      <c r="G14" s="680"/>
      <c r="H14" s="680"/>
      <c r="I14" s="680"/>
      <c r="J14" s="680"/>
      <c r="K14" s="680"/>
      <c r="L14" s="680">
        <f t="shared" si="0"/>
        <v>0</v>
      </c>
      <c r="M14" s="680">
        <f t="shared" si="0"/>
        <v>0</v>
      </c>
      <c r="N14" s="680">
        <f t="shared" si="0"/>
        <v>0</v>
      </c>
      <c r="O14" s="675"/>
    </row>
    <row r="15" spans="1:15" hidden="1" x14ac:dyDescent="0.25">
      <c r="A15" s="504" t="s">
        <v>884</v>
      </c>
      <c r="B15" s="674">
        <v>200</v>
      </c>
      <c r="C15" s="680" t="s">
        <v>859</v>
      </c>
      <c r="D15" s="680" t="s">
        <v>859</v>
      </c>
      <c r="E15" s="680" t="s">
        <v>859</v>
      </c>
      <c r="F15" s="680" t="s">
        <v>859</v>
      </c>
      <c r="G15" s="680" t="s">
        <v>859</v>
      </c>
      <c r="H15" s="680" t="s">
        <v>859</v>
      </c>
      <c r="I15" s="680" t="s">
        <v>859</v>
      </c>
      <c r="J15" s="680" t="s">
        <v>859</v>
      </c>
      <c r="K15" s="680" t="s">
        <v>859</v>
      </c>
      <c r="L15" s="680"/>
      <c r="M15" s="680"/>
      <c r="N15" s="680"/>
      <c r="O15" s="675"/>
    </row>
    <row r="16" spans="1:15" hidden="1" x14ac:dyDescent="0.25">
      <c r="A16" s="504" t="s">
        <v>523</v>
      </c>
      <c r="B16" s="504"/>
      <c r="C16" s="680"/>
      <c r="D16" s="680"/>
      <c r="E16" s="680"/>
      <c r="F16" s="680"/>
      <c r="G16" s="680"/>
      <c r="H16" s="680"/>
      <c r="I16" s="680"/>
      <c r="J16" s="680"/>
      <c r="K16" s="680"/>
      <c r="L16" s="680"/>
      <c r="M16" s="680"/>
      <c r="N16" s="680"/>
      <c r="O16" s="675"/>
    </row>
    <row r="17" spans="1:15" hidden="1" x14ac:dyDescent="0.25">
      <c r="A17" s="504"/>
      <c r="B17" s="674">
        <v>201</v>
      </c>
      <c r="C17" s="680"/>
      <c r="D17" s="680"/>
      <c r="E17" s="680"/>
      <c r="F17" s="680"/>
      <c r="G17" s="680"/>
      <c r="H17" s="680"/>
      <c r="I17" s="680"/>
      <c r="J17" s="680"/>
      <c r="K17" s="680"/>
      <c r="L17" s="680">
        <f>C17*F17*I17</f>
        <v>0</v>
      </c>
      <c r="M17" s="680">
        <f>D17*G17*J17</f>
        <v>0</v>
      </c>
      <c r="N17" s="680">
        <f>E17*H17*K17</f>
        <v>0</v>
      </c>
      <c r="O17" s="675"/>
    </row>
    <row r="18" spans="1:15" hidden="1" x14ac:dyDescent="0.25">
      <c r="A18" s="504"/>
      <c r="B18" s="674">
        <v>201</v>
      </c>
      <c r="C18" s="680"/>
      <c r="D18" s="680"/>
      <c r="E18" s="680"/>
      <c r="F18" s="680"/>
      <c r="G18" s="680"/>
      <c r="H18" s="680"/>
      <c r="I18" s="680"/>
      <c r="J18" s="680"/>
      <c r="K18" s="680"/>
      <c r="L18" s="680">
        <f t="shared" ref="L18:N20" si="1">C18*F18*I18</f>
        <v>0</v>
      </c>
      <c r="M18" s="680">
        <f t="shared" si="1"/>
        <v>0</v>
      </c>
      <c r="N18" s="680">
        <f t="shared" si="1"/>
        <v>0</v>
      </c>
      <c r="O18" s="675"/>
    </row>
    <row r="19" spans="1:15" hidden="1" x14ac:dyDescent="0.25">
      <c r="A19" s="504"/>
      <c r="B19" s="674">
        <v>201</v>
      </c>
      <c r="C19" s="680"/>
      <c r="D19" s="680"/>
      <c r="E19" s="680"/>
      <c r="F19" s="680"/>
      <c r="G19" s="680"/>
      <c r="H19" s="680"/>
      <c r="I19" s="680"/>
      <c r="J19" s="680"/>
      <c r="K19" s="680"/>
      <c r="L19" s="680">
        <f t="shared" si="1"/>
        <v>0</v>
      </c>
      <c r="M19" s="680">
        <f t="shared" si="1"/>
        <v>0</v>
      </c>
      <c r="N19" s="680">
        <f t="shared" si="1"/>
        <v>0</v>
      </c>
      <c r="O19" s="675"/>
    </row>
    <row r="20" spans="1:15" hidden="1" x14ac:dyDescent="0.25">
      <c r="A20" s="504"/>
      <c r="B20" s="674">
        <v>201</v>
      </c>
      <c r="C20" s="680"/>
      <c r="D20" s="680"/>
      <c r="E20" s="680"/>
      <c r="F20" s="680"/>
      <c r="G20" s="680"/>
      <c r="H20" s="680"/>
      <c r="I20" s="680"/>
      <c r="J20" s="680"/>
      <c r="K20" s="680"/>
      <c r="L20" s="680">
        <f t="shared" si="1"/>
        <v>0</v>
      </c>
      <c r="M20" s="680">
        <f t="shared" si="1"/>
        <v>0</v>
      </c>
      <c r="N20" s="680">
        <f t="shared" si="1"/>
        <v>0</v>
      </c>
      <c r="O20" s="675"/>
    </row>
    <row r="21" spans="1:15" s="684" customFormat="1" x14ac:dyDescent="0.25">
      <c r="A21" s="526" t="s">
        <v>72</v>
      </c>
      <c r="B21" s="681"/>
      <c r="C21" s="682" t="s">
        <v>859</v>
      </c>
      <c r="D21" s="682" t="s">
        <v>859</v>
      </c>
      <c r="E21" s="682" t="s">
        <v>859</v>
      </c>
      <c r="F21" s="682" t="s">
        <v>859</v>
      </c>
      <c r="G21" s="682" t="s">
        <v>859</v>
      </c>
      <c r="H21" s="682" t="s">
        <v>859</v>
      </c>
      <c r="I21" s="682" t="s">
        <v>859</v>
      </c>
      <c r="J21" s="682" t="s">
        <v>859</v>
      </c>
      <c r="K21" s="682" t="s">
        <v>859</v>
      </c>
      <c r="L21" s="682">
        <f>SUM(L11:L20)</f>
        <v>0</v>
      </c>
      <c r="M21" s="682">
        <f t="shared" ref="M21:N21" si="2">SUM(M11:M20)</f>
        <v>0</v>
      </c>
      <c r="N21" s="682">
        <f t="shared" si="2"/>
        <v>0</v>
      </c>
      <c r="O21" s="683"/>
    </row>
    <row r="22" spans="1:15" x14ac:dyDescent="0.25">
      <c r="A22" s="679"/>
    </row>
    <row r="24" spans="1:15" x14ac:dyDescent="0.25">
      <c r="A24" s="672" t="s">
        <v>14</v>
      </c>
    </row>
    <row r="26" spans="1:15" x14ac:dyDescent="0.25">
      <c r="A26" s="672" t="s">
        <v>410</v>
      </c>
    </row>
  </sheetData>
  <mergeCells count="10">
    <mergeCell ref="O5:O7"/>
    <mergeCell ref="A1:N1"/>
    <mergeCell ref="A2:N2"/>
    <mergeCell ref="A3:N3"/>
    <mergeCell ref="A5:A7"/>
    <mergeCell ref="B5:B7"/>
    <mergeCell ref="C5:E5"/>
    <mergeCell ref="F5:H5"/>
    <mergeCell ref="I5:K5"/>
    <mergeCell ref="L5:N5"/>
  </mergeCells>
  <pageMargins left="0.70866141732283472" right="0.70866141732283472" top="0.74803149606299213" bottom="0.74803149606299213" header="0.31496062992125984" footer="0.31496062992125984"/>
  <pageSetup paperSize="9" scale="4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39997558519241921"/>
  </sheetPr>
  <dimension ref="A1:G21"/>
  <sheetViews>
    <sheetView view="pageBreakPreview" topLeftCell="A4" zoomScale="90" zoomScaleNormal="100" zoomScaleSheetLayoutView="90" workbookViewId="0">
      <selection activeCell="C12" sqref="C12"/>
    </sheetView>
  </sheetViews>
  <sheetFormatPr defaultRowHeight="39" customHeight="1" x14ac:dyDescent="0.2"/>
  <cols>
    <col min="1" max="1" width="69.1640625" style="532" customWidth="1"/>
    <col min="2" max="2" width="9.83203125" style="532" customWidth="1"/>
    <col min="3" max="5" width="22" style="532" customWidth="1"/>
    <col min="6" max="6" width="22.1640625" style="532" customWidth="1"/>
    <col min="7" max="16384" width="9.33203125" style="532"/>
  </cols>
  <sheetData>
    <row r="1" spans="1:7" ht="39" customHeight="1" x14ac:dyDescent="0.2">
      <c r="A1" s="2439" t="s">
        <v>860</v>
      </c>
      <c r="B1" s="2439"/>
      <c r="C1" s="2439"/>
      <c r="D1" s="2439"/>
      <c r="E1" s="2439"/>
      <c r="F1" s="2439"/>
    </row>
    <row r="2" spans="1:7" ht="21" customHeight="1" x14ac:dyDescent="0.2">
      <c r="A2" s="2439" t="s">
        <v>1253</v>
      </c>
      <c r="B2" s="2439"/>
      <c r="C2" s="2439"/>
      <c r="D2" s="2439"/>
      <c r="E2" s="2439"/>
      <c r="F2" s="2439"/>
    </row>
    <row r="3" spans="1:7" ht="17.25" customHeight="1" x14ac:dyDescent="0.2">
      <c r="F3" s="2069">
        <v>43875</v>
      </c>
    </row>
    <row r="4" spans="1:7" ht="18.75" customHeight="1" x14ac:dyDescent="0.2">
      <c r="A4" s="2440" t="s">
        <v>416</v>
      </c>
      <c r="B4" s="2440" t="s">
        <v>417</v>
      </c>
      <c r="C4" s="2440" t="s">
        <v>418</v>
      </c>
      <c r="D4" s="2440"/>
      <c r="E4" s="2440"/>
      <c r="F4" s="2441" t="s">
        <v>835</v>
      </c>
    </row>
    <row r="5" spans="1:7" ht="25.5" customHeight="1" x14ac:dyDescent="0.2">
      <c r="A5" s="2440"/>
      <c r="B5" s="2440"/>
      <c r="C5" s="535" t="s">
        <v>428</v>
      </c>
      <c r="D5" s="535" t="s">
        <v>429</v>
      </c>
      <c r="E5" s="535" t="s">
        <v>429</v>
      </c>
      <c r="F5" s="2442"/>
    </row>
    <row r="6" spans="1:7" ht="45.75" customHeight="1" x14ac:dyDescent="0.2">
      <c r="A6" s="2440"/>
      <c r="B6" s="2440"/>
      <c r="C6" s="535" t="s">
        <v>419</v>
      </c>
      <c r="D6" s="535" t="s">
        <v>420</v>
      </c>
      <c r="E6" s="535" t="s">
        <v>421</v>
      </c>
      <c r="F6" s="2443"/>
    </row>
    <row r="7" spans="1:7" ht="15.75" customHeight="1" x14ac:dyDescent="0.2">
      <c r="A7" s="535">
        <v>1</v>
      </c>
      <c r="B7" s="535">
        <v>2</v>
      </c>
      <c r="C7" s="535">
        <v>3</v>
      </c>
      <c r="D7" s="535">
        <v>4</v>
      </c>
      <c r="E7" s="535">
        <v>5</v>
      </c>
      <c r="F7" s="535">
        <v>6</v>
      </c>
    </row>
    <row r="8" spans="1:7" ht="39" customHeight="1" x14ac:dyDescent="0.2">
      <c r="A8" s="536" t="s">
        <v>836</v>
      </c>
      <c r="B8" s="535">
        <v>100</v>
      </c>
      <c r="C8" s="538">
        <v>34061.71</v>
      </c>
      <c r="D8" s="538"/>
      <c r="E8" s="538"/>
      <c r="F8" s="539"/>
    </row>
    <row r="9" spans="1:7" ht="46.5" customHeight="1" x14ac:dyDescent="0.2">
      <c r="A9" s="536" t="s">
        <v>837</v>
      </c>
      <c r="B9" s="535">
        <v>200</v>
      </c>
      <c r="C9" s="538">
        <v>212563.83</v>
      </c>
      <c r="D9" s="538"/>
      <c r="E9" s="538"/>
      <c r="F9" s="539"/>
    </row>
    <row r="10" spans="1:7" s="552" customFormat="1" ht="28.5" customHeight="1" x14ac:dyDescent="0.2">
      <c r="A10" s="549" t="s">
        <v>861</v>
      </c>
      <c r="B10" s="550">
        <v>300</v>
      </c>
      <c r="C10" s="551">
        <f>C12+C14+C15+C16+C13</f>
        <v>39251900</v>
      </c>
      <c r="D10" s="551">
        <f>D12+D14+D15+D16+D13</f>
        <v>39150000</v>
      </c>
      <c r="E10" s="551">
        <f>E12+E14+E15+E16+E13</f>
        <v>39302200</v>
      </c>
      <c r="F10" s="551">
        <f>F12+F14+F15+F16+F13</f>
        <v>0</v>
      </c>
    </row>
    <row r="11" spans="1:7" s="533" customFormat="1" ht="15.75" customHeight="1" x14ac:dyDescent="0.2">
      <c r="A11" s="540" t="s">
        <v>440</v>
      </c>
      <c r="B11" s="2438">
        <v>310</v>
      </c>
      <c r="C11" s="659"/>
      <c r="D11" s="659"/>
      <c r="E11" s="660"/>
      <c r="F11" s="660"/>
    </row>
    <row r="12" spans="1:7" s="533" customFormat="1" ht="28.5" customHeight="1" x14ac:dyDescent="0.2">
      <c r="A12" s="540" t="s">
        <v>862</v>
      </c>
      <c r="B12" s="2438"/>
      <c r="C12" s="537">
        <f>'субсидии стр1210(130)культ'!B8</f>
        <v>36426500</v>
      </c>
      <c r="D12" s="751">
        <f>'субсидии стр1210(130)культ'!C8</f>
        <v>36216300</v>
      </c>
      <c r="E12" s="537">
        <f>'субсидии стр1210(130)культ'!D8</f>
        <v>36257900</v>
      </c>
      <c r="F12" s="565">
        <v>0</v>
      </c>
    </row>
    <row r="13" spans="1:7" s="533" customFormat="1" ht="28.5" customHeight="1" x14ac:dyDescent="0.2">
      <c r="A13" s="540" t="s">
        <v>863</v>
      </c>
      <c r="B13" s="762">
        <v>311</v>
      </c>
      <c r="C13" s="537">
        <f>'субсидии стр1210(130)культ'!B9</f>
        <v>0</v>
      </c>
      <c r="D13" s="537">
        <f>'субсидии стр1210(130)культ'!C9</f>
        <v>0</v>
      </c>
      <c r="E13" s="537">
        <f>'субсидии стр1210(130)культ'!D9</f>
        <v>0</v>
      </c>
      <c r="F13" s="537">
        <v>0</v>
      </c>
      <c r="G13" s="537"/>
    </row>
    <row r="14" spans="1:7" s="533" customFormat="1" ht="32.25" customHeight="1" x14ac:dyDescent="0.2">
      <c r="A14" s="540" t="s">
        <v>864</v>
      </c>
      <c r="B14" s="762">
        <v>320</v>
      </c>
      <c r="C14" s="537">
        <f>'платные строка 1220 (131)'!Z15</f>
        <v>2405400</v>
      </c>
      <c r="D14" s="537">
        <f>'платные строка 1220 (131)'!AA15</f>
        <v>2513700</v>
      </c>
      <c r="E14" s="537">
        <f>'платные строка 1220 (131)'!AB15</f>
        <v>2624300</v>
      </c>
      <c r="F14" s="565">
        <v>0</v>
      </c>
    </row>
    <row r="15" spans="1:7" s="533" customFormat="1" ht="46.5" customHeight="1" x14ac:dyDescent="0.2">
      <c r="A15" s="540" t="s">
        <v>865</v>
      </c>
      <c r="B15" s="762">
        <v>330</v>
      </c>
      <c r="C15" s="537">
        <f>'самоокуп платные 1220 (131)'!H12*1000</f>
        <v>420000</v>
      </c>
      <c r="D15" s="537">
        <f>'самоокуп платные 1220 (131)'!K12*1000</f>
        <v>420000</v>
      </c>
      <c r="E15" s="537">
        <f>'самоокуп платные 1220 (131)'!N12*1000</f>
        <v>420000</v>
      </c>
      <c r="F15" s="565"/>
    </row>
    <row r="16" spans="1:7" s="533" customFormat="1" ht="48" customHeight="1" x14ac:dyDescent="0.2">
      <c r="A16" s="540" t="s">
        <v>866</v>
      </c>
      <c r="B16" s="534">
        <v>340</v>
      </c>
      <c r="C16" s="537">
        <f>'возмещ ком услстрока 1230(135)'!M9</f>
        <v>0</v>
      </c>
      <c r="D16" s="537">
        <f>'возмещ ком услстрока 1230(135)'!N9</f>
        <v>0</v>
      </c>
      <c r="E16" s="537">
        <f>'возмещ ком услстрока 1230(135)'!O9</f>
        <v>0</v>
      </c>
      <c r="F16" s="537">
        <f>'возмещ ком услстрока 1230(135)'!P9</f>
        <v>0</v>
      </c>
    </row>
    <row r="17" spans="1:6" ht="29.25" customHeight="1" x14ac:dyDescent="0.2">
      <c r="A17" s="536" t="s">
        <v>848</v>
      </c>
      <c r="B17" s="535">
        <v>400</v>
      </c>
      <c r="C17" s="538"/>
      <c r="D17" s="538"/>
      <c r="E17" s="538"/>
      <c r="F17" s="539"/>
    </row>
    <row r="18" spans="1:6" ht="34.5" customHeight="1" x14ac:dyDescent="0.2">
      <c r="A18" s="536" t="s">
        <v>849</v>
      </c>
      <c r="B18" s="535">
        <v>500</v>
      </c>
      <c r="C18" s="538"/>
      <c r="D18" s="538"/>
      <c r="E18" s="538"/>
      <c r="F18" s="539"/>
    </row>
    <row r="19" spans="1:6" s="543" customFormat="1" ht="44.25" customHeight="1" x14ac:dyDescent="0.2">
      <c r="A19" s="541" t="s">
        <v>920</v>
      </c>
      <c r="B19" s="544">
        <v>600</v>
      </c>
      <c r="C19" s="542">
        <f>C8-C9+C10-C17+C18</f>
        <v>39073397.880000003</v>
      </c>
      <c r="D19" s="542">
        <f t="shared" ref="D19:F19" si="0">D8-D9+D10-D17+D18</f>
        <v>39150000</v>
      </c>
      <c r="E19" s="542">
        <f t="shared" si="0"/>
        <v>39302200</v>
      </c>
      <c r="F19" s="542">
        <f t="shared" si="0"/>
        <v>0</v>
      </c>
    </row>
    <row r="20" spans="1:6" ht="22.5" customHeight="1" x14ac:dyDescent="0.2">
      <c r="C20" s="752"/>
      <c r="D20" s="752"/>
      <c r="E20" s="752"/>
    </row>
    <row r="21" spans="1:6" ht="39" customHeight="1" x14ac:dyDescent="0.2">
      <c r="C21" s="752"/>
    </row>
  </sheetData>
  <mergeCells count="7">
    <mergeCell ref="B11:B12"/>
    <mergeCell ref="A1:F1"/>
    <mergeCell ref="A2:F2"/>
    <mergeCell ref="A4:A6"/>
    <mergeCell ref="B4:B6"/>
    <mergeCell ref="C4:E4"/>
    <mergeCell ref="F4:F6"/>
  </mergeCells>
  <pageMargins left="0.7" right="0.7" top="0.75" bottom="0.75" header="0.3" footer="0.3"/>
  <pageSetup paperSize="9" scale="5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J11"/>
  <sheetViews>
    <sheetView view="pageBreakPreview" zoomScaleNormal="100" zoomScaleSheetLayoutView="100" workbookViewId="0">
      <selection activeCell="B9" sqref="B9"/>
    </sheetView>
  </sheetViews>
  <sheetFormatPr defaultRowHeight="15" x14ac:dyDescent="0.25"/>
  <cols>
    <col min="1" max="1" width="84.5" style="313" customWidth="1"/>
    <col min="2" max="4" width="19.33203125" style="313" customWidth="1"/>
    <col min="5" max="7" width="15.33203125" style="313" customWidth="1"/>
    <col min="8" max="8" width="12.1640625" style="313" customWidth="1"/>
    <col min="9" max="10" width="10.33203125" style="313" customWidth="1"/>
    <col min="11" max="16384" width="9.33203125" style="313"/>
  </cols>
  <sheetData>
    <row r="1" spans="1:10" ht="26.25" customHeight="1" x14ac:dyDescent="0.25">
      <c r="A1" s="2451" t="s">
        <v>1678</v>
      </c>
      <c r="B1" s="2451"/>
      <c r="C1" s="2451"/>
      <c r="D1" s="2451"/>
    </row>
    <row r="2" spans="1:10" ht="27" customHeight="1" x14ac:dyDescent="0.25">
      <c r="A2" s="2450" t="s">
        <v>1253</v>
      </c>
      <c r="B2" s="2450"/>
      <c r="C2" s="2450"/>
      <c r="D2" s="2450"/>
    </row>
    <row r="3" spans="1:10" ht="11.25" customHeight="1" x14ac:dyDescent="0.25">
      <c r="A3" s="665"/>
      <c r="B3" s="664"/>
      <c r="C3" s="664"/>
      <c r="D3" s="686">
        <v>43875</v>
      </c>
    </row>
    <row r="4" spans="1:10" ht="45" customHeight="1" x14ac:dyDescent="0.25">
      <c r="A4" s="2447" t="s">
        <v>213</v>
      </c>
      <c r="B4" s="2444" t="s">
        <v>868</v>
      </c>
      <c r="C4" s="2445"/>
      <c r="D4" s="2446"/>
    </row>
    <row r="5" spans="1:10" x14ac:dyDescent="0.25">
      <c r="A5" s="2448"/>
      <c r="B5" s="509" t="s">
        <v>428</v>
      </c>
      <c r="C5" s="509" t="s">
        <v>429</v>
      </c>
      <c r="D5" s="509" t="s">
        <v>429</v>
      </c>
    </row>
    <row r="6" spans="1:10" ht="45" x14ac:dyDescent="0.25">
      <c r="A6" s="2449"/>
      <c r="B6" s="509" t="s">
        <v>419</v>
      </c>
      <c r="C6" s="509" t="s">
        <v>420</v>
      </c>
      <c r="D6" s="509" t="s">
        <v>421</v>
      </c>
      <c r="E6" s="313" t="s">
        <v>919</v>
      </c>
      <c r="H6" s="313" t="s">
        <v>197</v>
      </c>
    </row>
    <row r="7" spans="1:10" x14ac:dyDescent="0.25">
      <c r="A7" s="560">
        <v>1</v>
      </c>
      <c r="B7" s="509">
        <v>2</v>
      </c>
      <c r="C7" s="509">
        <v>3</v>
      </c>
      <c r="D7" s="509">
        <v>4</v>
      </c>
      <c r="E7" s="559">
        <v>2020</v>
      </c>
      <c r="F7" s="559">
        <v>2021</v>
      </c>
      <c r="G7" s="559">
        <v>2022</v>
      </c>
      <c r="H7" s="559">
        <v>2020</v>
      </c>
      <c r="I7" s="559">
        <v>2021</v>
      </c>
      <c r="J7" s="559">
        <v>2022</v>
      </c>
    </row>
    <row r="8" spans="1:10" ht="36" customHeight="1" x14ac:dyDescent="0.25">
      <c r="A8" s="559" t="s">
        <v>925</v>
      </c>
      <c r="B8" s="767">
        <f>'субс РК КВР 111 (14.02.20)'!C13+'субс РК КВР 119 (14.02.20)'!C13+'субс РК КВР 112 (01.01.20)'!C22+'субс РК КВР 113(01.01.20)'!C14+'субс РК КВР 244 (01.01.20)'!C10</f>
        <v>36426500</v>
      </c>
      <c r="C8" s="767">
        <f>'субс РК КВР 111 (14.02.20)'!D13+'субс РК КВР 119 (14.02.20)'!D13+'субс РК КВР 112 (01.01.20)'!D22+'субс РК КВР 113(01.01.20)'!D14+'субс РК КВР 244 (01.01.20)'!D33</f>
        <v>36216300</v>
      </c>
      <c r="D8" s="767">
        <f>'субс РК КВР 111 (14.02.20)'!E13+'субс РК КВР 119 (14.02.20)'!E13+'субс РК КВР 112 (01.01.20)'!E22+'субс РК КВР 113(01.01.20)'!E14+'субс РК КВР 244 (01.01.20)'!E33</f>
        <v>36257900</v>
      </c>
      <c r="E8" s="685">
        <v>36426500</v>
      </c>
      <c r="F8" s="685">
        <v>36216300</v>
      </c>
      <c r="G8" s="685">
        <v>36257900</v>
      </c>
      <c r="H8" s="685">
        <f>B8-E8</f>
        <v>0</v>
      </c>
      <c r="I8" s="685">
        <f t="shared" ref="I8:J8" si="0">C8-F8</f>
        <v>0</v>
      </c>
      <c r="J8" s="685">
        <f t="shared" si="0"/>
        <v>0</v>
      </c>
    </row>
    <row r="9" spans="1:10" x14ac:dyDescent="0.25">
      <c r="A9" s="559" t="s">
        <v>926</v>
      </c>
      <c r="B9" s="701">
        <f>'субс РТ КВР 113(01.01.20)'!C14+'субс РТ КВР 244 (01.01.20)'!C33</f>
        <v>0</v>
      </c>
      <c r="C9" s="701">
        <f>'субс РТ КВР 113(01.01.20)'!D14+'субс РТ КВР 244 (01.01.20)'!D33</f>
        <v>0</v>
      </c>
      <c r="D9" s="701">
        <f>'субс РТ КВР 113(01.01.20)'!E14+'субс РТ КВР 244 (01.01.20)'!E33</f>
        <v>0</v>
      </c>
      <c r="E9" s="685">
        <v>0</v>
      </c>
      <c r="F9" s="685">
        <v>0</v>
      </c>
      <c r="G9" s="685">
        <v>0</v>
      </c>
      <c r="H9" s="685">
        <f t="shared" ref="H9" si="1">B9-E9</f>
        <v>0</v>
      </c>
      <c r="I9" s="685">
        <f t="shared" ref="I9" si="2">C9-F9</f>
        <v>0</v>
      </c>
      <c r="J9" s="685">
        <f t="shared" ref="J9" si="3">D9-G9</f>
        <v>0</v>
      </c>
    </row>
    <row r="10" spans="1:10" s="555" customFormat="1" x14ac:dyDescent="0.25">
      <c r="A10" s="563" t="s">
        <v>930</v>
      </c>
      <c r="B10" s="564">
        <f>SUM(B8:B9)</f>
        <v>36426500</v>
      </c>
      <c r="C10" s="564">
        <f>SUM(C8:C9)</f>
        <v>36216300</v>
      </c>
      <c r="D10" s="564">
        <f>SUM(D8:D9)</f>
        <v>36257900</v>
      </c>
    </row>
    <row r="11" spans="1:10" x14ac:dyDescent="0.25">
      <c r="B11" s="531"/>
      <c r="C11" s="531"/>
      <c r="D11" s="531"/>
    </row>
  </sheetData>
  <mergeCells count="4">
    <mergeCell ref="B4:D4"/>
    <mergeCell ref="A4:A6"/>
    <mergeCell ref="A2:D2"/>
    <mergeCell ref="A1:D1"/>
  </mergeCells>
  <pageMargins left="0.70866141732283472" right="0.70866141732283472" top="0.74803149606299213" bottom="0.7480314960629921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WQV47"/>
  <sheetViews>
    <sheetView view="pageBreakPreview" topLeftCell="A10" zoomScale="70" zoomScaleNormal="55" zoomScaleSheetLayoutView="70" workbookViewId="0">
      <selection activeCell="AB6" sqref="AB6:AB8"/>
    </sheetView>
  </sheetViews>
  <sheetFormatPr defaultColWidth="10.6640625" defaultRowHeight="15" x14ac:dyDescent="0.25"/>
  <cols>
    <col min="1" max="1" width="5.33203125" style="365" customWidth="1"/>
    <col min="2" max="2" width="31.83203125" style="365" customWidth="1"/>
    <col min="3" max="3" width="14.6640625" style="365" customWidth="1"/>
    <col min="4" max="5" width="10.1640625" style="365" customWidth="1"/>
    <col min="6" max="6" width="13.5" style="365" customWidth="1"/>
    <col min="7" max="7" width="11.6640625" style="365" customWidth="1"/>
    <col min="8" max="8" width="10.1640625" style="365" customWidth="1"/>
    <col min="9" max="9" width="12.6640625" style="365" customWidth="1"/>
    <col min="10" max="10" width="13.1640625" style="365" customWidth="1"/>
    <col min="11" max="11" width="10.1640625" style="365" customWidth="1"/>
    <col min="12" max="12" width="12.33203125" style="365" customWidth="1"/>
    <col min="13" max="13" width="13.83203125" style="365" customWidth="1"/>
    <col min="14" max="15" width="10.1640625" style="365" customWidth="1"/>
    <col min="16" max="16" width="15" style="365" customWidth="1"/>
    <col min="17" max="18" width="10.1640625" style="365" customWidth="1"/>
    <col min="19" max="19" width="14.6640625" style="365" customWidth="1"/>
    <col min="20" max="25" width="10.1640625" style="365" customWidth="1"/>
    <col min="26" max="26" width="21.83203125" style="1302" customWidth="1"/>
    <col min="27" max="27" width="17" style="1302" customWidth="1"/>
    <col min="28" max="28" width="17.83203125" style="1302" customWidth="1"/>
    <col min="29" max="29" width="16.33203125" style="1303" customWidth="1"/>
    <col min="30" max="144" width="10.6640625" style="1303"/>
    <col min="145" max="16384" width="10.6640625" style="365"/>
  </cols>
  <sheetData>
    <row r="1" spans="1:16012" ht="33" x14ac:dyDescent="0.45">
      <c r="A1" s="1300"/>
      <c r="B1" s="1300"/>
      <c r="C1" s="1300"/>
      <c r="D1" s="1300"/>
      <c r="E1" s="1300"/>
      <c r="F1" s="1300"/>
      <c r="G1" s="1300"/>
      <c r="H1" s="1300"/>
      <c r="I1" s="1300"/>
      <c r="J1" s="1300"/>
      <c r="K1" s="1300"/>
      <c r="L1" s="1300"/>
      <c r="M1" s="1300"/>
      <c r="N1" s="1300"/>
      <c r="O1" s="1300"/>
      <c r="P1" s="1300"/>
      <c r="Q1" s="1300"/>
      <c r="R1" s="1300"/>
      <c r="S1" s="1300"/>
      <c r="T1" s="1300"/>
      <c r="U1" s="1300"/>
      <c r="V1" s="1300"/>
      <c r="W1" s="1300"/>
      <c r="X1" s="1300"/>
      <c r="Y1" s="1300"/>
      <c r="Z1" s="1301"/>
    </row>
    <row r="2" spans="1:16012" ht="33" x14ac:dyDescent="0.45">
      <c r="A2" s="2466" t="s">
        <v>1474</v>
      </c>
      <c r="B2" s="2466"/>
      <c r="C2" s="2466"/>
      <c r="D2" s="2466"/>
      <c r="E2" s="2466"/>
      <c r="F2" s="2466"/>
      <c r="G2" s="2466"/>
      <c r="H2" s="2466"/>
      <c r="I2" s="2466"/>
      <c r="J2" s="2466"/>
      <c r="K2" s="2466"/>
      <c r="L2" s="2466"/>
      <c r="M2" s="2466"/>
      <c r="N2" s="2466"/>
      <c r="O2" s="2466"/>
      <c r="P2" s="2466"/>
      <c r="Q2" s="2466"/>
      <c r="R2" s="2466"/>
      <c r="S2" s="2466"/>
      <c r="T2" s="2466"/>
      <c r="U2" s="2466"/>
      <c r="V2" s="2466"/>
      <c r="W2" s="2466"/>
      <c r="X2" s="2466"/>
      <c r="Y2" s="2466"/>
      <c r="Z2" s="2466"/>
      <c r="AA2" s="2466"/>
      <c r="AB2" s="2466"/>
    </row>
    <row r="3" spans="1:16012" ht="33" x14ac:dyDescent="0.45">
      <c r="A3" s="1300"/>
      <c r="B3" s="1300"/>
      <c r="C3" s="1300"/>
      <c r="D3" s="1300"/>
      <c r="E3" s="1300"/>
      <c r="F3" s="1300"/>
      <c r="G3" s="1300"/>
      <c r="H3" s="1300"/>
      <c r="I3" s="1300"/>
      <c r="J3" s="1300"/>
      <c r="K3" s="1300"/>
      <c r="L3" s="1300"/>
      <c r="M3" s="1300"/>
      <c r="N3" s="1300"/>
      <c r="O3" s="1300"/>
      <c r="P3" s="1300"/>
      <c r="Q3" s="1300"/>
      <c r="R3" s="1300"/>
      <c r="S3" s="1300"/>
      <c r="T3" s="1300"/>
      <c r="U3" s="1300"/>
      <c r="V3" s="1300"/>
      <c r="W3" s="1300"/>
      <c r="X3" s="1300"/>
      <c r="Y3" s="1300"/>
      <c r="Z3" s="1301"/>
    </row>
    <row r="4" spans="1:16012" ht="23.25" x14ac:dyDescent="0.35">
      <c r="A4" s="2467" t="s">
        <v>1475</v>
      </c>
      <c r="B4" s="2467"/>
      <c r="C4" s="2467"/>
      <c r="D4" s="2467"/>
      <c r="E4" s="2467"/>
      <c r="F4" s="2467"/>
      <c r="G4" s="2467"/>
      <c r="H4" s="2467"/>
      <c r="I4" s="2467"/>
      <c r="J4" s="2467"/>
      <c r="K4" s="2467"/>
      <c r="L4" s="2467"/>
      <c r="M4" s="2467"/>
      <c r="N4" s="2467"/>
      <c r="O4" s="2467"/>
      <c r="P4" s="2467"/>
      <c r="Q4" s="2467"/>
      <c r="R4" s="2467"/>
      <c r="S4" s="2467"/>
      <c r="T4" s="2467"/>
      <c r="U4" s="2467"/>
      <c r="V4" s="2467"/>
      <c r="W4" s="2467"/>
      <c r="X4" s="2467"/>
      <c r="Y4" s="2467"/>
      <c r="Z4" s="2467"/>
      <c r="AA4" s="2467"/>
      <c r="AB4" s="2467"/>
    </row>
    <row r="5" spans="1:16012" ht="27.75" x14ac:dyDescent="0.4">
      <c r="A5" s="1304"/>
      <c r="B5" s="1304"/>
      <c r="C5" s="1304"/>
      <c r="D5" s="1304"/>
      <c r="E5" s="1304"/>
      <c r="F5" s="1304"/>
      <c r="G5" s="1304"/>
      <c r="H5" s="1304"/>
      <c r="I5" s="1304"/>
      <c r="J5" s="1304"/>
      <c r="K5" s="1304"/>
      <c r="L5" s="1304"/>
      <c r="M5" s="1304"/>
      <c r="N5" s="2468"/>
      <c r="O5" s="2468"/>
      <c r="P5" s="2468"/>
      <c r="Q5" s="2468"/>
      <c r="R5" s="2468"/>
      <c r="S5" s="2468"/>
      <c r="T5" s="2468"/>
      <c r="U5" s="2468"/>
      <c r="V5" s="2468"/>
      <c r="W5" s="2468"/>
      <c r="X5" s="2468"/>
      <c r="Y5" s="2468"/>
      <c r="Z5" s="1302" t="s">
        <v>1385</v>
      </c>
      <c r="AA5" s="1305"/>
      <c r="AB5" s="1349">
        <v>43829</v>
      </c>
      <c r="AC5" s="1306"/>
      <c r="AD5" s="1306"/>
      <c r="AE5" s="1306"/>
      <c r="AF5" s="1306"/>
      <c r="AG5" s="1306"/>
      <c r="AH5" s="1306"/>
      <c r="AI5" s="1306"/>
      <c r="AJ5" s="1306"/>
      <c r="AK5" s="1306"/>
      <c r="AL5" s="1306"/>
      <c r="AM5" s="1306"/>
      <c r="AN5" s="1306"/>
      <c r="AO5" s="1306"/>
      <c r="AP5" s="1306"/>
      <c r="AQ5" s="1306"/>
      <c r="AR5" s="1306"/>
      <c r="AS5" s="1306"/>
      <c r="AT5" s="1306"/>
      <c r="AU5" s="1306"/>
      <c r="AV5" s="1306"/>
      <c r="AW5" s="1306"/>
      <c r="AX5" s="1306"/>
      <c r="AY5" s="1306"/>
      <c r="AZ5" s="1306"/>
      <c r="BA5" s="1306"/>
      <c r="BB5" s="1306"/>
      <c r="BC5" s="1306"/>
      <c r="BD5" s="1306"/>
      <c r="BE5" s="1306"/>
      <c r="BF5" s="1306"/>
      <c r="BG5" s="1306"/>
      <c r="BH5" s="1306"/>
      <c r="BI5" s="1306"/>
      <c r="BJ5" s="1306"/>
      <c r="BK5" s="1306"/>
      <c r="BL5" s="1306"/>
      <c r="BM5" s="1306"/>
      <c r="BN5" s="1306"/>
      <c r="BO5" s="1306"/>
      <c r="BP5" s="1306"/>
      <c r="BQ5" s="1306"/>
      <c r="BR5" s="1306"/>
      <c r="BS5" s="1306"/>
      <c r="BT5" s="1306"/>
      <c r="BU5" s="1306"/>
      <c r="BV5" s="1306"/>
      <c r="BW5" s="1306"/>
      <c r="BX5" s="1306"/>
      <c r="BY5" s="1306"/>
      <c r="BZ5" s="1306"/>
      <c r="CA5" s="1306"/>
      <c r="CB5" s="1306"/>
      <c r="CC5" s="1306"/>
      <c r="CD5" s="1306"/>
      <c r="CE5" s="1306"/>
      <c r="CF5" s="1306"/>
      <c r="CG5" s="1306"/>
      <c r="CH5" s="1306"/>
      <c r="CI5" s="1306"/>
      <c r="CJ5" s="1306"/>
      <c r="CK5" s="1306"/>
      <c r="CL5" s="1306"/>
      <c r="CM5" s="1306"/>
      <c r="CN5" s="1306"/>
      <c r="CO5" s="1306"/>
      <c r="CP5" s="1306"/>
      <c r="CQ5" s="1306"/>
      <c r="CR5" s="1306"/>
      <c r="CS5" s="1306"/>
      <c r="CT5" s="1306"/>
      <c r="CU5" s="1306"/>
      <c r="CV5" s="1306"/>
      <c r="CW5" s="1306"/>
      <c r="CX5" s="1306"/>
      <c r="CY5" s="1306"/>
      <c r="CZ5" s="1306"/>
      <c r="DA5" s="1306"/>
      <c r="DB5" s="1306"/>
      <c r="DC5" s="1306"/>
      <c r="DD5" s="1306"/>
      <c r="DE5" s="1306"/>
      <c r="DF5" s="1306"/>
      <c r="DG5" s="1306"/>
      <c r="DH5" s="1306"/>
      <c r="DI5" s="1306"/>
      <c r="DJ5" s="1306"/>
      <c r="DK5" s="1306"/>
      <c r="DL5" s="1306"/>
      <c r="DM5" s="1306"/>
      <c r="DN5" s="1306"/>
      <c r="DO5" s="1306"/>
      <c r="DP5" s="1306"/>
      <c r="DQ5" s="1306"/>
      <c r="DR5" s="1306"/>
      <c r="DS5" s="1306"/>
      <c r="DT5" s="1306"/>
      <c r="DU5" s="1306"/>
      <c r="DV5" s="1306"/>
      <c r="DW5" s="1306"/>
      <c r="DX5" s="1306"/>
      <c r="DY5" s="1306"/>
      <c r="DZ5" s="1306"/>
      <c r="EA5" s="1306"/>
      <c r="EB5" s="1306"/>
      <c r="EC5" s="1306"/>
      <c r="ED5" s="1306"/>
      <c r="EE5" s="1306"/>
      <c r="EF5" s="1306"/>
      <c r="EG5" s="1306"/>
      <c r="EH5" s="1306"/>
      <c r="EI5" s="1306"/>
      <c r="EJ5" s="1306"/>
      <c r="EK5" s="1306"/>
      <c r="EL5" s="1306"/>
      <c r="EM5" s="1306"/>
      <c r="EN5" s="1306"/>
      <c r="EO5" s="1304"/>
      <c r="EP5" s="1304"/>
      <c r="EQ5" s="1304"/>
      <c r="ER5" s="1304"/>
      <c r="ES5" s="1304"/>
      <c r="ET5" s="1304"/>
      <c r="EU5" s="1304"/>
      <c r="EV5" s="1304"/>
      <c r="EW5" s="1304"/>
      <c r="EX5" s="1304"/>
      <c r="EY5" s="1304"/>
      <c r="EZ5" s="1304"/>
      <c r="FA5" s="1304"/>
      <c r="FB5" s="1304"/>
      <c r="FC5" s="1304"/>
      <c r="FD5" s="1304"/>
      <c r="FE5" s="1304"/>
      <c r="FF5" s="1304"/>
      <c r="FG5" s="1304"/>
      <c r="FH5" s="1304"/>
      <c r="FI5" s="1304"/>
      <c r="FJ5" s="1304"/>
      <c r="FK5" s="1304"/>
      <c r="FL5" s="1304"/>
      <c r="FM5" s="1304"/>
      <c r="FN5" s="1304"/>
      <c r="FO5" s="1304"/>
      <c r="FP5" s="1304"/>
      <c r="FQ5" s="1304"/>
      <c r="FR5" s="1304"/>
      <c r="FS5" s="1304"/>
      <c r="FT5" s="1304"/>
      <c r="FU5" s="1304"/>
      <c r="FV5" s="1304"/>
      <c r="FW5" s="1304"/>
      <c r="FX5" s="1304"/>
      <c r="FY5" s="1304"/>
      <c r="FZ5" s="1304"/>
      <c r="GA5" s="1304"/>
      <c r="GB5" s="1304"/>
      <c r="GC5" s="1304"/>
      <c r="GD5" s="1304"/>
      <c r="GE5" s="1304"/>
      <c r="GF5" s="1304"/>
      <c r="GG5" s="1304"/>
      <c r="GH5" s="1304"/>
      <c r="GI5" s="1304"/>
      <c r="GJ5" s="1304"/>
      <c r="GK5" s="1304"/>
      <c r="GL5" s="1304"/>
      <c r="GM5" s="1304"/>
      <c r="GN5" s="1304"/>
      <c r="GO5" s="1304"/>
      <c r="GP5" s="1304"/>
      <c r="GQ5" s="1304"/>
      <c r="GR5" s="1304"/>
      <c r="GS5" s="1304"/>
      <c r="GT5" s="1304"/>
      <c r="GU5" s="1304"/>
      <c r="GV5" s="1304"/>
      <c r="GW5" s="1304"/>
      <c r="GX5" s="1304"/>
      <c r="GY5" s="1304"/>
      <c r="GZ5" s="1304"/>
      <c r="HA5" s="1304"/>
      <c r="HB5" s="1304"/>
      <c r="HC5" s="1304"/>
      <c r="HD5" s="1304"/>
      <c r="HE5" s="1304"/>
      <c r="HF5" s="1304"/>
      <c r="HG5" s="1304"/>
      <c r="HH5" s="1304"/>
      <c r="HI5" s="1304"/>
      <c r="HJ5" s="1304"/>
      <c r="HK5" s="1304"/>
      <c r="HL5" s="1304"/>
      <c r="HM5" s="1304"/>
      <c r="HN5" s="1304"/>
      <c r="HO5" s="1304"/>
      <c r="HP5" s="1304"/>
      <c r="HQ5" s="1304"/>
      <c r="HR5" s="1304"/>
      <c r="HS5" s="1304"/>
      <c r="HT5" s="1304"/>
      <c r="HU5" s="1304"/>
      <c r="HV5" s="1304"/>
      <c r="HW5" s="1304"/>
      <c r="HX5" s="1304"/>
      <c r="HY5" s="1304"/>
      <c r="HZ5" s="1304"/>
      <c r="IA5" s="1304"/>
      <c r="IB5" s="1304"/>
      <c r="IC5" s="1304"/>
      <c r="ID5" s="1304"/>
      <c r="IE5" s="1304"/>
      <c r="IF5" s="1304"/>
      <c r="IG5" s="1304"/>
      <c r="IH5" s="1304"/>
      <c r="II5" s="1304"/>
      <c r="IJ5" s="1304"/>
      <c r="IK5" s="1304"/>
      <c r="IL5" s="1304"/>
      <c r="IM5" s="1304"/>
      <c r="IN5" s="1304"/>
      <c r="IO5" s="1304"/>
      <c r="IP5" s="1304"/>
      <c r="IQ5" s="1304"/>
      <c r="IR5" s="1304"/>
      <c r="IS5" s="1304"/>
      <c r="IT5" s="1304"/>
      <c r="IU5" s="1304"/>
      <c r="IV5" s="1304"/>
      <c r="IW5" s="1304"/>
      <c r="IX5" s="1304"/>
      <c r="IY5" s="1304"/>
      <c r="IZ5" s="1304"/>
      <c r="JA5" s="1304"/>
      <c r="JB5" s="1304"/>
      <c r="JC5" s="1304"/>
      <c r="JD5" s="1304"/>
      <c r="JE5" s="1304"/>
      <c r="JF5" s="1304"/>
      <c r="JG5" s="1304"/>
      <c r="JH5" s="1304"/>
      <c r="JI5" s="1304"/>
      <c r="JJ5" s="1304"/>
      <c r="JK5" s="1304"/>
      <c r="JL5" s="1304"/>
      <c r="JM5" s="1304"/>
      <c r="JN5" s="1304"/>
      <c r="JO5" s="1304"/>
      <c r="JP5" s="1304"/>
      <c r="JQ5" s="1304"/>
      <c r="JR5" s="1304"/>
      <c r="JS5" s="1304"/>
      <c r="JT5" s="1304"/>
      <c r="JU5" s="1304"/>
      <c r="JV5" s="1304"/>
      <c r="JW5" s="1304"/>
      <c r="JX5" s="1304"/>
      <c r="JY5" s="1304"/>
      <c r="JZ5" s="1304"/>
      <c r="KA5" s="1304"/>
      <c r="KB5" s="1304"/>
      <c r="KC5" s="1304"/>
      <c r="KD5" s="1304"/>
      <c r="KE5" s="1304"/>
      <c r="KF5" s="1304"/>
      <c r="KG5" s="1304"/>
      <c r="KH5" s="1304"/>
      <c r="KI5" s="1304"/>
      <c r="KJ5" s="1304"/>
      <c r="KK5" s="1304"/>
      <c r="KL5" s="1304"/>
      <c r="KM5" s="1304"/>
      <c r="KN5" s="1304"/>
      <c r="KO5" s="1304"/>
      <c r="KP5" s="1304"/>
      <c r="KQ5" s="1304"/>
      <c r="KR5" s="1304"/>
      <c r="KS5" s="1304"/>
      <c r="KT5" s="1304"/>
      <c r="KU5" s="1304"/>
      <c r="KV5" s="1304"/>
      <c r="KW5" s="1304"/>
      <c r="KX5" s="1304"/>
      <c r="KY5" s="1304"/>
      <c r="KZ5" s="1304"/>
      <c r="LA5" s="1304"/>
      <c r="LB5" s="1304"/>
      <c r="LC5" s="1304"/>
      <c r="LD5" s="1304"/>
      <c r="LE5" s="1304"/>
      <c r="LF5" s="1304"/>
      <c r="LG5" s="1304"/>
      <c r="LH5" s="1304"/>
      <c r="LI5" s="1304"/>
      <c r="LJ5" s="1304"/>
      <c r="LK5" s="1304"/>
      <c r="LL5" s="1304"/>
      <c r="LM5" s="1304"/>
      <c r="LN5" s="1304"/>
      <c r="LO5" s="1304"/>
      <c r="LP5" s="1304"/>
      <c r="LQ5" s="1304"/>
      <c r="LR5" s="1304"/>
      <c r="LS5" s="1304"/>
      <c r="LT5" s="1304"/>
      <c r="LU5" s="1304"/>
      <c r="LV5" s="1304"/>
      <c r="LW5" s="1304"/>
      <c r="LX5" s="1304"/>
      <c r="LY5" s="1304"/>
      <c r="LZ5" s="1304"/>
      <c r="MA5" s="1304"/>
      <c r="MB5" s="1304"/>
      <c r="MC5" s="1304"/>
      <c r="MD5" s="1304"/>
      <c r="ME5" s="1304"/>
      <c r="MF5" s="1304"/>
      <c r="MG5" s="1304"/>
      <c r="MH5" s="1304"/>
      <c r="MI5" s="1304"/>
      <c r="MJ5" s="1304"/>
      <c r="MK5" s="1304"/>
      <c r="ML5" s="1304"/>
      <c r="MM5" s="1304"/>
      <c r="MN5" s="1304"/>
      <c r="MO5" s="1304"/>
      <c r="MP5" s="1304"/>
      <c r="MQ5" s="1304"/>
      <c r="MR5" s="1304"/>
      <c r="MS5" s="1304"/>
      <c r="MT5" s="1304"/>
      <c r="MU5" s="1304"/>
      <c r="MV5" s="1304"/>
      <c r="MW5" s="1304"/>
      <c r="MX5" s="1304"/>
      <c r="MY5" s="1304"/>
      <c r="MZ5" s="1304"/>
      <c r="NA5" s="1304"/>
      <c r="NB5" s="1304"/>
      <c r="NC5" s="1304"/>
      <c r="ND5" s="1304"/>
      <c r="NE5" s="1304"/>
      <c r="NF5" s="1304"/>
      <c r="NG5" s="1304"/>
      <c r="NH5" s="1304"/>
      <c r="NI5" s="1304"/>
      <c r="NJ5" s="1304"/>
      <c r="NK5" s="1304"/>
      <c r="NL5" s="1304"/>
      <c r="NM5" s="1304"/>
      <c r="NN5" s="1304"/>
      <c r="NO5" s="1304"/>
      <c r="NP5" s="1304"/>
      <c r="NQ5" s="1304"/>
      <c r="NR5" s="1304"/>
      <c r="NS5" s="1304"/>
      <c r="NT5" s="1304"/>
      <c r="NU5" s="1304"/>
      <c r="NV5" s="1304"/>
      <c r="NW5" s="1304"/>
      <c r="NX5" s="1304"/>
      <c r="NY5" s="1304"/>
      <c r="NZ5" s="1304"/>
      <c r="OA5" s="1304"/>
      <c r="OB5" s="1304"/>
      <c r="OC5" s="1304"/>
      <c r="OD5" s="1304"/>
      <c r="OE5" s="1304"/>
      <c r="OF5" s="1304"/>
      <c r="OG5" s="1304"/>
      <c r="OH5" s="1304"/>
      <c r="OI5" s="1304"/>
      <c r="OJ5" s="1304"/>
      <c r="OK5" s="1304"/>
      <c r="OL5" s="1304"/>
      <c r="OM5" s="1304"/>
      <c r="ON5" s="1304"/>
      <c r="OO5" s="1304"/>
      <c r="OP5" s="1304"/>
      <c r="OQ5" s="1304"/>
      <c r="OR5" s="1304"/>
      <c r="OS5" s="1304"/>
      <c r="OT5" s="1304"/>
      <c r="OU5" s="1304"/>
      <c r="OV5" s="1304"/>
      <c r="OW5" s="1304"/>
      <c r="OX5" s="1304"/>
      <c r="OY5" s="1304"/>
      <c r="OZ5" s="1304"/>
      <c r="PA5" s="1304"/>
      <c r="PB5" s="1304"/>
      <c r="PC5" s="1304"/>
      <c r="PD5" s="1304"/>
      <c r="PE5" s="1304"/>
      <c r="PF5" s="1304"/>
      <c r="PG5" s="1304"/>
      <c r="PH5" s="1304"/>
      <c r="PI5" s="1304"/>
      <c r="PJ5" s="1304"/>
      <c r="PK5" s="1304"/>
      <c r="PL5" s="1304"/>
      <c r="PM5" s="1304"/>
      <c r="PN5" s="1304"/>
      <c r="PO5" s="1304"/>
      <c r="PP5" s="1304"/>
      <c r="PQ5" s="1304"/>
      <c r="PR5" s="1304"/>
      <c r="PS5" s="1304"/>
      <c r="PT5" s="1304"/>
      <c r="PU5" s="1304"/>
      <c r="PV5" s="1304"/>
      <c r="PW5" s="1304"/>
      <c r="PX5" s="1304"/>
      <c r="PY5" s="1304"/>
      <c r="PZ5" s="1304"/>
      <c r="QA5" s="1304"/>
      <c r="QB5" s="1304"/>
      <c r="QC5" s="1304"/>
      <c r="QD5" s="1304"/>
      <c r="QE5" s="1304"/>
      <c r="QF5" s="1304"/>
      <c r="QG5" s="1304"/>
      <c r="QH5" s="1304"/>
      <c r="QI5" s="1304"/>
      <c r="QJ5" s="1304"/>
      <c r="QK5" s="1304"/>
      <c r="QL5" s="1304"/>
      <c r="QM5" s="1304"/>
      <c r="QN5" s="1304"/>
      <c r="QO5" s="1304"/>
      <c r="QP5" s="1304"/>
      <c r="QQ5" s="1304"/>
      <c r="QR5" s="1304"/>
      <c r="QS5" s="1304"/>
      <c r="QT5" s="1304"/>
      <c r="QU5" s="1304"/>
      <c r="QV5" s="1304"/>
      <c r="QW5" s="1304"/>
      <c r="QX5" s="1304"/>
      <c r="QY5" s="1304"/>
      <c r="QZ5" s="1304"/>
      <c r="RA5" s="1304"/>
      <c r="RB5" s="1304"/>
      <c r="RC5" s="1304"/>
      <c r="RD5" s="1304"/>
      <c r="RE5" s="1304"/>
      <c r="RF5" s="1304"/>
      <c r="RG5" s="1304"/>
      <c r="RH5" s="1304"/>
      <c r="RI5" s="1304"/>
      <c r="RJ5" s="1304"/>
      <c r="RK5" s="1304"/>
      <c r="RL5" s="1304"/>
      <c r="RM5" s="1304"/>
      <c r="RN5" s="1304"/>
      <c r="RO5" s="1304"/>
      <c r="RP5" s="1304"/>
      <c r="RQ5" s="1304"/>
      <c r="RR5" s="1304"/>
      <c r="RS5" s="1304"/>
      <c r="RT5" s="1304"/>
      <c r="RU5" s="1304"/>
      <c r="RV5" s="1304"/>
      <c r="RW5" s="1304"/>
      <c r="RX5" s="1304"/>
      <c r="RY5" s="1304"/>
      <c r="RZ5" s="1304"/>
      <c r="SA5" s="1304"/>
      <c r="SB5" s="1304"/>
      <c r="SC5" s="1304"/>
      <c r="SD5" s="1304"/>
      <c r="SE5" s="1304"/>
      <c r="SF5" s="1304"/>
      <c r="SG5" s="1304"/>
      <c r="SH5" s="1304"/>
      <c r="SI5" s="1304"/>
      <c r="SJ5" s="1304"/>
      <c r="SK5" s="1304"/>
      <c r="SL5" s="1304"/>
      <c r="SM5" s="1304"/>
      <c r="SN5" s="1304"/>
      <c r="SO5" s="1304"/>
      <c r="SP5" s="1304"/>
      <c r="SQ5" s="1304"/>
      <c r="SR5" s="1304"/>
      <c r="SS5" s="1304"/>
      <c r="ST5" s="1304"/>
      <c r="SU5" s="1304"/>
      <c r="SV5" s="1304"/>
      <c r="SW5" s="1304"/>
      <c r="SX5" s="1304"/>
      <c r="SY5" s="1304"/>
      <c r="SZ5" s="1304"/>
      <c r="TA5" s="1304"/>
      <c r="TB5" s="1304"/>
      <c r="TC5" s="1304"/>
      <c r="TD5" s="1304"/>
      <c r="TE5" s="1304"/>
      <c r="TF5" s="1304"/>
      <c r="TG5" s="1304"/>
      <c r="TH5" s="1304"/>
      <c r="TI5" s="1304"/>
      <c r="TJ5" s="1304"/>
      <c r="TK5" s="1304"/>
      <c r="TL5" s="1304"/>
      <c r="TM5" s="1304"/>
      <c r="TN5" s="1304"/>
      <c r="TO5" s="1304"/>
      <c r="TP5" s="1304"/>
      <c r="TQ5" s="1304"/>
      <c r="TR5" s="1304"/>
      <c r="TS5" s="1304"/>
      <c r="TT5" s="1304"/>
      <c r="TU5" s="1304"/>
      <c r="TV5" s="1304"/>
      <c r="TW5" s="1304"/>
      <c r="TX5" s="1304"/>
      <c r="TY5" s="1304"/>
      <c r="TZ5" s="1304"/>
      <c r="UA5" s="1304"/>
      <c r="UB5" s="1304"/>
      <c r="UC5" s="1304"/>
      <c r="UD5" s="1304"/>
      <c r="UE5" s="1304"/>
      <c r="UF5" s="1304"/>
      <c r="UG5" s="1304"/>
      <c r="UH5" s="1304"/>
      <c r="UI5" s="1304"/>
      <c r="UJ5" s="1304"/>
      <c r="UK5" s="1304"/>
      <c r="UL5" s="1304"/>
      <c r="UM5" s="1304"/>
      <c r="UN5" s="1304"/>
      <c r="UO5" s="1304"/>
      <c r="UP5" s="1304"/>
      <c r="UQ5" s="1304"/>
      <c r="UR5" s="1304"/>
      <c r="US5" s="1304"/>
      <c r="UT5" s="1304"/>
      <c r="UU5" s="1304"/>
      <c r="UV5" s="1304"/>
      <c r="UW5" s="1304"/>
      <c r="UX5" s="1304"/>
      <c r="UY5" s="1304"/>
      <c r="UZ5" s="1304"/>
      <c r="VA5" s="1304"/>
      <c r="VB5" s="1304"/>
      <c r="VC5" s="1304"/>
      <c r="VD5" s="1304"/>
      <c r="VE5" s="1304"/>
      <c r="VF5" s="1304"/>
      <c r="VG5" s="1304"/>
      <c r="VH5" s="1304"/>
      <c r="VI5" s="1304"/>
      <c r="VJ5" s="1304"/>
      <c r="VK5" s="1304"/>
      <c r="VL5" s="1304"/>
      <c r="VM5" s="1304"/>
      <c r="VN5" s="1304"/>
      <c r="VO5" s="1304"/>
      <c r="VP5" s="1304"/>
      <c r="VQ5" s="1304"/>
      <c r="VR5" s="1304"/>
      <c r="VS5" s="1304"/>
      <c r="VT5" s="1304"/>
      <c r="VU5" s="1304"/>
      <c r="VV5" s="1304"/>
      <c r="VW5" s="1304"/>
      <c r="VX5" s="1304"/>
      <c r="VY5" s="1304"/>
      <c r="VZ5" s="1304"/>
      <c r="WA5" s="1304"/>
      <c r="WB5" s="1304"/>
      <c r="WC5" s="1304"/>
      <c r="WD5" s="1304"/>
      <c r="WE5" s="1304"/>
      <c r="WF5" s="1304"/>
      <c r="WG5" s="1304"/>
      <c r="WH5" s="1304"/>
      <c r="WI5" s="1304"/>
      <c r="WJ5" s="1304"/>
      <c r="WK5" s="1304"/>
      <c r="WL5" s="1304"/>
      <c r="WM5" s="1304"/>
      <c r="WN5" s="1304"/>
      <c r="WO5" s="1304"/>
      <c r="WP5" s="1304"/>
      <c r="WQ5" s="1304"/>
      <c r="WR5" s="1304"/>
      <c r="WS5" s="1304"/>
      <c r="WT5" s="1304"/>
      <c r="WU5" s="1304"/>
      <c r="WV5" s="1304"/>
      <c r="WW5" s="1304"/>
      <c r="WX5" s="1304"/>
      <c r="WY5" s="1304"/>
      <c r="WZ5" s="1304"/>
      <c r="XA5" s="1304"/>
      <c r="XB5" s="1304"/>
      <c r="XC5" s="1304"/>
      <c r="XD5" s="1304"/>
      <c r="XE5" s="1304"/>
      <c r="XF5" s="1304"/>
      <c r="XG5" s="1304"/>
      <c r="XH5" s="1304"/>
      <c r="XI5" s="1304"/>
      <c r="XJ5" s="1304"/>
      <c r="XK5" s="1304"/>
      <c r="XL5" s="1304"/>
      <c r="XM5" s="1304"/>
      <c r="XN5" s="1304"/>
      <c r="XO5" s="1304"/>
      <c r="XP5" s="1304"/>
      <c r="XQ5" s="1304"/>
      <c r="XR5" s="1304"/>
      <c r="XS5" s="1304"/>
      <c r="XT5" s="1304"/>
      <c r="XU5" s="1304"/>
      <c r="XV5" s="1304"/>
      <c r="XW5" s="1304"/>
      <c r="XX5" s="1304"/>
      <c r="XY5" s="1304"/>
      <c r="XZ5" s="1304"/>
      <c r="YA5" s="1304"/>
      <c r="YB5" s="1304"/>
      <c r="YC5" s="1304"/>
      <c r="YD5" s="1304"/>
      <c r="YE5" s="1304"/>
      <c r="YF5" s="1304"/>
      <c r="YG5" s="1304"/>
      <c r="YH5" s="1304"/>
      <c r="YI5" s="1304"/>
      <c r="YJ5" s="1304"/>
      <c r="YK5" s="1304"/>
      <c r="YL5" s="1304"/>
      <c r="YM5" s="1304"/>
      <c r="YN5" s="1304"/>
      <c r="YO5" s="1304"/>
      <c r="YP5" s="1304"/>
      <c r="YQ5" s="1304"/>
      <c r="YR5" s="1304"/>
      <c r="YS5" s="1304"/>
      <c r="YT5" s="1304"/>
      <c r="YU5" s="1304"/>
      <c r="YV5" s="1304"/>
      <c r="YW5" s="1304"/>
      <c r="YX5" s="1304"/>
      <c r="YY5" s="1304"/>
      <c r="YZ5" s="1304"/>
      <c r="ZA5" s="1304"/>
      <c r="ZB5" s="1304"/>
      <c r="ZC5" s="1304"/>
      <c r="ZD5" s="1304"/>
      <c r="ZE5" s="1304"/>
      <c r="ZF5" s="1304"/>
      <c r="ZG5" s="1304"/>
      <c r="ZH5" s="1304"/>
      <c r="ZI5" s="1304"/>
      <c r="ZJ5" s="1304"/>
      <c r="ZK5" s="1304"/>
      <c r="ZL5" s="1304"/>
      <c r="ZM5" s="1304"/>
      <c r="ZN5" s="1304"/>
      <c r="ZO5" s="1304"/>
      <c r="ZP5" s="1304"/>
      <c r="ZQ5" s="1304"/>
      <c r="ZR5" s="1304"/>
      <c r="ZS5" s="1304"/>
      <c r="ZT5" s="1304"/>
      <c r="ZU5" s="1304"/>
      <c r="ZV5" s="1304"/>
      <c r="ZW5" s="1304"/>
      <c r="ZX5" s="1304"/>
      <c r="ZY5" s="1304"/>
      <c r="ZZ5" s="1304"/>
      <c r="AAA5" s="1304"/>
      <c r="AAB5" s="1304"/>
      <c r="AAC5" s="1304"/>
      <c r="AAD5" s="1304"/>
      <c r="AAE5" s="1304"/>
      <c r="AAF5" s="1304"/>
      <c r="AAG5" s="1304"/>
      <c r="AAH5" s="1304"/>
      <c r="AAI5" s="1304"/>
      <c r="AAJ5" s="1304"/>
      <c r="AAK5" s="1304"/>
      <c r="AAL5" s="1304"/>
      <c r="AAM5" s="1304"/>
      <c r="AAN5" s="1304"/>
      <c r="AAO5" s="1304"/>
      <c r="AAP5" s="1304"/>
      <c r="AAQ5" s="1304"/>
      <c r="AAR5" s="1304"/>
      <c r="AAS5" s="1304"/>
      <c r="AAT5" s="1304"/>
      <c r="AAU5" s="1304"/>
      <c r="AAV5" s="1304"/>
      <c r="AAW5" s="1304"/>
      <c r="AAX5" s="1304"/>
      <c r="AAY5" s="1304"/>
      <c r="AAZ5" s="1304"/>
      <c r="ABA5" s="1304"/>
      <c r="ABB5" s="1304"/>
      <c r="ABC5" s="1304"/>
      <c r="ABD5" s="1304"/>
      <c r="ABE5" s="1304"/>
      <c r="ABF5" s="1304"/>
      <c r="ABG5" s="1304"/>
      <c r="ABH5" s="1304"/>
      <c r="ABI5" s="1304"/>
      <c r="ABJ5" s="1304"/>
      <c r="ABK5" s="1304"/>
      <c r="ABL5" s="1304"/>
      <c r="ABM5" s="1304"/>
      <c r="ABN5" s="1304"/>
      <c r="ABO5" s="1304"/>
      <c r="ABP5" s="1304"/>
      <c r="ABQ5" s="1304"/>
      <c r="ABR5" s="1304"/>
      <c r="ABS5" s="1304"/>
      <c r="ABT5" s="1304"/>
      <c r="ABU5" s="1304"/>
      <c r="ABV5" s="1304"/>
      <c r="ABW5" s="1304"/>
      <c r="ABX5" s="1304"/>
      <c r="ABY5" s="1304"/>
      <c r="ABZ5" s="1304"/>
      <c r="ACA5" s="1304"/>
      <c r="ACB5" s="1304"/>
      <c r="ACC5" s="1304"/>
      <c r="ACD5" s="1304"/>
      <c r="ACE5" s="1304"/>
      <c r="ACF5" s="1304"/>
      <c r="ACG5" s="1304"/>
      <c r="ACH5" s="1304"/>
      <c r="ACI5" s="1304"/>
      <c r="ACJ5" s="1304"/>
      <c r="ACK5" s="1304"/>
      <c r="ACL5" s="1304"/>
      <c r="ACM5" s="1304"/>
      <c r="ACN5" s="1304"/>
      <c r="ACO5" s="1304"/>
      <c r="ACP5" s="1304"/>
      <c r="ACQ5" s="1304"/>
      <c r="ACR5" s="1304"/>
      <c r="ACS5" s="1304"/>
      <c r="ACT5" s="1304"/>
      <c r="ACU5" s="1304"/>
      <c r="ACV5" s="1304"/>
      <c r="ACW5" s="1304"/>
      <c r="ACX5" s="1304"/>
      <c r="ACY5" s="1304"/>
      <c r="ACZ5" s="1304"/>
      <c r="ADA5" s="1304"/>
      <c r="ADB5" s="1304"/>
      <c r="ADC5" s="1304"/>
      <c r="ADD5" s="1304"/>
      <c r="ADE5" s="1304"/>
      <c r="ADF5" s="1304"/>
      <c r="ADG5" s="1304"/>
      <c r="ADH5" s="1304"/>
      <c r="ADI5" s="1304"/>
      <c r="ADJ5" s="1304"/>
      <c r="ADK5" s="1304"/>
      <c r="ADL5" s="1304"/>
      <c r="ADM5" s="1304"/>
      <c r="ADN5" s="1304"/>
      <c r="ADO5" s="1304"/>
      <c r="ADP5" s="1304"/>
      <c r="ADQ5" s="1304"/>
      <c r="ADR5" s="1304"/>
      <c r="ADS5" s="1304"/>
      <c r="ADT5" s="1304"/>
      <c r="ADU5" s="1304"/>
      <c r="ADV5" s="1304"/>
      <c r="ADW5" s="1304"/>
      <c r="ADX5" s="1304"/>
      <c r="ADY5" s="1304"/>
      <c r="ADZ5" s="1304"/>
      <c r="AEA5" s="1304"/>
      <c r="AEB5" s="1304"/>
      <c r="AEC5" s="1304"/>
      <c r="AED5" s="1304"/>
      <c r="AEE5" s="1304"/>
      <c r="AEF5" s="1304"/>
      <c r="AEG5" s="1304"/>
      <c r="AEH5" s="1304"/>
      <c r="AEI5" s="1304"/>
      <c r="AEJ5" s="1304"/>
      <c r="AEK5" s="1304"/>
      <c r="AEL5" s="1304"/>
      <c r="AEM5" s="1304"/>
      <c r="AEN5" s="1304"/>
      <c r="AEO5" s="1304"/>
      <c r="AEP5" s="1304"/>
      <c r="AEQ5" s="1304"/>
      <c r="AER5" s="1304"/>
      <c r="AES5" s="1304"/>
      <c r="AET5" s="1304"/>
      <c r="AEU5" s="1304"/>
      <c r="AEV5" s="1304"/>
      <c r="AEW5" s="1304"/>
      <c r="AEX5" s="1304"/>
      <c r="AEY5" s="1304"/>
      <c r="AEZ5" s="1304"/>
      <c r="AFA5" s="1304"/>
      <c r="AFB5" s="1304"/>
      <c r="AFC5" s="1304"/>
      <c r="AFD5" s="1304"/>
      <c r="AFE5" s="1304"/>
      <c r="AFF5" s="1304"/>
      <c r="AFG5" s="1304"/>
      <c r="AFH5" s="1304"/>
      <c r="AFI5" s="1304"/>
      <c r="AFJ5" s="1304"/>
      <c r="AFK5" s="1304"/>
      <c r="AFL5" s="1304"/>
      <c r="AFM5" s="1304"/>
      <c r="AFN5" s="1304"/>
      <c r="AFO5" s="1304"/>
      <c r="AFP5" s="1304"/>
      <c r="AFQ5" s="1304"/>
      <c r="AFR5" s="1304"/>
      <c r="AFS5" s="1304"/>
      <c r="AFT5" s="1304"/>
      <c r="AFU5" s="1304"/>
      <c r="AFV5" s="1304"/>
      <c r="AFW5" s="1304"/>
      <c r="AFX5" s="1304"/>
      <c r="AFY5" s="1304"/>
      <c r="AFZ5" s="1304"/>
      <c r="AGA5" s="1304"/>
      <c r="AGB5" s="1304"/>
      <c r="AGC5" s="1304"/>
      <c r="AGD5" s="1304"/>
      <c r="AGE5" s="1304"/>
      <c r="AGF5" s="1304"/>
      <c r="AGG5" s="1304"/>
      <c r="AGH5" s="1304"/>
      <c r="AGI5" s="1304"/>
      <c r="AGJ5" s="1304"/>
      <c r="AGK5" s="1304"/>
      <c r="AGL5" s="1304"/>
      <c r="AGM5" s="1304"/>
      <c r="AGN5" s="1304"/>
      <c r="AGO5" s="1304"/>
      <c r="AGP5" s="1304"/>
      <c r="AGQ5" s="1304"/>
      <c r="AGR5" s="1304"/>
      <c r="AGS5" s="1304"/>
      <c r="AGT5" s="1304"/>
      <c r="AGU5" s="1304"/>
      <c r="AGV5" s="1304"/>
      <c r="AGW5" s="1304"/>
      <c r="AGX5" s="1304"/>
      <c r="AGY5" s="1304"/>
      <c r="AGZ5" s="1304"/>
      <c r="AHA5" s="1304"/>
      <c r="AHB5" s="1304"/>
      <c r="AHC5" s="1304"/>
      <c r="AHD5" s="1304"/>
      <c r="AHE5" s="1304"/>
      <c r="AHF5" s="1304"/>
      <c r="AHG5" s="1304"/>
      <c r="AHH5" s="1304"/>
      <c r="AHI5" s="1304"/>
      <c r="AHJ5" s="1304"/>
      <c r="AHK5" s="1304"/>
      <c r="AHL5" s="1304"/>
      <c r="AHM5" s="1304"/>
      <c r="AHN5" s="1304"/>
      <c r="AHO5" s="1304"/>
      <c r="AHP5" s="1304"/>
      <c r="AHQ5" s="1304"/>
      <c r="AHR5" s="1304"/>
      <c r="AHS5" s="1304"/>
      <c r="AHT5" s="1304"/>
      <c r="AHU5" s="1304"/>
      <c r="AHV5" s="1304"/>
      <c r="AHW5" s="1304"/>
      <c r="AHX5" s="1304"/>
      <c r="AHY5" s="1304"/>
      <c r="AHZ5" s="1304"/>
      <c r="AIA5" s="1304"/>
      <c r="AIB5" s="1304"/>
      <c r="AIC5" s="1304"/>
      <c r="AID5" s="1304"/>
      <c r="AIE5" s="1304"/>
      <c r="AIF5" s="1304"/>
      <c r="AIG5" s="1304"/>
      <c r="AIH5" s="1304"/>
      <c r="AII5" s="1304"/>
      <c r="AIJ5" s="1304"/>
      <c r="AIK5" s="1304"/>
      <c r="AIL5" s="1304"/>
      <c r="AIM5" s="1304"/>
      <c r="AIN5" s="1304"/>
      <c r="AIO5" s="1304"/>
      <c r="AIP5" s="1304"/>
      <c r="AIQ5" s="1304"/>
      <c r="AIR5" s="1304"/>
      <c r="AIS5" s="1304"/>
      <c r="AIT5" s="1304"/>
      <c r="AIU5" s="1304"/>
      <c r="AIV5" s="1304"/>
      <c r="AIW5" s="1304"/>
      <c r="AIX5" s="1304"/>
      <c r="AIY5" s="1304"/>
      <c r="AIZ5" s="1304"/>
      <c r="AJA5" s="1304"/>
      <c r="AJB5" s="1304"/>
      <c r="AJC5" s="1304"/>
      <c r="AJD5" s="1304"/>
      <c r="AJE5" s="1304"/>
      <c r="AJF5" s="1304"/>
      <c r="AJG5" s="1304"/>
      <c r="AJH5" s="1304"/>
      <c r="AJI5" s="1304"/>
      <c r="AJJ5" s="1304"/>
      <c r="AJK5" s="1304"/>
      <c r="AJL5" s="1304"/>
      <c r="AJM5" s="1304"/>
      <c r="AJN5" s="1304"/>
      <c r="AJO5" s="1304"/>
      <c r="AJP5" s="1304"/>
      <c r="AJQ5" s="1304"/>
      <c r="AJR5" s="1304"/>
      <c r="AJS5" s="1304"/>
      <c r="AJT5" s="1304"/>
      <c r="AJU5" s="1304"/>
      <c r="AJV5" s="1304"/>
      <c r="AJW5" s="1304"/>
      <c r="AJX5" s="1304"/>
      <c r="AJY5" s="1304"/>
      <c r="AJZ5" s="1304"/>
      <c r="AKA5" s="1304"/>
      <c r="AKB5" s="1304"/>
      <c r="AKC5" s="1304"/>
      <c r="AKD5" s="1304"/>
      <c r="AKE5" s="1304"/>
      <c r="AKF5" s="1304"/>
      <c r="AKG5" s="1304"/>
      <c r="AKH5" s="1304"/>
      <c r="AKI5" s="1304"/>
      <c r="AKJ5" s="1304"/>
      <c r="AKK5" s="1304"/>
      <c r="AKL5" s="1304"/>
      <c r="AKM5" s="1304"/>
      <c r="AKN5" s="1304"/>
      <c r="AKO5" s="1304"/>
      <c r="AKP5" s="1304"/>
      <c r="AKQ5" s="1304"/>
      <c r="AKR5" s="1304"/>
      <c r="AKS5" s="1304"/>
      <c r="AKT5" s="1304"/>
      <c r="AKU5" s="1304"/>
      <c r="AKV5" s="1304"/>
      <c r="AKW5" s="1304"/>
      <c r="AKX5" s="1304"/>
      <c r="AKY5" s="1304"/>
      <c r="AKZ5" s="1304"/>
      <c r="ALA5" s="1304"/>
      <c r="ALB5" s="1304"/>
      <c r="ALC5" s="1304"/>
      <c r="ALD5" s="1304"/>
      <c r="ALE5" s="1304"/>
      <c r="ALF5" s="1304"/>
      <c r="ALG5" s="1304"/>
      <c r="ALH5" s="1304"/>
      <c r="ALI5" s="1304"/>
      <c r="ALJ5" s="1304"/>
      <c r="ALK5" s="1304"/>
      <c r="ALL5" s="1304"/>
      <c r="ALM5" s="1304"/>
      <c r="ALN5" s="1304"/>
      <c r="ALO5" s="1304"/>
      <c r="ALP5" s="1304"/>
      <c r="ALQ5" s="1304"/>
      <c r="ALR5" s="1304"/>
      <c r="ALS5" s="1304"/>
      <c r="ALT5" s="1304"/>
      <c r="ALU5" s="1304"/>
      <c r="ALV5" s="1304"/>
      <c r="ALW5" s="1304"/>
      <c r="ALX5" s="1304"/>
      <c r="ALY5" s="1304"/>
      <c r="ALZ5" s="1304"/>
      <c r="AMA5" s="1304"/>
      <c r="AMB5" s="1304"/>
      <c r="AMC5" s="1304"/>
      <c r="AMD5" s="1304"/>
      <c r="AME5" s="1304"/>
      <c r="AMF5" s="1304"/>
      <c r="AMG5" s="1304"/>
      <c r="AMH5" s="1304"/>
      <c r="AMI5" s="1304"/>
      <c r="AMJ5" s="1304"/>
      <c r="AMK5" s="1304"/>
      <c r="AML5" s="1304"/>
      <c r="AMM5" s="1304"/>
      <c r="AMN5" s="1304"/>
      <c r="AMO5" s="1304"/>
      <c r="AMP5" s="1304"/>
      <c r="AMQ5" s="1304"/>
      <c r="AMR5" s="1304"/>
      <c r="AMS5" s="1304"/>
      <c r="AMT5" s="1304"/>
      <c r="AMU5" s="1304"/>
      <c r="AMV5" s="1304"/>
      <c r="AMW5" s="1304"/>
      <c r="AMX5" s="1304"/>
      <c r="AMY5" s="1304"/>
      <c r="AMZ5" s="1304"/>
      <c r="ANA5" s="1304"/>
      <c r="ANB5" s="1304"/>
      <c r="ANC5" s="1304"/>
      <c r="AND5" s="1304"/>
      <c r="ANE5" s="1304"/>
      <c r="ANF5" s="1304"/>
      <c r="ANG5" s="1304"/>
      <c r="ANH5" s="1304"/>
      <c r="ANI5" s="1304"/>
      <c r="ANJ5" s="1304"/>
      <c r="ANK5" s="1304"/>
      <c r="ANL5" s="1304"/>
      <c r="ANM5" s="1304"/>
      <c r="ANN5" s="1304"/>
      <c r="ANO5" s="1304"/>
      <c r="ANP5" s="1304"/>
      <c r="ANQ5" s="1304"/>
      <c r="ANR5" s="1304"/>
      <c r="ANS5" s="1304"/>
      <c r="ANT5" s="1304"/>
      <c r="ANU5" s="1304"/>
      <c r="ANV5" s="1304"/>
      <c r="ANW5" s="1304"/>
      <c r="ANX5" s="1304"/>
      <c r="ANY5" s="1304"/>
      <c r="ANZ5" s="1304"/>
      <c r="AOA5" s="1304"/>
      <c r="AOB5" s="1304"/>
      <c r="AOC5" s="1304"/>
      <c r="AOD5" s="1304"/>
      <c r="AOE5" s="1304"/>
      <c r="AOF5" s="1304"/>
      <c r="AOG5" s="1304"/>
      <c r="AOH5" s="1304"/>
      <c r="AOI5" s="1304"/>
      <c r="AOJ5" s="1304"/>
      <c r="AOK5" s="1304"/>
      <c r="AOL5" s="1304"/>
      <c r="AOM5" s="1304"/>
      <c r="AON5" s="1304"/>
      <c r="AOO5" s="1304"/>
      <c r="AOP5" s="1304"/>
      <c r="AOQ5" s="1304"/>
      <c r="AOR5" s="1304"/>
      <c r="AOS5" s="1304"/>
      <c r="AOT5" s="1304"/>
      <c r="AOU5" s="1304"/>
      <c r="AOV5" s="1304"/>
      <c r="AOW5" s="1304"/>
      <c r="AOX5" s="1304"/>
      <c r="AOY5" s="1304"/>
      <c r="AOZ5" s="1304"/>
      <c r="APA5" s="1304"/>
      <c r="APB5" s="1304"/>
      <c r="APC5" s="1304"/>
      <c r="APD5" s="1304"/>
      <c r="APE5" s="1304"/>
      <c r="APF5" s="1304"/>
      <c r="APG5" s="1304"/>
      <c r="APH5" s="1304"/>
      <c r="API5" s="1304"/>
      <c r="APJ5" s="1304"/>
      <c r="APK5" s="1304"/>
      <c r="APL5" s="1304"/>
      <c r="APM5" s="1304"/>
      <c r="APN5" s="1304"/>
      <c r="APO5" s="1304"/>
      <c r="APP5" s="1304"/>
      <c r="APQ5" s="1304"/>
      <c r="APR5" s="1304"/>
      <c r="APS5" s="1304"/>
      <c r="APT5" s="1304"/>
      <c r="APU5" s="1304"/>
      <c r="APV5" s="1304"/>
      <c r="APW5" s="1304"/>
      <c r="APX5" s="1304"/>
      <c r="APY5" s="1304"/>
      <c r="APZ5" s="1304"/>
      <c r="AQA5" s="1304"/>
      <c r="AQB5" s="1304"/>
      <c r="AQC5" s="1304"/>
      <c r="AQD5" s="1304"/>
      <c r="AQE5" s="1304"/>
      <c r="AQF5" s="1304"/>
      <c r="AQG5" s="1304"/>
      <c r="AQH5" s="1304"/>
      <c r="AQI5" s="1304"/>
      <c r="AQJ5" s="1304"/>
      <c r="AQK5" s="1304"/>
      <c r="AQL5" s="1304"/>
      <c r="AQM5" s="1304"/>
      <c r="AQN5" s="1304"/>
      <c r="AQO5" s="1304"/>
      <c r="AQP5" s="1304"/>
      <c r="AQQ5" s="1304"/>
      <c r="AQR5" s="1304"/>
      <c r="AQS5" s="1304"/>
      <c r="AQT5" s="1304"/>
      <c r="AQU5" s="1304"/>
      <c r="AQV5" s="1304"/>
      <c r="AQW5" s="1304"/>
      <c r="AQX5" s="1304"/>
      <c r="AQY5" s="1304"/>
      <c r="AQZ5" s="1304"/>
      <c r="ARA5" s="1304"/>
      <c r="ARB5" s="1304"/>
      <c r="ARC5" s="1304"/>
      <c r="ARD5" s="1304"/>
      <c r="ARE5" s="1304"/>
      <c r="ARF5" s="1304"/>
      <c r="ARG5" s="1304"/>
      <c r="ARH5" s="1304"/>
      <c r="ARI5" s="1304"/>
      <c r="ARJ5" s="1304"/>
      <c r="ARK5" s="1304"/>
      <c r="ARL5" s="1304"/>
      <c r="ARM5" s="1304"/>
      <c r="ARN5" s="1304"/>
      <c r="ARO5" s="1304"/>
      <c r="ARP5" s="1304"/>
      <c r="ARQ5" s="1304"/>
      <c r="ARR5" s="1304"/>
      <c r="ARS5" s="1304"/>
      <c r="ART5" s="1304"/>
      <c r="ARU5" s="1304"/>
      <c r="ARV5" s="1304"/>
      <c r="ARW5" s="1304"/>
      <c r="ARX5" s="1304"/>
      <c r="ARY5" s="1304"/>
      <c r="ARZ5" s="1304"/>
      <c r="ASA5" s="1304"/>
      <c r="ASB5" s="1304"/>
      <c r="ASC5" s="1304"/>
      <c r="ASD5" s="1304"/>
      <c r="ASE5" s="1304"/>
      <c r="ASF5" s="1304"/>
      <c r="ASG5" s="1304"/>
      <c r="ASH5" s="1304"/>
      <c r="ASI5" s="1304"/>
      <c r="ASJ5" s="1304"/>
      <c r="ASK5" s="1304"/>
      <c r="ASL5" s="1304"/>
      <c r="ASM5" s="1304"/>
      <c r="ASN5" s="1304"/>
      <c r="ASO5" s="1304"/>
      <c r="ASP5" s="1304"/>
      <c r="ASQ5" s="1304"/>
      <c r="ASR5" s="1304"/>
      <c r="ASS5" s="1304"/>
      <c r="AST5" s="1304"/>
      <c r="ASU5" s="1304"/>
      <c r="ASV5" s="1304"/>
      <c r="ASW5" s="1304"/>
      <c r="ASX5" s="1304"/>
      <c r="ASY5" s="1304"/>
      <c r="ASZ5" s="1304"/>
      <c r="ATA5" s="1304"/>
      <c r="ATB5" s="1304"/>
      <c r="ATC5" s="1304"/>
      <c r="ATD5" s="1304"/>
      <c r="ATE5" s="1304"/>
      <c r="ATF5" s="1304"/>
      <c r="ATG5" s="1304"/>
      <c r="ATH5" s="1304"/>
      <c r="ATI5" s="1304"/>
      <c r="ATJ5" s="1304"/>
      <c r="ATK5" s="1304"/>
      <c r="ATL5" s="1304"/>
      <c r="ATM5" s="1304"/>
      <c r="ATN5" s="1304"/>
      <c r="ATO5" s="1304"/>
      <c r="ATP5" s="1304"/>
      <c r="ATQ5" s="1304"/>
      <c r="ATR5" s="1304"/>
      <c r="ATS5" s="1304"/>
      <c r="ATT5" s="1304"/>
      <c r="ATU5" s="1304"/>
      <c r="ATV5" s="1304"/>
      <c r="ATW5" s="1304"/>
      <c r="ATX5" s="1304"/>
      <c r="ATY5" s="1304"/>
      <c r="ATZ5" s="1304"/>
      <c r="AUA5" s="1304"/>
      <c r="AUB5" s="1304"/>
      <c r="AUC5" s="1304"/>
      <c r="AUD5" s="1304"/>
      <c r="AUE5" s="1304"/>
      <c r="AUF5" s="1304"/>
      <c r="AUG5" s="1304"/>
      <c r="AUH5" s="1304"/>
      <c r="AUI5" s="1304"/>
      <c r="AUJ5" s="1304"/>
      <c r="AUK5" s="1304"/>
      <c r="AUL5" s="1304"/>
      <c r="AUM5" s="1304"/>
      <c r="AUN5" s="1304"/>
      <c r="AUO5" s="1304"/>
      <c r="AUP5" s="1304"/>
      <c r="AUQ5" s="1304"/>
      <c r="AUR5" s="1304"/>
      <c r="AUS5" s="1304"/>
      <c r="AUT5" s="1304"/>
      <c r="AUU5" s="1304"/>
      <c r="AUV5" s="1304"/>
      <c r="AUW5" s="1304"/>
      <c r="AUX5" s="1304"/>
      <c r="AUY5" s="1304"/>
      <c r="AUZ5" s="1304"/>
      <c r="AVA5" s="1304"/>
      <c r="AVB5" s="1304"/>
      <c r="AVC5" s="1304"/>
      <c r="AVD5" s="1304"/>
      <c r="AVE5" s="1304"/>
      <c r="AVF5" s="1304"/>
      <c r="AVG5" s="1304"/>
      <c r="AVH5" s="1304"/>
      <c r="AVI5" s="1304"/>
      <c r="AVJ5" s="1304"/>
      <c r="AVK5" s="1304"/>
      <c r="AVL5" s="1304"/>
      <c r="AVM5" s="1304"/>
      <c r="AVN5" s="1304"/>
      <c r="AVO5" s="1304"/>
      <c r="AVP5" s="1304"/>
      <c r="AVQ5" s="1304"/>
      <c r="AVR5" s="1304"/>
      <c r="AVS5" s="1304"/>
      <c r="AVT5" s="1304"/>
      <c r="AVU5" s="1304"/>
      <c r="AVV5" s="1304"/>
      <c r="AVW5" s="1304"/>
      <c r="AVX5" s="1304"/>
      <c r="AVY5" s="1304"/>
      <c r="AVZ5" s="1304"/>
      <c r="AWA5" s="1304"/>
      <c r="AWB5" s="1304"/>
      <c r="AWC5" s="1304"/>
      <c r="AWD5" s="1304"/>
      <c r="AWE5" s="1304"/>
      <c r="AWF5" s="1304"/>
      <c r="AWG5" s="1304"/>
      <c r="AWH5" s="1304"/>
      <c r="AWI5" s="1304"/>
      <c r="AWJ5" s="1304"/>
      <c r="AWK5" s="1304"/>
      <c r="AWL5" s="1304"/>
      <c r="AWM5" s="1304"/>
      <c r="AWN5" s="1304"/>
      <c r="AWO5" s="1304"/>
      <c r="AWP5" s="1304"/>
      <c r="AWQ5" s="1304"/>
      <c r="AWR5" s="1304"/>
      <c r="AWS5" s="1304"/>
      <c r="AWT5" s="1304"/>
      <c r="AWU5" s="1304"/>
      <c r="AWV5" s="1304"/>
      <c r="AWW5" s="1304"/>
      <c r="AWX5" s="1304"/>
      <c r="AWY5" s="1304"/>
      <c r="AWZ5" s="1304"/>
      <c r="AXA5" s="1304"/>
      <c r="AXB5" s="1304"/>
      <c r="AXC5" s="1304"/>
      <c r="AXD5" s="1304"/>
      <c r="AXE5" s="1304"/>
      <c r="AXF5" s="1304"/>
      <c r="AXG5" s="1304"/>
      <c r="AXH5" s="1304"/>
      <c r="AXI5" s="1304"/>
      <c r="AXJ5" s="1304"/>
      <c r="AXK5" s="1304"/>
      <c r="AXL5" s="1304"/>
      <c r="AXM5" s="1304"/>
      <c r="AXN5" s="1304"/>
      <c r="AXO5" s="1304"/>
      <c r="AXP5" s="1304"/>
      <c r="AXQ5" s="1304"/>
      <c r="AXR5" s="1304"/>
      <c r="AXS5" s="1304"/>
      <c r="AXT5" s="1304"/>
      <c r="AXU5" s="1304"/>
      <c r="AXV5" s="1304"/>
      <c r="AXW5" s="1304"/>
      <c r="AXX5" s="1304"/>
      <c r="AXY5" s="1304"/>
      <c r="AXZ5" s="1304"/>
      <c r="AYA5" s="1304"/>
      <c r="AYB5" s="1304"/>
      <c r="AYC5" s="1304"/>
      <c r="AYD5" s="1304"/>
      <c r="AYE5" s="1304"/>
      <c r="AYF5" s="1304"/>
      <c r="AYG5" s="1304"/>
      <c r="AYH5" s="1304"/>
      <c r="AYI5" s="1304"/>
      <c r="AYJ5" s="1304"/>
      <c r="AYK5" s="1304"/>
      <c r="AYL5" s="1304"/>
      <c r="AYM5" s="1304"/>
      <c r="AYN5" s="1304"/>
      <c r="AYO5" s="1304"/>
      <c r="AYP5" s="1304"/>
      <c r="AYQ5" s="1304"/>
      <c r="AYR5" s="1304"/>
      <c r="AYS5" s="1304"/>
      <c r="AYT5" s="1304"/>
      <c r="AYU5" s="1304"/>
      <c r="AYV5" s="1304"/>
      <c r="AYW5" s="1304"/>
      <c r="AYX5" s="1304"/>
      <c r="AYY5" s="1304"/>
      <c r="AYZ5" s="1304"/>
      <c r="AZA5" s="1304"/>
      <c r="AZB5" s="1304"/>
      <c r="AZC5" s="1304"/>
      <c r="AZD5" s="1304"/>
      <c r="AZE5" s="1304"/>
      <c r="AZF5" s="1304"/>
      <c r="AZG5" s="1304"/>
      <c r="AZH5" s="1304"/>
      <c r="AZI5" s="1304"/>
      <c r="AZJ5" s="1304"/>
      <c r="AZK5" s="1304"/>
      <c r="AZL5" s="1304"/>
      <c r="AZM5" s="1304"/>
      <c r="AZN5" s="1304"/>
      <c r="AZO5" s="1304"/>
      <c r="AZP5" s="1304"/>
      <c r="AZQ5" s="1304"/>
      <c r="AZR5" s="1304"/>
      <c r="AZS5" s="1304"/>
      <c r="AZT5" s="1304"/>
      <c r="AZU5" s="1304"/>
      <c r="AZV5" s="1304"/>
      <c r="AZW5" s="1304"/>
      <c r="AZX5" s="1304"/>
      <c r="AZY5" s="1304"/>
      <c r="AZZ5" s="1304"/>
      <c r="BAA5" s="1304"/>
      <c r="BAB5" s="1304"/>
      <c r="BAC5" s="1304"/>
      <c r="BAD5" s="1304"/>
      <c r="BAE5" s="1304"/>
      <c r="BAF5" s="1304"/>
      <c r="BAG5" s="1304"/>
      <c r="BAH5" s="1304"/>
      <c r="BAI5" s="1304"/>
      <c r="BAJ5" s="1304"/>
      <c r="BAK5" s="1304"/>
      <c r="BAL5" s="1304"/>
      <c r="BAM5" s="1304"/>
      <c r="BAN5" s="1304"/>
      <c r="BAO5" s="1304"/>
      <c r="BAP5" s="1304"/>
      <c r="BAQ5" s="1304"/>
      <c r="BAR5" s="1304"/>
      <c r="BAS5" s="1304"/>
      <c r="BAT5" s="1304"/>
      <c r="BAU5" s="1304"/>
      <c r="BAV5" s="1304"/>
      <c r="BAW5" s="1304"/>
      <c r="BAX5" s="1304"/>
      <c r="BAY5" s="1304"/>
      <c r="BAZ5" s="1304"/>
      <c r="BBA5" s="1304"/>
      <c r="BBB5" s="1304"/>
      <c r="BBC5" s="1304"/>
      <c r="BBD5" s="1304"/>
      <c r="BBE5" s="1304"/>
      <c r="BBF5" s="1304"/>
      <c r="BBG5" s="1304"/>
      <c r="BBH5" s="1304"/>
      <c r="BBI5" s="1304"/>
      <c r="BBJ5" s="1304"/>
      <c r="BBK5" s="1304"/>
      <c r="BBL5" s="1304"/>
      <c r="BBM5" s="1304"/>
      <c r="BBN5" s="1304"/>
      <c r="BBO5" s="1304"/>
      <c r="BBP5" s="1304"/>
      <c r="BBQ5" s="1304"/>
      <c r="BBR5" s="1304"/>
      <c r="BBS5" s="1304"/>
      <c r="BBT5" s="1304"/>
      <c r="BBU5" s="1304"/>
      <c r="BBV5" s="1304"/>
      <c r="BBW5" s="1304"/>
      <c r="BBX5" s="1304"/>
      <c r="BBY5" s="1304"/>
      <c r="BBZ5" s="1304"/>
      <c r="BCA5" s="1304"/>
      <c r="BCB5" s="1304"/>
      <c r="BCC5" s="1304"/>
      <c r="BCD5" s="1304"/>
      <c r="BCE5" s="1304"/>
      <c r="BCF5" s="1304"/>
      <c r="BCG5" s="1304"/>
      <c r="BCH5" s="1304"/>
      <c r="BCI5" s="1304"/>
      <c r="BCJ5" s="1304"/>
      <c r="BCK5" s="1304"/>
      <c r="BCL5" s="1304"/>
      <c r="BCM5" s="1304"/>
      <c r="BCN5" s="1304"/>
      <c r="BCO5" s="1304"/>
      <c r="BCP5" s="1304"/>
      <c r="BCQ5" s="1304"/>
      <c r="BCR5" s="1304"/>
      <c r="BCS5" s="1304"/>
      <c r="BCT5" s="1304"/>
      <c r="BCU5" s="1304"/>
      <c r="BCV5" s="1304"/>
      <c r="BCW5" s="1304"/>
      <c r="BCX5" s="1304"/>
      <c r="BCY5" s="1304"/>
      <c r="BCZ5" s="1304"/>
      <c r="BDA5" s="1304"/>
      <c r="BDB5" s="1304"/>
      <c r="BDC5" s="1304"/>
      <c r="BDD5" s="1304"/>
      <c r="BDE5" s="1304"/>
      <c r="BDF5" s="1304"/>
      <c r="BDG5" s="1304"/>
      <c r="BDH5" s="1304"/>
      <c r="BDI5" s="1304"/>
      <c r="BDJ5" s="1304"/>
      <c r="BDK5" s="1304"/>
      <c r="BDL5" s="1304"/>
      <c r="BDM5" s="1304"/>
      <c r="BDN5" s="1304"/>
      <c r="BDO5" s="1304"/>
      <c r="BDP5" s="1304"/>
      <c r="BDQ5" s="1304"/>
      <c r="BDR5" s="1304"/>
      <c r="BDS5" s="1304"/>
      <c r="BDT5" s="1304"/>
      <c r="BDU5" s="1304"/>
      <c r="BDV5" s="1304"/>
      <c r="BDW5" s="1304"/>
      <c r="BDX5" s="1304"/>
      <c r="BDY5" s="1304"/>
      <c r="BDZ5" s="1304"/>
      <c r="BEA5" s="1304"/>
      <c r="BEB5" s="1304"/>
      <c r="BEC5" s="1304"/>
      <c r="BED5" s="1304"/>
      <c r="BEE5" s="1304"/>
      <c r="BEF5" s="1304"/>
      <c r="BEG5" s="1304"/>
      <c r="BEH5" s="1304"/>
      <c r="BEI5" s="1304"/>
      <c r="BEJ5" s="1304"/>
      <c r="BEK5" s="1304"/>
      <c r="BEL5" s="1304"/>
      <c r="BEM5" s="1304"/>
      <c r="BEN5" s="1304"/>
      <c r="BEO5" s="1304"/>
      <c r="BEP5" s="1304"/>
      <c r="BEQ5" s="1304"/>
      <c r="BER5" s="1304"/>
      <c r="BES5" s="1304"/>
      <c r="BET5" s="1304"/>
      <c r="BEU5" s="1304"/>
      <c r="BEV5" s="1304"/>
      <c r="BEW5" s="1304"/>
      <c r="BEX5" s="1304"/>
      <c r="BEY5" s="1304"/>
      <c r="BEZ5" s="1304"/>
      <c r="BFA5" s="1304"/>
      <c r="BFB5" s="1304"/>
      <c r="BFC5" s="1304"/>
      <c r="BFD5" s="1304"/>
      <c r="BFE5" s="1304"/>
      <c r="BFF5" s="1304"/>
      <c r="BFG5" s="1304"/>
      <c r="BFH5" s="1304"/>
      <c r="BFI5" s="1304"/>
      <c r="BFJ5" s="1304"/>
      <c r="BFK5" s="1304"/>
      <c r="BFL5" s="1304"/>
      <c r="BFM5" s="1304"/>
      <c r="BFN5" s="1304"/>
      <c r="BFO5" s="1304"/>
      <c r="BFP5" s="1304"/>
      <c r="BFQ5" s="1304"/>
      <c r="BFR5" s="1304"/>
      <c r="BFS5" s="1304"/>
      <c r="BFT5" s="1304"/>
      <c r="BFU5" s="1304"/>
      <c r="BFV5" s="1304"/>
      <c r="BFW5" s="1304"/>
      <c r="BFX5" s="1304"/>
      <c r="BFY5" s="1304"/>
      <c r="BFZ5" s="1304"/>
      <c r="BGA5" s="1304"/>
      <c r="BGB5" s="1304"/>
      <c r="BGC5" s="1304"/>
      <c r="BGD5" s="1304"/>
      <c r="BGE5" s="1304"/>
      <c r="BGF5" s="1304"/>
      <c r="BGG5" s="1304"/>
      <c r="BGH5" s="1304"/>
      <c r="BGI5" s="1304"/>
      <c r="BGJ5" s="1304"/>
      <c r="BGK5" s="1304"/>
      <c r="BGL5" s="1304"/>
      <c r="BGM5" s="1304"/>
      <c r="BGN5" s="1304"/>
      <c r="BGO5" s="1304"/>
      <c r="BGP5" s="1304"/>
      <c r="BGQ5" s="1304"/>
      <c r="BGR5" s="1304"/>
      <c r="BGS5" s="1304"/>
      <c r="BGT5" s="1304"/>
      <c r="BGU5" s="1304"/>
      <c r="BGV5" s="1304"/>
      <c r="BGW5" s="1304"/>
      <c r="BGX5" s="1304"/>
      <c r="BGY5" s="1304"/>
      <c r="BGZ5" s="1304"/>
      <c r="BHA5" s="1304"/>
      <c r="BHB5" s="1304"/>
      <c r="BHC5" s="1304"/>
      <c r="BHD5" s="1304"/>
      <c r="BHE5" s="1304"/>
      <c r="BHF5" s="1304"/>
      <c r="BHG5" s="1304"/>
      <c r="BHH5" s="1304"/>
      <c r="BHI5" s="1304"/>
      <c r="BHJ5" s="1304"/>
      <c r="BHK5" s="1304"/>
      <c r="BHL5" s="1304"/>
      <c r="BHM5" s="1304"/>
      <c r="BHN5" s="1304"/>
      <c r="BHO5" s="1304"/>
      <c r="BHP5" s="1304"/>
      <c r="BHQ5" s="1304"/>
      <c r="BHR5" s="1304"/>
      <c r="BHS5" s="1304"/>
      <c r="BHT5" s="1304"/>
      <c r="BHU5" s="1304"/>
      <c r="BHV5" s="1304"/>
      <c r="BHW5" s="1304"/>
      <c r="BHX5" s="1304"/>
      <c r="BHY5" s="1304"/>
      <c r="BHZ5" s="1304"/>
      <c r="BIA5" s="1304"/>
      <c r="BIB5" s="1304"/>
      <c r="BIC5" s="1304"/>
      <c r="BID5" s="1304"/>
      <c r="BIE5" s="1304"/>
      <c r="BIF5" s="1304"/>
      <c r="BIG5" s="1304"/>
      <c r="BIH5" s="1304"/>
      <c r="BII5" s="1304"/>
      <c r="BIJ5" s="1304"/>
      <c r="BIK5" s="1304"/>
      <c r="BIL5" s="1304"/>
      <c r="BIM5" s="1304"/>
      <c r="BIN5" s="1304"/>
      <c r="BIO5" s="1304"/>
      <c r="BIP5" s="1304"/>
      <c r="BIQ5" s="1304"/>
      <c r="BIR5" s="1304"/>
      <c r="BIS5" s="1304"/>
      <c r="BIT5" s="1304"/>
      <c r="BIU5" s="1304"/>
      <c r="BIV5" s="1304"/>
      <c r="BIW5" s="1304"/>
      <c r="BIX5" s="1304"/>
      <c r="BIY5" s="1304"/>
      <c r="BIZ5" s="1304"/>
      <c r="BJA5" s="1304"/>
      <c r="BJB5" s="1304"/>
      <c r="BJC5" s="1304"/>
      <c r="BJD5" s="1304"/>
      <c r="BJE5" s="1304"/>
      <c r="BJF5" s="1304"/>
      <c r="BJG5" s="1304"/>
      <c r="BJH5" s="1304"/>
      <c r="BJI5" s="1304"/>
      <c r="BJJ5" s="1304"/>
      <c r="BJK5" s="1304"/>
      <c r="BJL5" s="1304"/>
      <c r="BJM5" s="1304"/>
      <c r="BJN5" s="1304"/>
      <c r="BJO5" s="1304"/>
      <c r="BJP5" s="1304"/>
      <c r="BJQ5" s="1304"/>
      <c r="BJR5" s="1304"/>
      <c r="BJS5" s="1304"/>
      <c r="BJT5" s="1304"/>
      <c r="BJU5" s="1304"/>
      <c r="BJV5" s="1304"/>
      <c r="BJW5" s="1304"/>
      <c r="BJX5" s="1304"/>
      <c r="BJY5" s="1304"/>
      <c r="BJZ5" s="1304"/>
      <c r="BKA5" s="1304"/>
      <c r="BKB5" s="1304"/>
      <c r="BKC5" s="1304"/>
      <c r="BKD5" s="1304"/>
      <c r="BKE5" s="1304"/>
      <c r="BKF5" s="1304"/>
      <c r="BKG5" s="1304"/>
      <c r="BKH5" s="1304"/>
      <c r="BKI5" s="1304"/>
      <c r="BKJ5" s="1304"/>
      <c r="BKK5" s="1304"/>
      <c r="BKL5" s="1304"/>
      <c r="BKM5" s="1304"/>
      <c r="BKN5" s="1304"/>
      <c r="BKO5" s="1304"/>
      <c r="BKP5" s="1304"/>
      <c r="BKQ5" s="1304"/>
      <c r="BKR5" s="1304"/>
      <c r="BKS5" s="1304"/>
      <c r="BKT5" s="1304"/>
      <c r="BKU5" s="1304"/>
      <c r="BKV5" s="1304"/>
      <c r="BKW5" s="1304"/>
      <c r="BKX5" s="1304"/>
      <c r="BKY5" s="1304"/>
      <c r="BKZ5" s="1304"/>
      <c r="BLA5" s="1304"/>
      <c r="BLB5" s="1304"/>
      <c r="BLC5" s="1304"/>
      <c r="BLD5" s="1304"/>
      <c r="BLE5" s="1304"/>
      <c r="BLF5" s="1304"/>
      <c r="BLG5" s="1304"/>
      <c r="BLH5" s="1304"/>
      <c r="BLI5" s="1304"/>
      <c r="BLJ5" s="1304"/>
      <c r="BLK5" s="1304"/>
      <c r="BLL5" s="1304"/>
      <c r="BLM5" s="1304"/>
      <c r="BLN5" s="1304"/>
      <c r="BLO5" s="1304"/>
      <c r="BLP5" s="1304"/>
      <c r="BLQ5" s="1304"/>
      <c r="BLR5" s="1304"/>
      <c r="BLS5" s="1304"/>
      <c r="BLT5" s="1304"/>
      <c r="BLU5" s="1304"/>
      <c r="BLV5" s="1304"/>
      <c r="BLW5" s="1304"/>
      <c r="BLX5" s="1304"/>
      <c r="BLY5" s="1304"/>
      <c r="BLZ5" s="1304"/>
      <c r="BMA5" s="1304"/>
      <c r="BMB5" s="1304"/>
      <c r="BMC5" s="1304"/>
      <c r="BMD5" s="1304"/>
      <c r="BME5" s="1304"/>
      <c r="BMF5" s="1304"/>
      <c r="BMG5" s="1304"/>
      <c r="BMH5" s="1304"/>
      <c r="BMI5" s="1304"/>
      <c r="BMJ5" s="1304"/>
      <c r="BMK5" s="1304"/>
      <c r="BML5" s="1304"/>
      <c r="BMM5" s="1304"/>
      <c r="BMN5" s="1304"/>
      <c r="BMO5" s="1304"/>
      <c r="BMP5" s="1304"/>
      <c r="BMQ5" s="1304"/>
      <c r="BMR5" s="1304"/>
      <c r="BMS5" s="1304"/>
      <c r="BMT5" s="1304"/>
      <c r="BMU5" s="1304"/>
      <c r="BMV5" s="1304"/>
      <c r="BMW5" s="1304"/>
      <c r="BMX5" s="1304"/>
      <c r="BMY5" s="1304"/>
      <c r="BMZ5" s="1304"/>
      <c r="BNA5" s="1304"/>
      <c r="BNB5" s="1304"/>
      <c r="BNC5" s="1304"/>
      <c r="BND5" s="1304"/>
      <c r="BNE5" s="1304"/>
      <c r="BNF5" s="1304"/>
      <c r="BNG5" s="1304"/>
      <c r="BNH5" s="1304"/>
      <c r="BNI5" s="1304"/>
      <c r="BNJ5" s="1304"/>
      <c r="BNK5" s="1304"/>
      <c r="BNL5" s="1304"/>
      <c r="BNM5" s="1304"/>
      <c r="BNN5" s="1304"/>
      <c r="BNO5" s="1304"/>
      <c r="BNP5" s="1304"/>
      <c r="BNQ5" s="1304"/>
      <c r="BNR5" s="1304"/>
      <c r="BNS5" s="1304"/>
      <c r="BNT5" s="1304"/>
      <c r="BNU5" s="1304"/>
      <c r="BNV5" s="1304"/>
      <c r="BNW5" s="1304"/>
      <c r="BNX5" s="1304"/>
      <c r="BNY5" s="1304"/>
      <c r="BNZ5" s="1304"/>
      <c r="BOA5" s="1304"/>
      <c r="BOB5" s="1304"/>
      <c r="BOC5" s="1304"/>
      <c r="BOD5" s="1304"/>
      <c r="BOE5" s="1304"/>
      <c r="BOF5" s="1304"/>
      <c r="BOG5" s="1304"/>
      <c r="BOH5" s="1304"/>
      <c r="BOI5" s="1304"/>
      <c r="BOJ5" s="1304"/>
      <c r="BOK5" s="1304"/>
      <c r="BOL5" s="1304"/>
      <c r="BOM5" s="1304"/>
      <c r="BON5" s="1304"/>
      <c r="BOO5" s="1304"/>
      <c r="BOP5" s="1304"/>
      <c r="BOQ5" s="1304"/>
      <c r="BOR5" s="1304"/>
      <c r="BOS5" s="1304"/>
      <c r="BOT5" s="1304"/>
      <c r="BOU5" s="1304"/>
      <c r="BOV5" s="1304"/>
      <c r="BOW5" s="1304"/>
      <c r="BOX5" s="1304"/>
      <c r="BOY5" s="1304"/>
      <c r="BOZ5" s="1304"/>
      <c r="BPA5" s="1304"/>
      <c r="BPB5" s="1304"/>
      <c r="BPC5" s="1304"/>
      <c r="BPD5" s="1304"/>
      <c r="BPE5" s="1304"/>
      <c r="BPF5" s="1304"/>
      <c r="BPG5" s="1304"/>
      <c r="BPH5" s="1304"/>
      <c r="BPI5" s="1304"/>
      <c r="BPJ5" s="1304"/>
      <c r="BPK5" s="1304"/>
      <c r="BPL5" s="1304"/>
      <c r="BPM5" s="1304"/>
      <c r="BPN5" s="1304"/>
      <c r="BPO5" s="1304"/>
      <c r="BPP5" s="1304"/>
      <c r="BPQ5" s="1304"/>
      <c r="BPR5" s="1304"/>
      <c r="BPS5" s="1304"/>
      <c r="BPT5" s="1304"/>
      <c r="BPU5" s="1304"/>
      <c r="BPV5" s="1304"/>
      <c r="BPW5" s="1304"/>
      <c r="BPX5" s="1304"/>
      <c r="BPY5" s="1304"/>
      <c r="BPZ5" s="1304"/>
      <c r="BQA5" s="1304"/>
      <c r="BQB5" s="1304"/>
      <c r="BQC5" s="1304"/>
      <c r="BQD5" s="1304"/>
      <c r="BQE5" s="1304"/>
      <c r="BQF5" s="1304"/>
      <c r="BQG5" s="1304"/>
      <c r="BQH5" s="1304"/>
      <c r="BQI5" s="1304"/>
      <c r="BQJ5" s="1304"/>
      <c r="BQK5" s="1304"/>
      <c r="BQL5" s="1304"/>
      <c r="BQM5" s="1304"/>
      <c r="BQN5" s="1304"/>
      <c r="BQO5" s="1304"/>
      <c r="BQP5" s="1304"/>
      <c r="BQQ5" s="1304"/>
      <c r="BQR5" s="1304"/>
      <c r="BQS5" s="1304"/>
      <c r="BQT5" s="1304"/>
      <c r="BQU5" s="1304"/>
      <c r="BQV5" s="1304"/>
      <c r="BQW5" s="1304"/>
      <c r="BQX5" s="1304"/>
      <c r="BQY5" s="1304"/>
      <c r="BQZ5" s="1304"/>
      <c r="BRA5" s="1304"/>
      <c r="BRB5" s="1304"/>
      <c r="BRC5" s="1304"/>
      <c r="BRD5" s="1304"/>
      <c r="BRE5" s="1304"/>
      <c r="BRF5" s="1304"/>
      <c r="BRG5" s="1304"/>
      <c r="BRH5" s="1304"/>
      <c r="BRI5" s="1304"/>
      <c r="BRJ5" s="1304"/>
      <c r="BRK5" s="1304"/>
      <c r="BRL5" s="1304"/>
      <c r="BRM5" s="1304"/>
      <c r="BRN5" s="1304"/>
      <c r="BRO5" s="1304"/>
      <c r="BRP5" s="1304"/>
      <c r="BRQ5" s="1304"/>
      <c r="BRR5" s="1304"/>
      <c r="BRS5" s="1304"/>
      <c r="BRT5" s="1304"/>
      <c r="BRU5" s="1304"/>
      <c r="BRV5" s="1304"/>
      <c r="BRW5" s="1304"/>
      <c r="BRX5" s="1304"/>
      <c r="BRY5" s="1304"/>
      <c r="BRZ5" s="1304"/>
      <c r="BSA5" s="1304"/>
      <c r="BSB5" s="1304"/>
      <c r="BSC5" s="1304"/>
      <c r="BSD5" s="1304"/>
      <c r="BSE5" s="1304"/>
      <c r="BSF5" s="1304"/>
      <c r="BSG5" s="1304"/>
      <c r="BSH5" s="1304"/>
      <c r="BSI5" s="1304"/>
      <c r="BSJ5" s="1304"/>
      <c r="BSK5" s="1304"/>
      <c r="BSL5" s="1304"/>
      <c r="BSM5" s="1304"/>
      <c r="BSN5" s="1304"/>
      <c r="BSO5" s="1304"/>
      <c r="BSP5" s="1304"/>
      <c r="BSQ5" s="1304"/>
      <c r="BSR5" s="1304"/>
      <c r="BSS5" s="1304"/>
      <c r="BST5" s="1304"/>
      <c r="BSU5" s="1304"/>
      <c r="BSV5" s="1304"/>
      <c r="BSW5" s="1304"/>
      <c r="BSX5" s="1304"/>
      <c r="BSY5" s="1304"/>
      <c r="BSZ5" s="1304"/>
      <c r="BTA5" s="1304"/>
      <c r="BTB5" s="1304"/>
      <c r="BTC5" s="1304"/>
      <c r="BTD5" s="1304"/>
      <c r="BTE5" s="1304"/>
      <c r="BTF5" s="1304"/>
      <c r="BTG5" s="1304"/>
      <c r="BTH5" s="1304"/>
      <c r="BTI5" s="1304"/>
      <c r="BTJ5" s="1304"/>
      <c r="BTK5" s="1304"/>
      <c r="BTL5" s="1304"/>
      <c r="BTM5" s="1304"/>
      <c r="BTN5" s="1304"/>
      <c r="BTO5" s="1304"/>
      <c r="BTP5" s="1304"/>
      <c r="BTQ5" s="1304"/>
      <c r="BTR5" s="1304"/>
      <c r="BTS5" s="1304"/>
      <c r="BTT5" s="1304"/>
      <c r="BTU5" s="1304"/>
      <c r="BTV5" s="1304"/>
      <c r="BTW5" s="1304"/>
      <c r="BTX5" s="1304"/>
      <c r="BTY5" s="1304"/>
      <c r="BTZ5" s="1304"/>
      <c r="BUA5" s="1304"/>
      <c r="BUB5" s="1304"/>
      <c r="BUC5" s="1304"/>
      <c r="BUD5" s="1304"/>
      <c r="BUE5" s="1304"/>
      <c r="BUF5" s="1304"/>
      <c r="BUG5" s="1304"/>
      <c r="BUH5" s="1304"/>
      <c r="BUI5" s="1304"/>
      <c r="BUJ5" s="1304"/>
      <c r="BUK5" s="1304"/>
      <c r="BUL5" s="1304"/>
      <c r="BUM5" s="1304"/>
      <c r="BUN5" s="1304"/>
      <c r="BUO5" s="1304"/>
      <c r="BUP5" s="1304"/>
      <c r="BUQ5" s="1304"/>
      <c r="BUR5" s="1304"/>
      <c r="BUS5" s="1304"/>
      <c r="BUT5" s="1304"/>
      <c r="BUU5" s="1304"/>
      <c r="BUV5" s="1304"/>
      <c r="BUW5" s="1304"/>
      <c r="BUX5" s="1304"/>
      <c r="BUY5" s="1304"/>
      <c r="BUZ5" s="1304"/>
      <c r="BVA5" s="1304"/>
      <c r="BVB5" s="1304"/>
      <c r="BVC5" s="1304"/>
      <c r="BVD5" s="1304"/>
      <c r="BVE5" s="1304"/>
      <c r="BVF5" s="1304"/>
      <c r="BVG5" s="1304"/>
      <c r="BVH5" s="1304"/>
      <c r="BVI5" s="1304"/>
      <c r="BVJ5" s="1304"/>
      <c r="BVK5" s="1304"/>
      <c r="BVL5" s="1304"/>
      <c r="BVM5" s="1304"/>
      <c r="BVN5" s="1304"/>
      <c r="BVO5" s="1304"/>
      <c r="BVP5" s="1304"/>
      <c r="BVQ5" s="1304"/>
      <c r="BVR5" s="1304"/>
      <c r="BVS5" s="1304"/>
      <c r="BVT5" s="1304"/>
      <c r="BVU5" s="1304"/>
      <c r="BVV5" s="1304"/>
      <c r="BVW5" s="1304"/>
      <c r="BVX5" s="1304"/>
      <c r="BVY5" s="1304"/>
      <c r="BVZ5" s="1304"/>
      <c r="BWA5" s="1304"/>
      <c r="BWB5" s="1304"/>
      <c r="BWC5" s="1304"/>
      <c r="BWD5" s="1304"/>
      <c r="BWE5" s="1304"/>
      <c r="BWF5" s="1304"/>
      <c r="BWG5" s="1304"/>
      <c r="BWH5" s="1304"/>
      <c r="BWI5" s="1304"/>
      <c r="BWJ5" s="1304"/>
      <c r="BWK5" s="1304"/>
      <c r="BWL5" s="1304"/>
      <c r="BWM5" s="1304"/>
      <c r="BWN5" s="1304"/>
      <c r="BWO5" s="1304"/>
      <c r="BWP5" s="1304"/>
      <c r="BWQ5" s="1304"/>
      <c r="BWR5" s="1304"/>
      <c r="BWS5" s="1304"/>
      <c r="BWT5" s="1304"/>
      <c r="BWU5" s="1304"/>
      <c r="BWV5" s="1304"/>
      <c r="BWW5" s="1304"/>
      <c r="BWX5" s="1304"/>
      <c r="BWY5" s="1304"/>
      <c r="BWZ5" s="1304"/>
      <c r="BXA5" s="1304"/>
      <c r="BXB5" s="1304"/>
      <c r="BXC5" s="1304"/>
      <c r="BXD5" s="1304"/>
      <c r="BXE5" s="1304"/>
      <c r="BXF5" s="1304"/>
      <c r="BXG5" s="1304"/>
      <c r="BXH5" s="1304"/>
      <c r="BXI5" s="1304"/>
      <c r="BXJ5" s="1304"/>
      <c r="BXK5" s="1304"/>
      <c r="BXL5" s="1304"/>
      <c r="BXM5" s="1304"/>
      <c r="BXN5" s="1304"/>
      <c r="BXO5" s="1304"/>
      <c r="BXP5" s="1304"/>
      <c r="BXQ5" s="1304"/>
      <c r="BXR5" s="1304"/>
      <c r="BXS5" s="1304"/>
      <c r="BXT5" s="1304"/>
      <c r="BXU5" s="1304"/>
      <c r="BXV5" s="1304"/>
      <c r="BXW5" s="1304"/>
      <c r="BXX5" s="1304"/>
      <c r="BXY5" s="1304"/>
      <c r="BXZ5" s="1304"/>
      <c r="BYA5" s="1304"/>
      <c r="BYB5" s="1304"/>
      <c r="BYC5" s="1304"/>
      <c r="BYD5" s="1304"/>
      <c r="BYE5" s="1304"/>
      <c r="BYF5" s="1304"/>
      <c r="BYG5" s="1304"/>
      <c r="BYH5" s="1304"/>
      <c r="BYI5" s="1304"/>
      <c r="BYJ5" s="1304"/>
      <c r="BYK5" s="1304"/>
      <c r="BYL5" s="1304"/>
      <c r="BYM5" s="1304"/>
      <c r="BYN5" s="1304"/>
      <c r="BYO5" s="1304"/>
      <c r="BYP5" s="1304"/>
      <c r="BYQ5" s="1304"/>
      <c r="BYR5" s="1304"/>
      <c r="BYS5" s="1304"/>
      <c r="BYT5" s="1304"/>
      <c r="BYU5" s="1304"/>
      <c r="BYV5" s="1304"/>
      <c r="BYW5" s="1304"/>
      <c r="BYX5" s="1304"/>
      <c r="BYY5" s="1304"/>
      <c r="BYZ5" s="1304"/>
      <c r="BZA5" s="1304"/>
      <c r="BZB5" s="1304"/>
      <c r="BZC5" s="1304"/>
      <c r="BZD5" s="1304"/>
      <c r="BZE5" s="1304"/>
      <c r="BZF5" s="1304"/>
      <c r="BZG5" s="1304"/>
      <c r="BZH5" s="1304"/>
      <c r="BZI5" s="1304"/>
      <c r="BZJ5" s="1304"/>
      <c r="BZK5" s="1304"/>
      <c r="BZL5" s="1304"/>
      <c r="BZM5" s="1304"/>
      <c r="BZN5" s="1304"/>
      <c r="BZO5" s="1304"/>
      <c r="BZP5" s="1304"/>
      <c r="BZQ5" s="1304"/>
      <c r="BZR5" s="1304"/>
      <c r="BZS5" s="1304"/>
      <c r="BZT5" s="1304"/>
      <c r="BZU5" s="1304"/>
      <c r="BZV5" s="1304"/>
      <c r="BZW5" s="1304"/>
      <c r="BZX5" s="1304"/>
      <c r="BZY5" s="1304"/>
      <c r="BZZ5" s="1304"/>
      <c r="CAA5" s="1304"/>
      <c r="CAB5" s="1304"/>
      <c r="CAC5" s="1304"/>
      <c r="CAD5" s="1304"/>
      <c r="CAE5" s="1304"/>
      <c r="CAF5" s="1304"/>
      <c r="CAG5" s="1304"/>
      <c r="CAH5" s="1304"/>
      <c r="CAI5" s="1304"/>
      <c r="CAJ5" s="1304"/>
      <c r="CAK5" s="1304"/>
      <c r="CAL5" s="1304"/>
      <c r="CAM5" s="1304"/>
      <c r="CAN5" s="1304"/>
      <c r="CAO5" s="1304"/>
      <c r="CAP5" s="1304"/>
      <c r="CAQ5" s="1304"/>
      <c r="CAR5" s="1304"/>
      <c r="CAS5" s="1304"/>
      <c r="CAT5" s="1304"/>
      <c r="CAU5" s="1304"/>
      <c r="CAV5" s="1304"/>
      <c r="CAW5" s="1304"/>
      <c r="CAX5" s="1304"/>
      <c r="CAY5" s="1304"/>
      <c r="CAZ5" s="1304"/>
      <c r="CBA5" s="1304"/>
      <c r="CBB5" s="1304"/>
      <c r="CBC5" s="1304"/>
      <c r="CBD5" s="1304"/>
      <c r="CBE5" s="1304"/>
      <c r="CBF5" s="1304"/>
      <c r="CBG5" s="1304"/>
      <c r="CBH5" s="1304"/>
      <c r="CBI5" s="1304"/>
      <c r="CBJ5" s="1304"/>
      <c r="CBK5" s="1304"/>
      <c r="CBL5" s="1304"/>
      <c r="CBM5" s="1304"/>
      <c r="CBN5" s="1304"/>
      <c r="CBO5" s="1304"/>
      <c r="CBP5" s="1304"/>
      <c r="CBQ5" s="1304"/>
      <c r="CBR5" s="1304"/>
      <c r="CBS5" s="1304"/>
      <c r="CBT5" s="1304"/>
      <c r="CBU5" s="1304"/>
      <c r="CBV5" s="1304"/>
      <c r="CBW5" s="1304"/>
      <c r="CBX5" s="1304"/>
      <c r="CBY5" s="1304"/>
      <c r="CBZ5" s="1304"/>
      <c r="CCA5" s="1304"/>
      <c r="CCB5" s="1304"/>
      <c r="CCC5" s="1304"/>
      <c r="CCD5" s="1304"/>
      <c r="CCE5" s="1304"/>
      <c r="CCF5" s="1304"/>
      <c r="CCG5" s="1304"/>
      <c r="CCH5" s="1304"/>
      <c r="CCI5" s="1304"/>
      <c r="CCJ5" s="1304"/>
      <c r="CCK5" s="1304"/>
      <c r="CCL5" s="1304"/>
      <c r="CCM5" s="1304"/>
      <c r="CCN5" s="1304"/>
      <c r="CCO5" s="1304"/>
      <c r="CCP5" s="1304"/>
      <c r="CCQ5" s="1304"/>
      <c r="CCR5" s="1304"/>
      <c r="CCS5" s="1304"/>
      <c r="CCT5" s="1304"/>
      <c r="CCU5" s="1304"/>
      <c r="CCV5" s="1304"/>
      <c r="CCW5" s="1304"/>
      <c r="CCX5" s="1304"/>
      <c r="CCY5" s="1304"/>
      <c r="CCZ5" s="1304"/>
      <c r="CDA5" s="1304"/>
      <c r="CDB5" s="1304"/>
      <c r="CDC5" s="1304"/>
      <c r="CDD5" s="1304"/>
      <c r="CDE5" s="1304"/>
      <c r="CDF5" s="1304"/>
      <c r="CDG5" s="1304"/>
      <c r="CDH5" s="1304"/>
      <c r="CDI5" s="1304"/>
      <c r="CDJ5" s="1304"/>
      <c r="CDK5" s="1304"/>
      <c r="CDL5" s="1304"/>
      <c r="CDM5" s="1304"/>
      <c r="CDN5" s="1304"/>
      <c r="CDO5" s="1304"/>
      <c r="CDP5" s="1304"/>
      <c r="CDQ5" s="1304"/>
      <c r="CDR5" s="1304"/>
      <c r="CDS5" s="1304"/>
      <c r="CDT5" s="1304"/>
      <c r="CDU5" s="1304"/>
      <c r="CDV5" s="1304"/>
      <c r="CDW5" s="1304"/>
      <c r="CDX5" s="1304"/>
      <c r="CDY5" s="1304"/>
      <c r="CDZ5" s="1304"/>
      <c r="CEA5" s="1304"/>
      <c r="CEB5" s="1304"/>
      <c r="CEC5" s="1304"/>
      <c r="CED5" s="1304"/>
      <c r="CEE5" s="1304"/>
      <c r="CEF5" s="1304"/>
      <c r="CEG5" s="1304"/>
      <c r="CEH5" s="1304"/>
      <c r="CEI5" s="1304"/>
      <c r="CEJ5" s="1304"/>
      <c r="CEK5" s="1304"/>
      <c r="CEL5" s="1304"/>
      <c r="CEM5" s="1304"/>
      <c r="CEN5" s="1304"/>
      <c r="CEO5" s="1304"/>
      <c r="CEP5" s="1304"/>
      <c r="CEQ5" s="1304"/>
      <c r="CER5" s="1304"/>
      <c r="CES5" s="1304"/>
      <c r="CET5" s="1304"/>
      <c r="CEU5" s="1304"/>
      <c r="CEV5" s="1304"/>
      <c r="CEW5" s="1304"/>
      <c r="CEX5" s="1304"/>
      <c r="CEY5" s="1304"/>
      <c r="CEZ5" s="1304"/>
      <c r="CFA5" s="1304"/>
      <c r="CFB5" s="1304"/>
      <c r="CFC5" s="1304"/>
      <c r="CFD5" s="1304"/>
      <c r="CFE5" s="1304"/>
      <c r="CFF5" s="1304"/>
      <c r="CFG5" s="1304"/>
      <c r="CFH5" s="1304"/>
      <c r="CFI5" s="1304"/>
      <c r="CFJ5" s="1304"/>
      <c r="CFK5" s="1304"/>
      <c r="CFL5" s="1304"/>
      <c r="CFM5" s="1304"/>
      <c r="CFN5" s="1304"/>
      <c r="CFO5" s="1304"/>
      <c r="CFP5" s="1304"/>
      <c r="CFQ5" s="1304"/>
      <c r="CFR5" s="1304"/>
      <c r="CFS5" s="1304"/>
      <c r="CFT5" s="1304"/>
      <c r="CFU5" s="1304"/>
      <c r="CFV5" s="1304"/>
      <c r="CFW5" s="1304"/>
      <c r="CFX5" s="1304"/>
      <c r="CFY5" s="1304"/>
      <c r="CFZ5" s="1304"/>
      <c r="CGA5" s="1304"/>
      <c r="CGB5" s="1304"/>
      <c r="CGC5" s="1304"/>
      <c r="CGD5" s="1304"/>
      <c r="CGE5" s="1304"/>
      <c r="CGF5" s="1304"/>
      <c r="CGG5" s="1304"/>
      <c r="CGH5" s="1304"/>
      <c r="CGI5" s="1304"/>
      <c r="CGJ5" s="1304"/>
      <c r="CGK5" s="1304"/>
      <c r="CGL5" s="1304"/>
      <c r="CGM5" s="1304"/>
      <c r="CGN5" s="1304"/>
      <c r="CGO5" s="1304"/>
      <c r="CGP5" s="1304"/>
      <c r="CGQ5" s="1304"/>
      <c r="CGR5" s="1304"/>
      <c r="CGS5" s="1304"/>
      <c r="CGT5" s="1304"/>
      <c r="CGU5" s="1304"/>
      <c r="CGV5" s="1304"/>
      <c r="CGW5" s="1304"/>
      <c r="CGX5" s="1304"/>
      <c r="CGY5" s="1304"/>
      <c r="CGZ5" s="1304"/>
      <c r="CHA5" s="1304"/>
      <c r="CHB5" s="1304"/>
      <c r="CHC5" s="1304"/>
      <c r="CHD5" s="1304"/>
      <c r="CHE5" s="1304"/>
      <c r="CHF5" s="1304"/>
      <c r="CHG5" s="1304"/>
      <c r="CHH5" s="1304"/>
      <c r="CHI5" s="1304"/>
      <c r="CHJ5" s="1304"/>
      <c r="CHK5" s="1304"/>
      <c r="CHL5" s="1304"/>
      <c r="CHM5" s="1304"/>
      <c r="CHN5" s="1304"/>
      <c r="CHO5" s="1304"/>
      <c r="CHP5" s="1304"/>
      <c r="CHQ5" s="1304"/>
      <c r="CHR5" s="1304"/>
      <c r="CHS5" s="1304"/>
      <c r="CHT5" s="1304"/>
      <c r="CHU5" s="1304"/>
      <c r="CHV5" s="1304"/>
      <c r="CHW5" s="1304"/>
      <c r="CHX5" s="1304"/>
      <c r="CHY5" s="1304"/>
      <c r="CHZ5" s="1304"/>
      <c r="CIA5" s="1304"/>
      <c r="CIB5" s="1304"/>
      <c r="CIC5" s="1304"/>
      <c r="CID5" s="1304"/>
      <c r="CIE5" s="1304"/>
      <c r="CIF5" s="1304"/>
      <c r="CIG5" s="1304"/>
      <c r="CIH5" s="1304"/>
      <c r="CII5" s="1304"/>
      <c r="CIJ5" s="1304"/>
      <c r="CIK5" s="1304"/>
      <c r="CIL5" s="1304"/>
      <c r="CIM5" s="1304"/>
      <c r="CIN5" s="1304"/>
      <c r="CIO5" s="1304"/>
      <c r="CIP5" s="1304"/>
      <c r="CIQ5" s="1304"/>
      <c r="CIR5" s="1304"/>
      <c r="CIS5" s="1304"/>
      <c r="CIT5" s="1304"/>
      <c r="CIU5" s="1304"/>
      <c r="CIV5" s="1304"/>
      <c r="CIW5" s="1304"/>
      <c r="CIX5" s="1304"/>
      <c r="CIY5" s="1304"/>
      <c r="CIZ5" s="1304"/>
      <c r="CJA5" s="1304"/>
      <c r="CJB5" s="1304"/>
      <c r="CJC5" s="1304"/>
      <c r="CJD5" s="1304"/>
      <c r="CJE5" s="1304"/>
      <c r="CJF5" s="1304"/>
      <c r="CJG5" s="1304"/>
      <c r="CJH5" s="1304"/>
      <c r="CJI5" s="1304"/>
      <c r="CJJ5" s="1304"/>
      <c r="CJK5" s="1304"/>
      <c r="CJL5" s="1304"/>
      <c r="CJM5" s="1304"/>
      <c r="CJN5" s="1304"/>
      <c r="CJO5" s="1304"/>
      <c r="CJP5" s="1304"/>
      <c r="CJQ5" s="1304"/>
      <c r="CJR5" s="1304"/>
      <c r="CJS5" s="1304"/>
      <c r="CJT5" s="1304"/>
      <c r="CJU5" s="1304"/>
      <c r="CJV5" s="1304"/>
      <c r="CJW5" s="1304"/>
      <c r="CJX5" s="1304"/>
      <c r="CJY5" s="1304"/>
      <c r="CJZ5" s="1304"/>
      <c r="CKA5" s="1304"/>
      <c r="CKB5" s="1304"/>
      <c r="CKC5" s="1304"/>
      <c r="CKD5" s="1304"/>
      <c r="CKE5" s="1304"/>
      <c r="CKF5" s="1304"/>
      <c r="CKG5" s="1304"/>
      <c r="CKH5" s="1304"/>
      <c r="CKI5" s="1304"/>
      <c r="CKJ5" s="1304"/>
      <c r="CKK5" s="1304"/>
      <c r="CKL5" s="1304"/>
      <c r="CKM5" s="1304"/>
      <c r="CKN5" s="1304"/>
      <c r="CKO5" s="1304"/>
      <c r="CKP5" s="1304"/>
      <c r="CKQ5" s="1304"/>
      <c r="CKR5" s="1304"/>
      <c r="CKS5" s="1304"/>
      <c r="CKT5" s="1304"/>
      <c r="CKU5" s="1304"/>
      <c r="CKV5" s="1304"/>
      <c r="CKW5" s="1304"/>
      <c r="CKX5" s="1304"/>
      <c r="CKY5" s="1304"/>
      <c r="CKZ5" s="1304"/>
      <c r="CLA5" s="1304"/>
      <c r="CLB5" s="1304"/>
      <c r="CLC5" s="1304"/>
      <c r="CLD5" s="1304"/>
      <c r="CLE5" s="1304"/>
      <c r="CLF5" s="1304"/>
      <c r="CLG5" s="1304"/>
      <c r="CLH5" s="1304"/>
      <c r="CLI5" s="1304"/>
      <c r="CLJ5" s="1304"/>
      <c r="CLK5" s="1304"/>
      <c r="CLL5" s="1304"/>
      <c r="CLM5" s="1304"/>
      <c r="CLN5" s="1304"/>
      <c r="CLO5" s="1304"/>
      <c r="CLP5" s="1304"/>
      <c r="CLQ5" s="1304"/>
      <c r="CLR5" s="1304"/>
      <c r="CLS5" s="1304"/>
      <c r="CLT5" s="1304"/>
      <c r="CLU5" s="1304"/>
      <c r="CLV5" s="1304"/>
      <c r="CLW5" s="1304"/>
      <c r="CLX5" s="1304"/>
      <c r="CLY5" s="1304"/>
      <c r="CLZ5" s="1304"/>
      <c r="CMA5" s="1304"/>
      <c r="CMB5" s="1304"/>
      <c r="CMC5" s="1304"/>
      <c r="CMD5" s="1304"/>
      <c r="CME5" s="1304"/>
      <c r="CMF5" s="1304"/>
      <c r="CMG5" s="1304"/>
      <c r="CMH5" s="1304"/>
      <c r="CMI5" s="1304"/>
      <c r="CMJ5" s="1304"/>
      <c r="CMK5" s="1304"/>
      <c r="CML5" s="1304"/>
      <c r="CMM5" s="1304"/>
      <c r="CMN5" s="1304"/>
      <c r="CMO5" s="1304"/>
      <c r="CMP5" s="1304"/>
      <c r="CMQ5" s="1304"/>
      <c r="CMR5" s="1304"/>
      <c r="CMS5" s="1304"/>
      <c r="CMT5" s="1304"/>
      <c r="CMU5" s="1304"/>
      <c r="CMV5" s="1304"/>
      <c r="CMW5" s="1304"/>
      <c r="CMX5" s="1304"/>
      <c r="CMY5" s="1304"/>
      <c r="CMZ5" s="1304"/>
      <c r="CNA5" s="1304"/>
      <c r="CNB5" s="1304"/>
      <c r="CNC5" s="1304"/>
      <c r="CND5" s="1304"/>
      <c r="CNE5" s="1304"/>
      <c r="CNF5" s="1304"/>
      <c r="CNG5" s="1304"/>
      <c r="CNH5" s="1304"/>
      <c r="CNI5" s="1304"/>
      <c r="CNJ5" s="1304"/>
      <c r="CNK5" s="1304"/>
      <c r="CNL5" s="1304"/>
      <c r="CNM5" s="1304"/>
      <c r="CNN5" s="1304"/>
      <c r="CNO5" s="1304"/>
      <c r="CNP5" s="1304"/>
      <c r="CNQ5" s="1304"/>
      <c r="CNR5" s="1304"/>
      <c r="CNS5" s="1304"/>
      <c r="CNT5" s="1304"/>
      <c r="CNU5" s="1304"/>
      <c r="CNV5" s="1304"/>
      <c r="CNW5" s="1304"/>
      <c r="CNX5" s="1304"/>
      <c r="CNY5" s="1304"/>
      <c r="CNZ5" s="1304"/>
      <c r="COA5" s="1304"/>
      <c r="COB5" s="1304"/>
      <c r="COC5" s="1304"/>
      <c r="COD5" s="1304"/>
      <c r="COE5" s="1304"/>
      <c r="COF5" s="1304"/>
      <c r="COG5" s="1304"/>
      <c r="COH5" s="1304"/>
      <c r="COI5" s="1304"/>
      <c r="COJ5" s="1304"/>
      <c r="COK5" s="1304"/>
      <c r="COL5" s="1304"/>
      <c r="COM5" s="1304"/>
      <c r="CON5" s="1304"/>
      <c r="COO5" s="1304"/>
      <c r="COP5" s="1304"/>
      <c r="COQ5" s="1304"/>
      <c r="COR5" s="1304"/>
      <c r="COS5" s="1304"/>
      <c r="COT5" s="1304"/>
      <c r="COU5" s="1304"/>
      <c r="COV5" s="1304"/>
      <c r="COW5" s="1304"/>
      <c r="COX5" s="1304"/>
      <c r="COY5" s="1304"/>
      <c r="COZ5" s="1304"/>
      <c r="CPA5" s="1304"/>
      <c r="CPB5" s="1304"/>
      <c r="CPC5" s="1304"/>
      <c r="CPD5" s="1304"/>
      <c r="CPE5" s="1304"/>
      <c r="CPF5" s="1304"/>
      <c r="CPG5" s="1304"/>
      <c r="CPH5" s="1304"/>
      <c r="CPI5" s="1304"/>
      <c r="CPJ5" s="1304"/>
      <c r="CPK5" s="1304"/>
      <c r="CPL5" s="1304"/>
      <c r="CPM5" s="1304"/>
      <c r="CPN5" s="1304"/>
      <c r="CPO5" s="1304"/>
      <c r="CPP5" s="1304"/>
      <c r="CPQ5" s="1304"/>
      <c r="CPR5" s="1304"/>
      <c r="CPS5" s="1304"/>
      <c r="CPT5" s="1304"/>
      <c r="CPU5" s="1304"/>
      <c r="CPV5" s="1304"/>
      <c r="CPW5" s="1304"/>
      <c r="CPX5" s="1304"/>
      <c r="CPY5" s="1304"/>
      <c r="CPZ5" s="1304"/>
      <c r="CQA5" s="1304"/>
      <c r="CQB5" s="1304"/>
      <c r="CQC5" s="1304"/>
      <c r="CQD5" s="1304"/>
      <c r="CQE5" s="1304"/>
      <c r="CQF5" s="1304"/>
      <c r="CQG5" s="1304"/>
      <c r="CQH5" s="1304"/>
      <c r="CQI5" s="1304"/>
      <c r="CQJ5" s="1304"/>
      <c r="CQK5" s="1304"/>
      <c r="CQL5" s="1304"/>
      <c r="CQM5" s="1304"/>
      <c r="CQN5" s="1304"/>
      <c r="CQO5" s="1304"/>
      <c r="CQP5" s="1304"/>
      <c r="CQQ5" s="1304"/>
      <c r="CQR5" s="1304"/>
      <c r="CQS5" s="1304"/>
      <c r="CQT5" s="1304"/>
      <c r="CQU5" s="1304"/>
      <c r="CQV5" s="1304"/>
      <c r="CQW5" s="1304"/>
      <c r="CQX5" s="1304"/>
      <c r="CQY5" s="1304"/>
      <c r="CQZ5" s="1304"/>
      <c r="CRA5" s="1304"/>
      <c r="CRB5" s="1304"/>
      <c r="CRC5" s="1304"/>
      <c r="CRD5" s="1304"/>
      <c r="CRE5" s="1304"/>
      <c r="CRF5" s="1304"/>
      <c r="CRG5" s="1304"/>
      <c r="CRH5" s="1304"/>
      <c r="CRI5" s="1304"/>
      <c r="CRJ5" s="1304"/>
      <c r="CRK5" s="1304"/>
      <c r="CRL5" s="1304"/>
      <c r="CRM5" s="1304"/>
      <c r="CRN5" s="1304"/>
      <c r="CRO5" s="1304"/>
      <c r="CRP5" s="1304"/>
      <c r="CRQ5" s="1304"/>
      <c r="CRR5" s="1304"/>
      <c r="CRS5" s="1304"/>
      <c r="CRT5" s="1304"/>
      <c r="CRU5" s="1304"/>
      <c r="CRV5" s="1304"/>
      <c r="CRW5" s="1304"/>
      <c r="CRX5" s="1304"/>
      <c r="CRY5" s="1304"/>
      <c r="CRZ5" s="1304"/>
      <c r="CSA5" s="1304"/>
      <c r="CSB5" s="1304"/>
      <c r="CSC5" s="1304"/>
      <c r="CSD5" s="1304"/>
      <c r="CSE5" s="1304"/>
      <c r="CSF5" s="1304"/>
      <c r="CSG5" s="1304"/>
      <c r="CSH5" s="1304"/>
      <c r="CSI5" s="1304"/>
      <c r="CSJ5" s="1304"/>
      <c r="CSK5" s="1304"/>
      <c r="CSL5" s="1304"/>
      <c r="CSM5" s="1304"/>
      <c r="CSN5" s="1304"/>
      <c r="CSO5" s="1304"/>
      <c r="CSP5" s="1304"/>
      <c r="CSQ5" s="1304"/>
      <c r="CSR5" s="1304"/>
      <c r="CSS5" s="1304"/>
      <c r="CST5" s="1304"/>
      <c r="CSU5" s="1304"/>
      <c r="CSV5" s="1304"/>
      <c r="CSW5" s="1304"/>
      <c r="CSX5" s="1304"/>
      <c r="CSY5" s="1304"/>
      <c r="CSZ5" s="1304"/>
      <c r="CTA5" s="1304"/>
      <c r="CTB5" s="1304"/>
      <c r="CTC5" s="1304"/>
      <c r="CTD5" s="1304"/>
      <c r="CTE5" s="1304"/>
      <c r="CTF5" s="1304"/>
      <c r="CTG5" s="1304"/>
      <c r="CTH5" s="1304"/>
      <c r="CTI5" s="1304"/>
      <c r="CTJ5" s="1304"/>
      <c r="CTK5" s="1304"/>
      <c r="CTL5" s="1304"/>
      <c r="CTM5" s="1304"/>
      <c r="CTN5" s="1304"/>
      <c r="CTO5" s="1304"/>
      <c r="CTP5" s="1304"/>
      <c r="CTQ5" s="1304"/>
      <c r="CTR5" s="1304"/>
      <c r="CTS5" s="1304"/>
      <c r="CTT5" s="1304"/>
      <c r="CTU5" s="1304"/>
      <c r="CTV5" s="1304"/>
      <c r="CTW5" s="1304"/>
      <c r="CTX5" s="1304"/>
      <c r="CTY5" s="1304"/>
      <c r="CTZ5" s="1304"/>
      <c r="CUA5" s="1304"/>
      <c r="CUB5" s="1304"/>
      <c r="CUC5" s="1304"/>
      <c r="CUD5" s="1304"/>
      <c r="CUE5" s="1304"/>
      <c r="CUF5" s="1304"/>
      <c r="CUG5" s="1304"/>
      <c r="CUH5" s="1304"/>
      <c r="CUI5" s="1304"/>
      <c r="CUJ5" s="1304"/>
      <c r="CUK5" s="1304"/>
      <c r="CUL5" s="1304"/>
      <c r="CUM5" s="1304"/>
      <c r="CUN5" s="1304"/>
      <c r="CUO5" s="1304"/>
      <c r="CUP5" s="1304"/>
      <c r="CUQ5" s="1304"/>
      <c r="CUR5" s="1304"/>
      <c r="CUS5" s="1304"/>
      <c r="CUT5" s="1304"/>
      <c r="CUU5" s="1304"/>
      <c r="CUV5" s="1304"/>
      <c r="CUW5" s="1304"/>
      <c r="CUX5" s="1304"/>
      <c r="CUY5" s="1304"/>
      <c r="CUZ5" s="1304"/>
      <c r="CVA5" s="1304"/>
      <c r="CVB5" s="1304"/>
      <c r="CVC5" s="1304"/>
      <c r="CVD5" s="1304"/>
      <c r="CVE5" s="1304"/>
      <c r="CVF5" s="1304"/>
      <c r="CVG5" s="1304"/>
      <c r="CVH5" s="1304"/>
      <c r="CVI5" s="1304"/>
      <c r="CVJ5" s="1304"/>
      <c r="CVK5" s="1304"/>
      <c r="CVL5" s="1304"/>
      <c r="CVM5" s="1304"/>
      <c r="CVN5" s="1304"/>
      <c r="CVO5" s="1304"/>
      <c r="CVP5" s="1304"/>
      <c r="CVQ5" s="1304"/>
      <c r="CVR5" s="1304"/>
      <c r="CVS5" s="1304"/>
      <c r="CVT5" s="1304"/>
      <c r="CVU5" s="1304"/>
      <c r="CVV5" s="1304"/>
      <c r="CVW5" s="1304"/>
      <c r="CVX5" s="1304"/>
      <c r="CVY5" s="1304"/>
      <c r="CVZ5" s="1304"/>
      <c r="CWA5" s="1304"/>
      <c r="CWB5" s="1304"/>
      <c r="CWC5" s="1304"/>
      <c r="CWD5" s="1304"/>
      <c r="CWE5" s="1304"/>
      <c r="CWF5" s="1304"/>
      <c r="CWG5" s="1304"/>
      <c r="CWH5" s="1304"/>
      <c r="CWI5" s="1304"/>
      <c r="CWJ5" s="1304"/>
      <c r="CWK5" s="1304"/>
      <c r="CWL5" s="1304"/>
      <c r="CWM5" s="1304"/>
      <c r="CWN5" s="1304"/>
      <c r="CWO5" s="1304"/>
      <c r="CWP5" s="1304"/>
      <c r="CWQ5" s="1304"/>
      <c r="CWR5" s="1304"/>
      <c r="CWS5" s="1304"/>
      <c r="CWT5" s="1304"/>
      <c r="CWU5" s="1304"/>
      <c r="CWV5" s="1304"/>
      <c r="CWW5" s="1304"/>
      <c r="CWX5" s="1304"/>
      <c r="CWY5" s="1304"/>
      <c r="CWZ5" s="1304"/>
      <c r="CXA5" s="1304"/>
      <c r="CXB5" s="1304"/>
      <c r="CXC5" s="1304"/>
      <c r="CXD5" s="1304"/>
      <c r="CXE5" s="1304"/>
      <c r="CXF5" s="1304"/>
      <c r="CXG5" s="1304"/>
      <c r="CXH5" s="1304"/>
      <c r="CXI5" s="1304"/>
      <c r="CXJ5" s="1304"/>
      <c r="CXK5" s="1304"/>
      <c r="CXL5" s="1304"/>
      <c r="CXM5" s="1304"/>
      <c r="CXN5" s="1304"/>
      <c r="CXO5" s="1304"/>
      <c r="CXP5" s="1304"/>
      <c r="CXQ5" s="1304"/>
      <c r="CXR5" s="1304"/>
      <c r="CXS5" s="1304"/>
      <c r="CXT5" s="1304"/>
      <c r="CXU5" s="1304"/>
      <c r="CXV5" s="1304"/>
      <c r="CXW5" s="1304"/>
      <c r="CXX5" s="1304"/>
      <c r="CXY5" s="1304"/>
      <c r="CXZ5" s="1304"/>
      <c r="CYA5" s="1304"/>
      <c r="CYB5" s="1304"/>
      <c r="CYC5" s="1304"/>
      <c r="CYD5" s="1304"/>
      <c r="CYE5" s="1304"/>
      <c r="CYF5" s="1304"/>
      <c r="CYG5" s="1304"/>
      <c r="CYH5" s="1304"/>
      <c r="CYI5" s="1304"/>
      <c r="CYJ5" s="1304"/>
      <c r="CYK5" s="1304"/>
      <c r="CYL5" s="1304"/>
      <c r="CYM5" s="1304"/>
      <c r="CYN5" s="1304"/>
      <c r="CYO5" s="1304"/>
      <c r="CYP5" s="1304"/>
      <c r="CYQ5" s="1304"/>
      <c r="CYR5" s="1304"/>
      <c r="CYS5" s="1304"/>
      <c r="CYT5" s="1304"/>
      <c r="CYU5" s="1304"/>
      <c r="CYV5" s="1304"/>
      <c r="CYW5" s="1304"/>
      <c r="CYX5" s="1304"/>
      <c r="CYY5" s="1304"/>
      <c r="CYZ5" s="1304"/>
      <c r="CZA5" s="1304"/>
      <c r="CZB5" s="1304"/>
      <c r="CZC5" s="1304"/>
      <c r="CZD5" s="1304"/>
      <c r="CZE5" s="1304"/>
      <c r="CZF5" s="1304"/>
      <c r="CZG5" s="1304"/>
      <c r="CZH5" s="1304"/>
      <c r="CZI5" s="1304"/>
      <c r="CZJ5" s="1304"/>
      <c r="CZK5" s="1304"/>
      <c r="CZL5" s="1304"/>
      <c r="CZM5" s="1304"/>
      <c r="CZN5" s="1304"/>
      <c r="CZO5" s="1304"/>
      <c r="CZP5" s="1304"/>
      <c r="CZQ5" s="1304"/>
      <c r="CZR5" s="1304"/>
      <c r="CZS5" s="1304"/>
      <c r="CZT5" s="1304"/>
      <c r="CZU5" s="1304"/>
      <c r="CZV5" s="1304"/>
      <c r="CZW5" s="1304"/>
      <c r="CZX5" s="1304"/>
      <c r="CZY5" s="1304"/>
      <c r="CZZ5" s="1304"/>
      <c r="DAA5" s="1304"/>
      <c r="DAB5" s="1304"/>
      <c r="DAC5" s="1304"/>
      <c r="DAD5" s="1304"/>
      <c r="DAE5" s="1304"/>
      <c r="DAF5" s="1304"/>
      <c r="DAG5" s="1304"/>
      <c r="DAH5" s="1304"/>
      <c r="DAI5" s="1304"/>
      <c r="DAJ5" s="1304"/>
      <c r="DAK5" s="1304"/>
      <c r="DAL5" s="1304"/>
      <c r="DAM5" s="1304"/>
      <c r="DAN5" s="1304"/>
      <c r="DAO5" s="1304"/>
      <c r="DAP5" s="1304"/>
      <c r="DAQ5" s="1304"/>
      <c r="DAR5" s="1304"/>
      <c r="DAS5" s="1304"/>
      <c r="DAT5" s="1304"/>
      <c r="DAU5" s="1304"/>
      <c r="DAV5" s="1304"/>
      <c r="DAW5" s="1304"/>
      <c r="DAX5" s="1304"/>
      <c r="DAY5" s="1304"/>
      <c r="DAZ5" s="1304"/>
      <c r="DBA5" s="1304"/>
      <c r="DBB5" s="1304"/>
      <c r="DBC5" s="1304"/>
      <c r="DBD5" s="1304"/>
      <c r="DBE5" s="1304"/>
      <c r="DBF5" s="1304"/>
      <c r="DBG5" s="1304"/>
      <c r="DBH5" s="1304"/>
      <c r="DBI5" s="1304"/>
      <c r="DBJ5" s="1304"/>
      <c r="DBK5" s="1304"/>
      <c r="DBL5" s="1304"/>
      <c r="DBM5" s="1304"/>
      <c r="DBN5" s="1304"/>
      <c r="DBO5" s="1304"/>
      <c r="DBP5" s="1304"/>
      <c r="DBQ5" s="1304"/>
      <c r="DBR5" s="1304"/>
      <c r="DBS5" s="1304"/>
      <c r="DBT5" s="1304"/>
      <c r="DBU5" s="1304"/>
      <c r="DBV5" s="1304"/>
      <c r="DBW5" s="1304"/>
      <c r="DBX5" s="1304"/>
      <c r="DBY5" s="1304"/>
      <c r="DBZ5" s="1304"/>
      <c r="DCA5" s="1304"/>
      <c r="DCB5" s="1304"/>
      <c r="DCC5" s="1304"/>
      <c r="DCD5" s="1304"/>
      <c r="DCE5" s="1304"/>
      <c r="DCF5" s="1304"/>
      <c r="DCG5" s="1304"/>
      <c r="DCH5" s="1304"/>
      <c r="DCI5" s="1304"/>
      <c r="DCJ5" s="1304"/>
      <c r="DCK5" s="1304"/>
      <c r="DCL5" s="1304"/>
      <c r="DCM5" s="1304"/>
      <c r="DCN5" s="1304"/>
      <c r="DCO5" s="1304"/>
      <c r="DCP5" s="1304"/>
      <c r="DCQ5" s="1304"/>
      <c r="DCR5" s="1304"/>
      <c r="DCS5" s="1304"/>
      <c r="DCT5" s="1304"/>
      <c r="DCU5" s="1304"/>
      <c r="DCV5" s="1304"/>
      <c r="DCW5" s="1304"/>
      <c r="DCX5" s="1304"/>
      <c r="DCY5" s="1304"/>
      <c r="DCZ5" s="1304"/>
      <c r="DDA5" s="1304"/>
      <c r="DDB5" s="1304"/>
      <c r="DDC5" s="1304"/>
      <c r="DDD5" s="1304"/>
      <c r="DDE5" s="1304"/>
      <c r="DDF5" s="1304"/>
      <c r="DDG5" s="1304"/>
      <c r="DDH5" s="1304"/>
      <c r="DDI5" s="1304"/>
      <c r="DDJ5" s="1304"/>
      <c r="DDK5" s="1304"/>
      <c r="DDL5" s="1304"/>
      <c r="DDM5" s="1304"/>
      <c r="DDN5" s="1304"/>
      <c r="DDO5" s="1304"/>
      <c r="DDP5" s="1304"/>
      <c r="DDQ5" s="1304"/>
      <c r="DDR5" s="1304"/>
      <c r="DDS5" s="1304"/>
      <c r="DDT5" s="1304"/>
      <c r="DDU5" s="1304"/>
      <c r="DDV5" s="1304"/>
      <c r="DDW5" s="1304"/>
      <c r="DDX5" s="1304"/>
      <c r="DDY5" s="1304"/>
      <c r="DDZ5" s="1304"/>
      <c r="DEA5" s="1304"/>
      <c r="DEB5" s="1304"/>
      <c r="DEC5" s="1304"/>
      <c r="DED5" s="1304"/>
      <c r="DEE5" s="1304"/>
      <c r="DEF5" s="1304"/>
      <c r="DEG5" s="1304"/>
      <c r="DEH5" s="1304"/>
      <c r="DEI5" s="1304"/>
      <c r="DEJ5" s="1304"/>
      <c r="DEK5" s="1304"/>
      <c r="DEL5" s="1304"/>
      <c r="DEM5" s="1304"/>
      <c r="DEN5" s="1304"/>
      <c r="DEO5" s="1304"/>
      <c r="DEP5" s="1304"/>
      <c r="DEQ5" s="1304"/>
      <c r="DER5" s="1304"/>
      <c r="DES5" s="1304"/>
      <c r="DET5" s="1304"/>
      <c r="DEU5" s="1304"/>
      <c r="DEV5" s="1304"/>
      <c r="DEW5" s="1304"/>
      <c r="DEX5" s="1304"/>
      <c r="DEY5" s="1304"/>
      <c r="DEZ5" s="1304"/>
      <c r="DFA5" s="1304"/>
      <c r="DFB5" s="1304"/>
      <c r="DFC5" s="1304"/>
      <c r="DFD5" s="1304"/>
      <c r="DFE5" s="1304"/>
      <c r="DFF5" s="1304"/>
      <c r="DFG5" s="1304"/>
      <c r="DFH5" s="1304"/>
      <c r="DFI5" s="1304"/>
      <c r="DFJ5" s="1304"/>
      <c r="DFK5" s="1304"/>
      <c r="DFL5" s="1304"/>
      <c r="DFM5" s="1304"/>
      <c r="DFN5" s="1304"/>
      <c r="DFO5" s="1304"/>
      <c r="DFP5" s="1304"/>
      <c r="DFQ5" s="1304"/>
      <c r="DFR5" s="1304"/>
      <c r="DFS5" s="1304"/>
      <c r="DFT5" s="1304"/>
      <c r="DFU5" s="1304"/>
      <c r="DFV5" s="1304"/>
      <c r="DFW5" s="1304"/>
      <c r="DFX5" s="1304"/>
      <c r="DFY5" s="1304"/>
      <c r="DFZ5" s="1304"/>
      <c r="DGA5" s="1304"/>
      <c r="DGB5" s="1304"/>
      <c r="DGC5" s="1304"/>
      <c r="DGD5" s="1304"/>
      <c r="DGE5" s="1304"/>
      <c r="DGF5" s="1304"/>
      <c r="DGG5" s="1304"/>
      <c r="DGH5" s="1304"/>
      <c r="DGI5" s="1304"/>
      <c r="DGJ5" s="1304"/>
      <c r="DGK5" s="1304"/>
      <c r="DGL5" s="1304"/>
      <c r="DGM5" s="1304"/>
      <c r="DGN5" s="1304"/>
      <c r="DGO5" s="1304"/>
      <c r="DGP5" s="1304"/>
      <c r="DGQ5" s="1304"/>
      <c r="DGR5" s="1304"/>
      <c r="DGS5" s="1304"/>
      <c r="DGT5" s="1304"/>
      <c r="DGU5" s="1304"/>
      <c r="DGV5" s="1304"/>
      <c r="DGW5" s="1304"/>
      <c r="DGX5" s="1304"/>
      <c r="DGY5" s="1304"/>
      <c r="DGZ5" s="1304"/>
      <c r="DHA5" s="1304"/>
      <c r="DHB5" s="1304"/>
      <c r="DHC5" s="1304"/>
      <c r="DHD5" s="1304"/>
      <c r="DHE5" s="1304"/>
      <c r="DHF5" s="1304"/>
      <c r="DHG5" s="1304"/>
      <c r="DHH5" s="1304"/>
      <c r="DHI5" s="1304"/>
      <c r="DHJ5" s="1304"/>
      <c r="DHK5" s="1304"/>
      <c r="DHL5" s="1304"/>
      <c r="DHM5" s="1304"/>
      <c r="DHN5" s="1304"/>
      <c r="DHO5" s="1304"/>
      <c r="DHP5" s="1304"/>
      <c r="DHQ5" s="1304"/>
      <c r="DHR5" s="1304"/>
      <c r="DHS5" s="1304"/>
      <c r="DHT5" s="1304"/>
      <c r="DHU5" s="1304"/>
      <c r="DHV5" s="1304"/>
      <c r="DHW5" s="1304"/>
      <c r="DHX5" s="1304"/>
      <c r="DHY5" s="1304"/>
      <c r="DHZ5" s="1304"/>
      <c r="DIA5" s="1304"/>
      <c r="DIB5" s="1304"/>
      <c r="DIC5" s="1304"/>
      <c r="DID5" s="1304"/>
      <c r="DIE5" s="1304"/>
      <c r="DIF5" s="1304"/>
      <c r="DIG5" s="1304"/>
      <c r="DIH5" s="1304"/>
      <c r="DII5" s="1304"/>
      <c r="DIJ5" s="1304"/>
      <c r="DIK5" s="1304"/>
      <c r="DIL5" s="1304"/>
      <c r="DIM5" s="1304"/>
      <c r="DIN5" s="1304"/>
      <c r="DIO5" s="1304"/>
      <c r="DIP5" s="1304"/>
      <c r="DIQ5" s="1304"/>
      <c r="DIR5" s="1304"/>
      <c r="DIS5" s="1304"/>
      <c r="DIT5" s="1304"/>
      <c r="DIU5" s="1304"/>
      <c r="DIV5" s="1304"/>
      <c r="DIW5" s="1304"/>
      <c r="DIX5" s="1304"/>
      <c r="DIY5" s="1304"/>
      <c r="DIZ5" s="1304"/>
      <c r="DJA5" s="1304"/>
      <c r="DJB5" s="1304"/>
      <c r="DJC5" s="1304"/>
      <c r="DJD5" s="1304"/>
      <c r="DJE5" s="1304"/>
      <c r="DJF5" s="1304"/>
      <c r="DJG5" s="1304"/>
      <c r="DJH5" s="1304"/>
      <c r="DJI5" s="1304"/>
      <c r="DJJ5" s="1304"/>
      <c r="DJK5" s="1304"/>
      <c r="DJL5" s="1304"/>
      <c r="DJM5" s="1304"/>
      <c r="DJN5" s="1304"/>
      <c r="DJO5" s="1304"/>
      <c r="DJP5" s="1304"/>
      <c r="DJQ5" s="1304"/>
      <c r="DJR5" s="1304"/>
      <c r="DJS5" s="1304"/>
      <c r="DJT5" s="1304"/>
      <c r="DJU5" s="1304"/>
      <c r="DJV5" s="1304"/>
      <c r="DJW5" s="1304"/>
      <c r="DJX5" s="1304"/>
      <c r="DJY5" s="1304"/>
      <c r="DJZ5" s="1304"/>
      <c r="DKA5" s="1304"/>
      <c r="DKB5" s="1304"/>
      <c r="DKC5" s="1304"/>
      <c r="DKD5" s="1304"/>
      <c r="DKE5" s="1304"/>
      <c r="DKF5" s="1304"/>
      <c r="DKG5" s="1304"/>
      <c r="DKH5" s="1304"/>
      <c r="DKI5" s="1304"/>
      <c r="DKJ5" s="1304"/>
      <c r="DKK5" s="1304"/>
      <c r="DKL5" s="1304"/>
      <c r="DKM5" s="1304"/>
      <c r="DKN5" s="1304"/>
      <c r="DKO5" s="1304"/>
      <c r="DKP5" s="1304"/>
      <c r="DKQ5" s="1304"/>
      <c r="DKR5" s="1304"/>
      <c r="DKS5" s="1304"/>
      <c r="DKT5" s="1304"/>
      <c r="DKU5" s="1304"/>
      <c r="DKV5" s="1304"/>
      <c r="DKW5" s="1304"/>
      <c r="DKX5" s="1304"/>
      <c r="DKY5" s="1304"/>
      <c r="DKZ5" s="1304"/>
      <c r="DLA5" s="1304"/>
      <c r="DLB5" s="1304"/>
      <c r="DLC5" s="1304"/>
      <c r="DLD5" s="1304"/>
      <c r="DLE5" s="1304"/>
      <c r="DLF5" s="1304"/>
      <c r="DLG5" s="1304"/>
      <c r="DLH5" s="1304"/>
      <c r="DLI5" s="1304"/>
      <c r="DLJ5" s="1304"/>
      <c r="DLK5" s="1304"/>
      <c r="DLL5" s="1304"/>
      <c r="DLM5" s="1304"/>
      <c r="DLN5" s="1304"/>
      <c r="DLO5" s="1304"/>
      <c r="DLP5" s="1304"/>
      <c r="DLQ5" s="1304"/>
      <c r="DLR5" s="1304"/>
      <c r="DLS5" s="1304"/>
      <c r="DLT5" s="1304"/>
      <c r="DLU5" s="1304"/>
      <c r="DLV5" s="1304"/>
      <c r="DLW5" s="1304"/>
      <c r="DLX5" s="1304"/>
      <c r="DLY5" s="1304"/>
      <c r="DLZ5" s="1304"/>
      <c r="DMA5" s="1304"/>
      <c r="DMB5" s="1304"/>
      <c r="DMC5" s="1304"/>
      <c r="DMD5" s="1304"/>
      <c r="DME5" s="1304"/>
      <c r="DMF5" s="1304"/>
      <c r="DMG5" s="1304"/>
      <c r="DMH5" s="1304"/>
      <c r="DMI5" s="1304"/>
      <c r="DMJ5" s="1304"/>
      <c r="DMK5" s="1304"/>
      <c r="DML5" s="1304"/>
      <c r="DMM5" s="1304"/>
      <c r="DMN5" s="1304"/>
      <c r="DMO5" s="1304"/>
      <c r="DMP5" s="1304"/>
      <c r="DMQ5" s="1304"/>
      <c r="DMR5" s="1304"/>
      <c r="DMS5" s="1304"/>
      <c r="DMT5" s="1304"/>
      <c r="DMU5" s="1304"/>
      <c r="DMV5" s="1304"/>
      <c r="DMW5" s="1304"/>
      <c r="DMX5" s="1304"/>
      <c r="DMY5" s="1304"/>
      <c r="DMZ5" s="1304"/>
      <c r="DNA5" s="1304"/>
      <c r="DNB5" s="1304"/>
      <c r="DNC5" s="1304"/>
      <c r="DND5" s="1304"/>
      <c r="DNE5" s="1304"/>
      <c r="DNF5" s="1304"/>
      <c r="DNG5" s="1304"/>
      <c r="DNH5" s="1304"/>
      <c r="DNI5" s="1304"/>
      <c r="DNJ5" s="1304"/>
      <c r="DNK5" s="1304"/>
      <c r="DNL5" s="1304"/>
      <c r="DNM5" s="1304"/>
      <c r="DNN5" s="1304"/>
      <c r="DNO5" s="1304"/>
      <c r="DNP5" s="1304"/>
      <c r="DNQ5" s="1304"/>
      <c r="DNR5" s="1304"/>
      <c r="DNS5" s="1304"/>
      <c r="DNT5" s="1304"/>
      <c r="DNU5" s="1304"/>
      <c r="DNV5" s="1304"/>
      <c r="DNW5" s="1304"/>
      <c r="DNX5" s="1304"/>
      <c r="DNY5" s="1304"/>
      <c r="DNZ5" s="1304"/>
      <c r="DOA5" s="1304"/>
      <c r="DOB5" s="1304"/>
      <c r="DOC5" s="1304"/>
      <c r="DOD5" s="1304"/>
      <c r="DOE5" s="1304"/>
      <c r="DOF5" s="1304"/>
      <c r="DOG5" s="1304"/>
      <c r="DOH5" s="1304"/>
      <c r="DOI5" s="1304"/>
      <c r="DOJ5" s="1304"/>
      <c r="DOK5" s="1304"/>
      <c r="DOL5" s="1304"/>
      <c r="DOM5" s="1304"/>
      <c r="DON5" s="1304"/>
      <c r="DOO5" s="1304"/>
      <c r="DOP5" s="1304"/>
      <c r="DOQ5" s="1304"/>
      <c r="DOR5" s="1304"/>
      <c r="DOS5" s="1304"/>
      <c r="DOT5" s="1304"/>
      <c r="DOU5" s="1304"/>
      <c r="DOV5" s="1304"/>
      <c r="DOW5" s="1304"/>
      <c r="DOX5" s="1304"/>
      <c r="DOY5" s="1304"/>
      <c r="DOZ5" s="1304"/>
      <c r="DPA5" s="1304"/>
      <c r="DPB5" s="1304"/>
      <c r="DPC5" s="1304"/>
      <c r="DPD5" s="1304"/>
      <c r="DPE5" s="1304"/>
      <c r="DPF5" s="1304"/>
      <c r="DPG5" s="1304"/>
      <c r="DPH5" s="1304"/>
      <c r="DPI5" s="1304"/>
      <c r="DPJ5" s="1304"/>
      <c r="DPK5" s="1304"/>
      <c r="DPL5" s="1304"/>
      <c r="DPM5" s="1304"/>
      <c r="DPN5" s="1304"/>
      <c r="DPO5" s="1304"/>
      <c r="DPP5" s="1304"/>
      <c r="DPQ5" s="1304"/>
      <c r="DPR5" s="1304"/>
      <c r="DPS5" s="1304"/>
      <c r="DPT5" s="1304"/>
      <c r="DPU5" s="1304"/>
      <c r="DPV5" s="1304"/>
      <c r="DPW5" s="1304"/>
      <c r="DPX5" s="1304"/>
      <c r="DPY5" s="1304"/>
      <c r="DPZ5" s="1304"/>
      <c r="DQA5" s="1304"/>
      <c r="DQB5" s="1304"/>
      <c r="DQC5" s="1304"/>
      <c r="DQD5" s="1304"/>
      <c r="DQE5" s="1304"/>
      <c r="DQF5" s="1304"/>
      <c r="DQG5" s="1304"/>
      <c r="DQH5" s="1304"/>
      <c r="DQI5" s="1304"/>
      <c r="DQJ5" s="1304"/>
      <c r="DQK5" s="1304"/>
      <c r="DQL5" s="1304"/>
      <c r="DQM5" s="1304"/>
      <c r="DQN5" s="1304"/>
      <c r="DQO5" s="1304"/>
      <c r="DQP5" s="1304"/>
      <c r="DQQ5" s="1304"/>
      <c r="DQR5" s="1304"/>
      <c r="DQS5" s="1304"/>
      <c r="DQT5" s="1304"/>
      <c r="DQU5" s="1304"/>
      <c r="DQV5" s="1304"/>
      <c r="DQW5" s="1304"/>
      <c r="DQX5" s="1304"/>
      <c r="DQY5" s="1304"/>
      <c r="DQZ5" s="1304"/>
      <c r="DRA5" s="1304"/>
      <c r="DRB5" s="1304"/>
      <c r="DRC5" s="1304"/>
      <c r="DRD5" s="1304"/>
      <c r="DRE5" s="1304"/>
      <c r="DRF5" s="1304"/>
      <c r="DRG5" s="1304"/>
      <c r="DRH5" s="1304"/>
      <c r="DRI5" s="1304"/>
      <c r="DRJ5" s="1304"/>
      <c r="DRK5" s="1304"/>
      <c r="DRL5" s="1304"/>
      <c r="DRM5" s="1304"/>
      <c r="DRN5" s="1304"/>
      <c r="DRO5" s="1304"/>
      <c r="DRP5" s="1304"/>
      <c r="DRQ5" s="1304"/>
      <c r="DRR5" s="1304"/>
      <c r="DRS5" s="1304"/>
      <c r="DRT5" s="1304"/>
      <c r="DRU5" s="1304"/>
      <c r="DRV5" s="1304"/>
      <c r="DRW5" s="1304"/>
      <c r="DRX5" s="1304"/>
      <c r="DRY5" s="1304"/>
      <c r="DRZ5" s="1304"/>
      <c r="DSA5" s="1304"/>
      <c r="DSB5" s="1304"/>
      <c r="DSC5" s="1304"/>
      <c r="DSD5" s="1304"/>
      <c r="DSE5" s="1304"/>
      <c r="DSF5" s="1304"/>
      <c r="DSG5" s="1304"/>
      <c r="DSH5" s="1304"/>
      <c r="DSI5" s="1304"/>
      <c r="DSJ5" s="1304"/>
      <c r="DSK5" s="1304"/>
      <c r="DSL5" s="1304"/>
      <c r="DSM5" s="1304"/>
      <c r="DSN5" s="1304"/>
      <c r="DSO5" s="1304"/>
      <c r="DSP5" s="1304"/>
      <c r="DSQ5" s="1304"/>
      <c r="DSR5" s="1304"/>
      <c r="DSS5" s="1304"/>
      <c r="DST5" s="1304"/>
      <c r="DSU5" s="1304"/>
      <c r="DSV5" s="1304"/>
      <c r="DSW5" s="1304"/>
      <c r="DSX5" s="1304"/>
      <c r="DSY5" s="1304"/>
      <c r="DSZ5" s="1304"/>
      <c r="DTA5" s="1304"/>
      <c r="DTB5" s="1304"/>
      <c r="DTC5" s="1304"/>
      <c r="DTD5" s="1304"/>
      <c r="DTE5" s="1304"/>
      <c r="DTF5" s="1304"/>
      <c r="DTG5" s="1304"/>
      <c r="DTH5" s="1304"/>
      <c r="DTI5" s="1304"/>
      <c r="DTJ5" s="1304"/>
      <c r="DTK5" s="1304"/>
      <c r="DTL5" s="1304"/>
      <c r="DTM5" s="1304"/>
      <c r="DTN5" s="1304"/>
      <c r="DTO5" s="1304"/>
      <c r="DTP5" s="1304"/>
      <c r="DTQ5" s="1304"/>
      <c r="DTR5" s="1304"/>
      <c r="DTS5" s="1304"/>
      <c r="DTT5" s="1304"/>
      <c r="DTU5" s="1304"/>
      <c r="DTV5" s="1304"/>
      <c r="DTW5" s="1304"/>
      <c r="DTX5" s="1304"/>
      <c r="DTY5" s="1304"/>
      <c r="DTZ5" s="1304"/>
      <c r="DUA5" s="1304"/>
      <c r="DUB5" s="1304"/>
      <c r="DUC5" s="1304"/>
      <c r="DUD5" s="1304"/>
      <c r="DUE5" s="1304"/>
      <c r="DUF5" s="1304"/>
      <c r="DUG5" s="1304"/>
      <c r="DUH5" s="1304"/>
      <c r="DUI5" s="1304"/>
      <c r="DUJ5" s="1304"/>
      <c r="DUK5" s="1304"/>
      <c r="DUL5" s="1304"/>
      <c r="DUM5" s="1304"/>
      <c r="DUN5" s="1304"/>
      <c r="DUO5" s="1304"/>
      <c r="DUP5" s="1304"/>
      <c r="DUQ5" s="1304"/>
      <c r="DUR5" s="1304"/>
      <c r="DUS5" s="1304"/>
      <c r="DUT5" s="1304"/>
      <c r="DUU5" s="1304"/>
      <c r="DUV5" s="1304"/>
      <c r="DUW5" s="1304"/>
      <c r="DUX5" s="1304"/>
      <c r="DUY5" s="1304"/>
      <c r="DUZ5" s="1304"/>
      <c r="DVA5" s="1304"/>
      <c r="DVB5" s="1304"/>
      <c r="DVC5" s="1304"/>
      <c r="DVD5" s="1304"/>
      <c r="DVE5" s="1304"/>
      <c r="DVF5" s="1304"/>
      <c r="DVG5" s="1304"/>
      <c r="DVH5" s="1304"/>
      <c r="DVI5" s="1304"/>
      <c r="DVJ5" s="1304"/>
      <c r="DVK5" s="1304"/>
      <c r="DVL5" s="1304"/>
      <c r="DVM5" s="1304"/>
      <c r="DVN5" s="1304"/>
      <c r="DVO5" s="1304"/>
      <c r="DVP5" s="1304"/>
      <c r="DVQ5" s="1304"/>
      <c r="DVR5" s="1304"/>
      <c r="DVS5" s="1304"/>
      <c r="DVT5" s="1304"/>
      <c r="DVU5" s="1304"/>
      <c r="DVV5" s="1304"/>
      <c r="DVW5" s="1304"/>
      <c r="DVX5" s="1304"/>
      <c r="DVY5" s="1304"/>
      <c r="DVZ5" s="1304"/>
      <c r="DWA5" s="1304"/>
      <c r="DWB5" s="1304"/>
      <c r="DWC5" s="1304"/>
      <c r="DWD5" s="1304"/>
      <c r="DWE5" s="1304"/>
      <c r="DWF5" s="1304"/>
      <c r="DWG5" s="1304"/>
      <c r="DWH5" s="1304"/>
      <c r="DWI5" s="1304"/>
      <c r="DWJ5" s="1304"/>
      <c r="DWK5" s="1304"/>
      <c r="DWL5" s="1304"/>
      <c r="DWM5" s="1304"/>
      <c r="DWN5" s="1304"/>
      <c r="DWO5" s="1304"/>
      <c r="DWP5" s="1304"/>
      <c r="DWQ5" s="1304"/>
      <c r="DWR5" s="1304"/>
      <c r="DWS5" s="1304"/>
      <c r="DWT5" s="1304"/>
      <c r="DWU5" s="1304"/>
      <c r="DWV5" s="1304"/>
      <c r="DWW5" s="1304"/>
      <c r="DWX5" s="1304"/>
      <c r="DWY5" s="1304"/>
      <c r="DWZ5" s="1304"/>
      <c r="DXA5" s="1304"/>
      <c r="DXB5" s="1304"/>
      <c r="DXC5" s="1304"/>
      <c r="DXD5" s="1304"/>
      <c r="DXE5" s="1304"/>
      <c r="DXF5" s="1304"/>
      <c r="DXG5" s="1304"/>
      <c r="DXH5" s="1304"/>
      <c r="DXI5" s="1304"/>
      <c r="DXJ5" s="1304"/>
      <c r="DXK5" s="1304"/>
      <c r="DXL5" s="1304"/>
      <c r="DXM5" s="1304"/>
      <c r="DXN5" s="1304"/>
      <c r="DXO5" s="1304"/>
      <c r="DXP5" s="1304"/>
      <c r="DXQ5" s="1304"/>
      <c r="DXR5" s="1304"/>
      <c r="DXS5" s="1304"/>
      <c r="DXT5" s="1304"/>
      <c r="DXU5" s="1304"/>
      <c r="DXV5" s="1304"/>
      <c r="DXW5" s="1304"/>
      <c r="DXX5" s="1304"/>
      <c r="DXY5" s="1304"/>
      <c r="DXZ5" s="1304"/>
      <c r="DYA5" s="1304"/>
      <c r="DYB5" s="1304"/>
      <c r="DYC5" s="1304"/>
      <c r="DYD5" s="1304"/>
      <c r="DYE5" s="1304"/>
      <c r="DYF5" s="1304"/>
      <c r="DYG5" s="1304"/>
      <c r="DYH5" s="1304"/>
      <c r="DYI5" s="1304"/>
      <c r="DYJ5" s="1304"/>
      <c r="DYK5" s="1304"/>
      <c r="DYL5" s="1304"/>
      <c r="DYM5" s="1304"/>
      <c r="DYN5" s="1304"/>
      <c r="DYO5" s="1304"/>
      <c r="DYP5" s="1304"/>
      <c r="DYQ5" s="1304"/>
      <c r="DYR5" s="1304"/>
      <c r="DYS5" s="1304"/>
      <c r="DYT5" s="1304"/>
      <c r="DYU5" s="1304"/>
      <c r="DYV5" s="1304"/>
      <c r="DYW5" s="1304"/>
      <c r="DYX5" s="1304"/>
      <c r="DYY5" s="1304"/>
      <c r="DYZ5" s="1304"/>
      <c r="DZA5" s="1304"/>
      <c r="DZB5" s="1304"/>
      <c r="DZC5" s="1304"/>
      <c r="DZD5" s="1304"/>
      <c r="DZE5" s="1304"/>
      <c r="DZF5" s="1304"/>
      <c r="DZG5" s="1304"/>
      <c r="DZH5" s="1304"/>
      <c r="DZI5" s="1304"/>
      <c r="DZJ5" s="1304"/>
      <c r="DZK5" s="1304"/>
      <c r="DZL5" s="1304"/>
      <c r="DZM5" s="1304"/>
      <c r="DZN5" s="1304"/>
      <c r="DZO5" s="1304"/>
      <c r="DZP5" s="1304"/>
      <c r="DZQ5" s="1304"/>
      <c r="DZR5" s="1304"/>
      <c r="DZS5" s="1304"/>
      <c r="DZT5" s="1304"/>
      <c r="DZU5" s="1304"/>
      <c r="DZV5" s="1304"/>
      <c r="DZW5" s="1304"/>
      <c r="DZX5" s="1304"/>
      <c r="DZY5" s="1304"/>
      <c r="DZZ5" s="1304"/>
      <c r="EAA5" s="1304"/>
      <c r="EAB5" s="1304"/>
      <c r="EAC5" s="1304"/>
      <c r="EAD5" s="1304"/>
      <c r="EAE5" s="1304"/>
      <c r="EAF5" s="1304"/>
      <c r="EAG5" s="1304"/>
      <c r="EAH5" s="1304"/>
      <c r="EAI5" s="1304"/>
      <c r="EAJ5" s="1304"/>
      <c r="EAK5" s="1304"/>
      <c r="EAL5" s="1304"/>
      <c r="EAM5" s="1304"/>
      <c r="EAN5" s="1304"/>
      <c r="EAO5" s="1304"/>
      <c r="EAP5" s="1304"/>
      <c r="EAQ5" s="1304"/>
      <c r="EAR5" s="1304"/>
      <c r="EAS5" s="1304"/>
      <c r="EAT5" s="1304"/>
      <c r="EAU5" s="1304"/>
      <c r="EAV5" s="1304"/>
      <c r="EAW5" s="1304"/>
      <c r="EAX5" s="1304"/>
      <c r="EAY5" s="1304"/>
      <c r="EAZ5" s="1304"/>
      <c r="EBA5" s="1304"/>
      <c r="EBB5" s="1304"/>
      <c r="EBC5" s="1304"/>
      <c r="EBD5" s="1304"/>
      <c r="EBE5" s="1304"/>
      <c r="EBF5" s="1304"/>
      <c r="EBG5" s="1304"/>
      <c r="EBH5" s="1304"/>
      <c r="EBI5" s="1304"/>
      <c r="EBJ5" s="1304"/>
      <c r="EBK5" s="1304"/>
      <c r="EBL5" s="1304"/>
      <c r="EBM5" s="1304"/>
      <c r="EBN5" s="1304"/>
      <c r="EBO5" s="1304"/>
      <c r="EBP5" s="1304"/>
      <c r="EBQ5" s="1304"/>
      <c r="EBR5" s="1304"/>
      <c r="EBS5" s="1304"/>
      <c r="EBT5" s="1304"/>
      <c r="EBU5" s="1304"/>
      <c r="EBV5" s="1304"/>
      <c r="EBW5" s="1304"/>
      <c r="EBX5" s="1304"/>
      <c r="EBY5" s="1304"/>
      <c r="EBZ5" s="1304"/>
      <c r="ECA5" s="1304"/>
      <c r="ECB5" s="1304"/>
      <c r="ECC5" s="1304"/>
      <c r="ECD5" s="1304"/>
      <c r="ECE5" s="1304"/>
      <c r="ECF5" s="1304"/>
      <c r="ECG5" s="1304"/>
      <c r="ECH5" s="1304"/>
      <c r="ECI5" s="1304"/>
      <c r="ECJ5" s="1304"/>
      <c r="ECK5" s="1304"/>
      <c r="ECL5" s="1304"/>
      <c r="ECM5" s="1304"/>
      <c r="ECN5" s="1304"/>
      <c r="ECO5" s="1304"/>
      <c r="ECP5" s="1304"/>
      <c r="ECQ5" s="1304"/>
      <c r="ECR5" s="1304"/>
      <c r="ECS5" s="1304"/>
      <c r="ECT5" s="1304"/>
      <c r="ECU5" s="1304"/>
      <c r="ECV5" s="1304"/>
      <c r="ECW5" s="1304"/>
      <c r="ECX5" s="1304"/>
      <c r="ECY5" s="1304"/>
      <c r="ECZ5" s="1304"/>
      <c r="EDA5" s="1304"/>
      <c r="EDB5" s="1304"/>
      <c r="EDC5" s="1304"/>
      <c r="EDD5" s="1304"/>
      <c r="EDE5" s="1304"/>
      <c r="EDF5" s="1304"/>
      <c r="EDG5" s="1304"/>
      <c r="EDH5" s="1304"/>
      <c r="EDI5" s="1304"/>
      <c r="EDJ5" s="1304"/>
      <c r="EDK5" s="1304"/>
      <c r="EDL5" s="1304"/>
      <c r="EDM5" s="1304"/>
      <c r="EDN5" s="1304"/>
      <c r="EDO5" s="1304"/>
      <c r="EDP5" s="1304"/>
      <c r="EDQ5" s="1304"/>
      <c r="EDR5" s="1304"/>
      <c r="EDS5" s="1304"/>
      <c r="EDT5" s="1304"/>
      <c r="EDU5" s="1304"/>
      <c r="EDV5" s="1304"/>
      <c r="EDW5" s="1304"/>
      <c r="EDX5" s="1304"/>
      <c r="EDY5" s="1304"/>
      <c r="EDZ5" s="1304"/>
      <c r="EEA5" s="1304"/>
      <c r="EEB5" s="1304"/>
      <c r="EEC5" s="1304"/>
      <c r="EED5" s="1304"/>
      <c r="EEE5" s="1304"/>
      <c r="EEF5" s="1304"/>
      <c r="EEG5" s="1304"/>
      <c r="EEH5" s="1304"/>
      <c r="EEI5" s="1304"/>
      <c r="EEJ5" s="1304"/>
      <c r="EEK5" s="1304"/>
      <c r="EEL5" s="1304"/>
      <c r="EEM5" s="1304"/>
      <c r="EEN5" s="1304"/>
      <c r="EEO5" s="1304"/>
      <c r="EEP5" s="1304"/>
      <c r="EEQ5" s="1304"/>
      <c r="EER5" s="1304"/>
      <c r="EES5" s="1304"/>
      <c r="EET5" s="1304"/>
      <c r="EEU5" s="1304"/>
      <c r="EEV5" s="1304"/>
      <c r="EEW5" s="1304"/>
      <c r="EEX5" s="1304"/>
      <c r="EEY5" s="1304"/>
      <c r="EEZ5" s="1304"/>
      <c r="EFA5" s="1304"/>
      <c r="EFB5" s="1304"/>
      <c r="EFC5" s="1304"/>
      <c r="EFD5" s="1304"/>
      <c r="EFE5" s="1304"/>
      <c r="EFF5" s="1304"/>
      <c r="EFG5" s="1304"/>
      <c r="EFH5" s="1304"/>
      <c r="EFI5" s="1304"/>
      <c r="EFJ5" s="1304"/>
      <c r="EFK5" s="1304"/>
      <c r="EFL5" s="1304"/>
      <c r="EFM5" s="1304"/>
      <c r="EFN5" s="1304"/>
      <c r="EFO5" s="1304"/>
      <c r="EFP5" s="1304"/>
      <c r="EFQ5" s="1304"/>
      <c r="EFR5" s="1304"/>
      <c r="EFS5" s="1304"/>
      <c r="EFT5" s="1304"/>
      <c r="EFU5" s="1304"/>
      <c r="EFV5" s="1304"/>
      <c r="EFW5" s="1304"/>
      <c r="EFX5" s="1304"/>
      <c r="EFY5" s="1304"/>
      <c r="EFZ5" s="1304"/>
      <c r="EGA5" s="1304"/>
      <c r="EGB5" s="1304"/>
      <c r="EGC5" s="1304"/>
      <c r="EGD5" s="1304"/>
      <c r="EGE5" s="1304"/>
      <c r="EGF5" s="1304"/>
      <c r="EGG5" s="1304"/>
      <c r="EGH5" s="1304"/>
      <c r="EGI5" s="1304"/>
      <c r="EGJ5" s="1304"/>
      <c r="EGK5" s="1304"/>
      <c r="EGL5" s="1304"/>
      <c r="EGM5" s="1304"/>
      <c r="EGN5" s="1304"/>
      <c r="EGO5" s="1304"/>
      <c r="EGP5" s="1304"/>
      <c r="EGQ5" s="1304"/>
      <c r="EGR5" s="1304"/>
      <c r="EGS5" s="1304"/>
      <c r="EGT5" s="1304"/>
      <c r="EGU5" s="1304"/>
      <c r="EGV5" s="1304"/>
      <c r="EGW5" s="1304"/>
      <c r="EGX5" s="1304"/>
      <c r="EGY5" s="1304"/>
      <c r="EGZ5" s="1304"/>
      <c r="EHA5" s="1304"/>
      <c r="EHB5" s="1304"/>
      <c r="EHC5" s="1304"/>
      <c r="EHD5" s="1304"/>
      <c r="EHE5" s="1304"/>
      <c r="EHF5" s="1304"/>
      <c r="EHG5" s="1304"/>
      <c r="EHH5" s="1304"/>
      <c r="EHI5" s="1304"/>
      <c r="EHJ5" s="1304"/>
      <c r="EHK5" s="1304"/>
      <c r="EHL5" s="1304"/>
      <c r="EHM5" s="1304"/>
      <c r="EHN5" s="1304"/>
      <c r="EHO5" s="1304"/>
      <c r="EHP5" s="1304"/>
      <c r="EHQ5" s="1304"/>
      <c r="EHR5" s="1304"/>
      <c r="EHS5" s="1304"/>
      <c r="EHT5" s="1304"/>
      <c r="EHU5" s="1304"/>
      <c r="EHV5" s="1304"/>
      <c r="EHW5" s="1304"/>
      <c r="EHX5" s="1304"/>
      <c r="EHY5" s="1304"/>
      <c r="EHZ5" s="1304"/>
      <c r="EIA5" s="1304"/>
      <c r="EIB5" s="1304"/>
      <c r="EIC5" s="1304"/>
      <c r="EID5" s="1304"/>
      <c r="EIE5" s="1304"/>
      <c r="EIF5" s="1304"/>
      <c r="EIG5" s="1304"/>
      <c r="EIH5" s="1304"/>
      <c r="EII5" s="1304"/>
      <c r="EIJ5" s="1304"/>
      <c r="EIK5" s="1304"/>
      <c r="EIL5" s="1304"/>
      <c r="EIM5" s="1304"/>
      <c r="EIN5" s="1304"/>
      <c r="EIO5" s="1304"/>
      <c r="EIP5" s="1304"/>
      <c r="EIQ5" s="1304"/>
      <c r="EIR5" s="1304"/>
      <c r="EIS5" s="1304"/>
      <c r="EIT5" s="1304"/>
      <c r="EIU5" s="1304"/>
      <c r="EIV5" s="1304"/>
      <c r="EIW5" s="1304"/>
      <c r="EIX5" s="1304"/>
      <c r="EIY5" s="1304"/>
      <c r="EIZ5" s="1304"/>
      <c r="EJA5" s="1304"/>
      <c r="EJB5" s="1304"/>
      <c r="EJC5" s="1304"/>
      <c r="EJD5" s="1304"/>
      <c r="EJE5" s="1304"/>
      <c r="EJF5" s="1304"/>
      <c r="EJG5" s="1304"/>
      <c r="EJH5" s="1304"/>
      <c r="EJI5" s="1304"/>
      <c r="EJJ5" s="1304"/>
      <c r="EJK5" s="1304"/>
      <c r="EJL5" s="1304"/>
      <c r="EJM5" s="1304"/>
      <c r="EJN5" s="1304"/>
      <c r="EJO5" s="1304"/>
      <c r="EJP5" s="1304"/>
      <c r="EJQ5" s="1304"/>
      <c r="EJR5" s="1304"/>
      <c r="EJS5" s="1304"/>
      <c r="EJT5" s="1304"/>
      <c r="EJU5" s="1304"/>
      <c r="EJV5" s="1304"/>
      <c r="EJW5" s="1304"/>
      <c r="EJX5" s="1304"/>
      <c r="EJY5" s="1304"/>
      <c r="EJZ5" s="1304"/>
      <c r="EKA5" s="1304"/>
      <c r="EKB5" s="1304"/>
      <c r="EKC5" s="1304"/>
      <c r="EKD5" s="1304"/>
      <c r="EKE5" s="1304"/>
      <c r="EKF5" s="1304"/>
      <c r="EKG5" s="1304"/>
      <c r="EKH5" s="1304"/>
      <c r="EKI5" s="1304"/>
      <c r="EKJ5" s="1304"/>
      <c r="EKK5" s="1304"/>
      <c r="EKL5" s="1304"/>
      <c r="EKM5" s="1304"/>
      <c r="EKN5" s="1304"/>
      <c r="EKO5" s="1304"/>
      <c r="EKP5" s="1304"/>
      <c r="EKQ5" s="1304"/>
      <c r="EKR5" s="1304"/>
      <c r="EKS5" s="1304"/>
      <c r="EKT5" s="1304"/>
      <c r="EKU5" s="1304"/>
      <c r="EKV5" s="1304"/>
      <c r="EKW5" s="1304"/>
      <c r="EKX5" s="1304"/>
      <c r="EKY5" s="1304"/>
      <c r="EKZ5" s="1304"/>
      <c r="ELA5" s="1304"/>
      <c r="ELB5" s="1304"/>
      <c r="ELC5" s="1304"/>
      <c r="ELD5" s="1304"/>
      <c r="ELE5" s="1304"/>
      <c r="ELF5" s="1304"/>
      <c r="ELG5" s="1304"/>
      <c r="ELH5" s="1304"/>
      <c r="ELI5" s="1304"/>
      <c r="ELJ5" s="1304"/>
      <c r="ELK5" s="1304"/>
      <c r="ELL5" s="1304"/>
      <c r="ELM5" s="1304"/>
      <c r="ELN5" s="1304"/>
      <c r="ELO5" s="1304"/>
      <c r="ELP5" s="1304"/>
      <c r="ELQ5" s="1304"/>
      <c r="ELR5" s="1304"/>
      <c r="ELS5" s="1304"/>
      <c r="ELT5" s="1304"/>
      <c r="ELU5" s="1304"/>
      <c r="ELV5" s="1304"/>
      <c r="ELW5" s="1304"/>
      <c r="ELX5" s="1304"/>
      <c r="ELY5" s="1304"/>
      <c r="ELZ5" s="1304"/>
      <c r="EMA5" s="1304"/>
      <c r="EMB5" s="1304"/>
      <c r="EMC5" s="1304"/>
      <c r="EMD5" s="1304"/>
      <c r="EME5" s="1304"/>
      <c r="EMF5" s="1304"/>
      <c r="EMG5" s="1304"/>
      <c r="EMH5" s="1304"/>
      <c r="EMI5" s="1304"/>
      <c r="EMJ5" s="1304"/>
      <c r="EMK5" s="1304"/>
      <c r="EML5" s="1304"/>
      <c r="EMM5" s="1304"/>
      <c r="EMN5" s="1304"/>
      <c r="EMO5" s="1304"/>
      <c r="EMP5" s="1304"/>
      <c r="EMQ5" s="1304"/>
      <c r="EMR5" s="1304"/>
      <c r="EMS5" s="1304"/>
      <c r="EMT5" s="1304"/>
      <c r="EMU5" s="1304"/>
      <c r="EMV5" s="1304"/>
      <c r="EMW5" s="1304"/>
      <c r="EMX5" s="1304"/>
      <c r="EMY5" s="1304"/>
      <c r="EMZ5" s="1304"/>
      <c r="ENA5" s="1304"/>
      <c r="ENB5" s="1304"/>
      <c r="ENC5" s="1304"/>
      <c r="END5" s="1304"/>
      <c r="ENE5" s="1304"/>
      <c r="ENF5" s="1304"/>
      <c r="ENG5" s="1304"/>
      <c r="ENH5" s="1304"/>
      <c r="ENI5" s="1304"/>
      <c r="ENJ5" s="1304"/>
      <c r="ENK5" s="1304"/>
      <c r="ENL5" s="1304"/>
      <c r="ENM5" s="1304"/>
      <c r="ENN5" s="1304"/>
      <c r="ENO5" s="1304"/>
      <c r="ENP5" s="1304"/>
      <c r="ENQ5" s="1304"/>
      <c r="ENR5" s="1304"/>
      <c r="ENS5" s="1304"/>
      <c r="ENT5" s="1304"/>
      <c r="ENU5" s="1304"/>
      <c r="ENV5" s="1304"/>
      <c r="ENW5" s="1304"/>
      <c r="ENX5" s="1304"/>
      <c r="ENY5" s="1304"/>
      <c r="ENZ5" s="1304"/>
      <c r="EOA5" s="1304"/>
      <c r="EOB5" s="1304"/>
      <c r="EOC5" s="1304"/>
      <c r="EOD5" s="1304"/>
      <c r="EOE5" s="1304"/>
      <c r="EOF5" s="1304"/>
      <c r="EOG5" s="1304"/>
      <c r="EOH5" s="1304"/>
      <c r="EOI5" s="1304"/>
      <c r="EOJ5" s="1304"/>
      <c r="EOK5" s="1304"/>
      <c r="EOL5" s="1304"/>
      <c r="EOM5" s="1304"/>
      <c r="EON5" s="1304"/>
      <c r="EOO5" s="1304"/>
      <c r="EOP5" s="1304"/>
      <c r="EOQ5" s="1304"/>
      <c r="EOR5" s="1304"/>
      <c r="EOS5" s="1304"/>
      <c r="EOT5" s="1304"/>
      <c r="EOU5" s="1304"/>
      <c r="EOV5" s="1304"/>
      <c r="EOW5" s="1304"/>
      <c r="EOX5" s="1304"/>
      <c r="EOY5" s="1304"/>
      <c r="EOZ5" s="1304"/>
      <c r="EPA5" s="1304"/>
      <c r="EPB5" s="1304"/>
      <c r="EPC5" s="1304"/>
      <c r="EPD5" s="1304"/>
      <c r="EPE5" s="1304"/>
      <c r="EPF5" s="1304"/>
      <c r="EPG5" s="1304"/>
      <c r="EPH5" s="1304"/>
      <c r="EPI5" s="1304"/>
      <c r="EPJ5" s="1304"/>
      <c r="EPK5" s="1304"/>
      <c r="EPL5" s="1304"/>
      <c r="EPM5" s="1304"/>
      <c r="EPN5" s="1304"/>
      <c r="EPO5" s="1304"/>
      <c r="EPP5" s="1304"/>
      <c r="EPQ5" s="1304"/>
      <c r="EPR5" s="1304"/>
      <c r="EPS5" s="1304"/>
      <c r="EPT5" s="1304"/>
      <c r="EPU5" s="1304"/>
      <c r="EPV5" s="1304"/>
      <c r="EPW5" s="1304"/>
      <c r="EPX5" s="1304"/>
      <c r="EPY5" s="1304"/>
      <c r="EPZ5" s="1304"/>
      <c r="EQA5" s="1304"/>
      <c r="EQB5" s="1304"/>
      <c r="EQC5" s="1304"/>
      <c r="EQD5" s="1304"/>
      <c r="EQE5" s="1304"/>
      <c r="EQF5" s="1304"/>
      <c r="EQG5" s="1304"/>
      <c r="EQH5" s="1304"/>
      <c r="EQI5" s="1304"/>
      <c r="EQJ5" s="1304"/>
      <c r="EQK5" s="1304"/>
      <c r="EQL5" s="1304"/>
      <c r="EQM5" s="1304"/>
      <c r="EQN5" s="1304"/>
      <c r="EQO5" s="1304"/>
      <c r="EQP5" s="1304"/>
      <c r="EQQ5" s="1304"/>
      <c r="EQR5" s="1304"/>
      <c r="EQS5" s="1304"/>
      <c r="EQT5" s="1304"/>
      <c r="EQU5" s="1304"/>
      <c r="EQV5" s="1304"/>
      <c r="EQW5" s="1304"/>
      <c r="EQX5" s="1304"/>
      <c r="EQY5" s="1304"/>
      <c r="EQZ5" s="1304"/>
      <c r="ERA5" s="1304"/>
      <c r="ERB5" s="1304"/>
      <c r="ERC5" s="1304"/>
      <c r="ERD5" s="1304"/>
      <c r="ERE5" s="1304"/>
      <c r="ERF5" s="1304"/>
      <c r="ERG5" s="1304"/>
      <c r="ERH5" s="1304"/>
      <c r="ERI5" s="1304"/>
      <c r="ERJ5" s="1304"/>
      <c r="ERK5" s="1304"/>
      <c r="ERL5" s="1304"/>
      <c r="ERM5" s="1304"/>
      <c r="ERN5" s="1304"/>
      <c r="ERO5" s="1304"/>
      <c r="ERP5" s="1304"/>
      <c r="ERQ5" s="1304"/>
      <c r="ERR5" s="1304"/>
      <c r="ERS5" s="1304"/>
      <c r="ERT5" s="1304"/>
      <c r="ERU5" s="1304"/>
      <c r="ERV5" s="1304"/>
      <c r="ERW5" s="1304"/>
      <c r="ERX5" s="1304"/>
      <c r="ERY5" s="1304"/>
      <c r="ERZ5" s="1304"/>
      <c r="ESA5" s="1304"/>
      <c r="ESB5" s="1304"/>
      <c r="ESC5" s="1304"/>
      <c r="ESD5" s="1304"/>
      <c r="ESE5" s="1304"/>
      <c r="ESF5" s="1304"/>
      <c r="ESG5" s="1304"/>
      <c r="ESH5" s="1304"/>
      <c r="ESI5" s="1304"/>
      <c r="ESJ5" s="1304"/>
      <c r="ESK5" s="1304"/>
      <c r="ESL5" s="1304"/>
      <c r="ESM5" s="1304"/>
      <c r="ESN5" s="1304"/>
      <c r="ESO5" s="1304"/>
      <c r="ESP5" s="1304"/>
      <c r="ESQ5" s="1304"/>
      <c r="ESR5" s="1304"/>
      <c r="ESS5" s="1304"/>
      <c r="EST5" s="1304"/>
      <c r="ESU5" s="1304"/>
      <c r="ESV5" s="1304"/>
      <c r="ESW5" s="1304"/>
      <c r="ESX5" s="1304"/>
      <c r="ESY5" s="1304"/>
      <c r="ESZ5" s="1304"/>
      <c r="ETA5" s="1304"/>
      <c r="ETB5" s="1304"/>
      <c r="ETC5" s="1304"/>
      <c r="ETD5" s="1304"/>
      <c r="ETE5" s="1304"/>
      <c r="ETF5" s="1304"/>
      <c r="ETG5" s="1304"/>
      <c r="ETH5" s="1304"/>
      <c r="ETI5" s="1304"/>
      <c r="ETJ5" s="1304"/>
      <c r="ETK5" s="1304"/>
      <c r="ETL5" s="1304"/>
      <c r="ETM5" s="1304"/>
      <c r="ETN5" s="1304"/>
      <c r="ETO5" s="1304"/>
      <c r="ETP5" s="1304"/>
      <c r="ETQ5" s="1304"/>
      <c r="ETR5" s="1304"/>
      <c r="ETS5" s="1304"/>
      <c r="ETT5" s="1304"/>
      <c r="ETU5" s="1304"/>
      <c r="ETV5" s="1304"/>
      <c r="ETW5" s="1304"/>
      <c r="ETX5" s="1304"/>
      <c r="ETY5" s="1304"/>
      <c r="ETZ5" s="1304"/>
      <c r="EUA5" s="1304"/>
      <c r="EUB5" s="1304"/>
      <c r="EUC5" s="1304"/>
      <c r="EUD5" s="1304"/>
      <c r="EUE5" s="1304"/>
      <c r="EUF5" s="1304"/>
      <c r="EUG5" s="1304"/>
      <c r="EUH5" s="1304"/>
      <c r="EUI5" s="1304"/>
      <c r="EUJ5" s="1304"/>
      <c r="EUK5" s="1304"/>
      <c r="EUL5" s="1304"/>
      <c r="EUM5" s="1304"/>
      <c r="EUN5" s="1304"/>
      <c r="EUO5" s="1304"/>
      <c r="EUP5" s="1304"/>
      <c r="EUQ5" s="1304"/>
      <c r="EUR5" s="1304"/>
      <c r="EUS5" s="1304"/>
      <c r="EUT5" s="1304"/>
      <c r="EUU5" s="1304"/>
      <c r="EUV5" s="1304"/>
      <c r="EUW5" s="1304"/>
      <c r="EUX5" s="1304"/>
      <c r="EUY5" s="1304"/>
      <c r="EUZ5" s="1304"/>
      <c r="EVA5" s="1304"/>
      <c r="EVB5" s="1304"/>
      <c r="EVC5" s="1304"/>
      <c r="EVD5" s="1304"/>
      <c r="EVE5" s="1304"/>
      <c r="EVF5" s="1304"/>
      <c r="EVG5" s="1304"/>
      <c r="EVH5" s="1304"/>
      <c r="EVI5" s="1304"/>
      <c r="EVJ5" s="1304"/>
      <c r="EVK5" s="1304"/>
      <c r="EVL5" s="1304"/>
      <c r="EVM5" s="1304"/>
      <c r="EVN5" s="1304"/>
      <c r="EVO5" s="1304"/>
      <c r="EVP5" s="1304"/>
      <c r="EVQ5" s="1304"/>
      <c r="EVR5" s="1304"/>
      <c r="EVS5" s="1304"/>
      <c r="EVT5" s="1304"/>
      <c r="EVU5" s="1304"/>
      <c r="EVV5" s="1304"/>
      <c r="EVW5" s="1304"/>
      <c r="EVX5" s="1304"/>
      <c r="EVY5" s="1304"/>
      <c r="EVZ5" s="1304"/>
      <c r="EWA5" s="1304"/>
      <c r="EWB5" s="1304"/>
      <c r="EWC5" s="1304"/>
      <c r="EWD5" s="1304"/>
      <c r="EWE5" s="1304"/>
      <c r="EWF5" s="1304"/>
      <c r="EWG5" s="1304"/>
      <c r="EWH5" s="1304"/>
      <c r="EWI5" s="1304"/>
      <c r="EWJ5" s="1304"/>
      <c r="EWK5" s="1304"/>
      <c r="EWL5" s="1304"/>
      <c r="EWM5" s="1304"/>
      <c r="EWN5" s="1304"/>
      <c r="EWO5" s="1304"/>
      <c r="EWP5" s="1304"/>
      <c r="EWQ5" s="1304"/>
      <c r="EWR5" s="1304"/>
      <c r="EWS5" s="1304"/>
      <c r="EWT5" s="1304"/>
      <c r="EWU5" s="1304"/>
      <c r="EWV5" s="1304"/>
      <c r="EWW5" s="1304"/>
      <c r="EWX5" s="1304"/>
      <c r="EWY5" s="1304"/>
      <c r="EWZ5" s="1304"/>
      <c r="EXA5" s="1304"/>
      <c r="EXB5" s="1304"/>
      <c r="EXC5" s="1304"/>
      <c r="EXD5" s="1304"/>
      <c r="EXE5" s="1304"/>
      <c r="EXF5" s="1304"/>
      <c r="EXG5" s="1304"/>
      <c r="EXH5" s="1304"/>
      <c r="EXI5" s="1304"/>
      <c r="EXJ5" s="1304"/>
      <c r="EXK5" s="1304"/>
      <c r="EXL5" s="1304"/>
      <c r="EXM5" s="1304"/>
      <c r="EXN5" s="1304"/>
      <c r="EXO5" s="1304"/>
      <c r="EXP5" s="1304"/>
      <c r="EXQ5" s="1304"/>
      <c r="EXR5" s="1304"/>
      <c r="EXS5" s="1304"/>
      <c r="EXT5" s="1304"/>
      <c r="EXU5" s="1304"/>
      <c r="EXV5" s="1304"/>
      <c r="EXW5" s="1304"/>
      <c r="EXX5" s="1304"/>
      <c r="EXY5" s="1304"/>
      <c r="EXZ5" s="1304"/>
      <c r="EYA5" s="1304"/>
      <c r="EYB5" s="1304"/>
      <c r="EYC5" s="1304"/>
      <c r="EYD5" s="1304"/>
      <c r="EYE5" s="1304"/>
      <c r="EYF5" s="1304"/>
      <c r="EYG5" s="1304"/>
      <c r="EYH5" s="1304"/>
      <c r="EYI5" s="1304"/>
      <c r="EYJ5" s="1304"/>
      <c r="EYK5" s="1304"/>
      <c r="EYL5" s="1304"/>
      <c r="EYM5" s="1304"/>
      <c r="EYN5" s="1304"/>
      <c r="EYO5" s="1304"/>
      <c r="EYP5" s="1304"/>
      <c r="EYQ5" s="1304"/>
      <c r="EYR5" s="1304"/>
      <c r="EYS5" s="1304"/>
      <c r="EYT5" s="1304"/>
      <c r="EYU5" s="1304"/>
      <c r="EYV5" s="1304"/>
      <c r="EYW5" s="1304"/>
      <c r="EYX5" s="1304"/>
      <c r="EYY5" s="1304"/>
      <c r="EYZ5" s="1304"/>
      <c r="EZA5" s="1304"/>
      <c r="EZB5" s="1304"/>
      <c r="EZC5" s="1304"/>
      <c r="EZD5" s="1304"/>
      <c r="EZE5" s="1304"/>
      <c r="EZF5" s="1304"/>
      <c r="EZG5" s="1304"/>
      <c r="EZH5" s="1304"/>
      <c r="EZI5" s="1304"/>
      <c r="EZJ5" s="1304"/>
      <c r="EZK5" s="1304"/>
      <c r="EZL5" s="1304"/>
      <c r="EZM5" s="1304"/>
      <c r="EZN5" s="1304"/>
      <c r="EZO5" s="1304"/>
      <c r="EZP5" s="1304"/>
      <c r="EZQ5" s="1304"/>
      <c r="EZR5" s="1304"/>
      <c r="EZS5" s="1304"/>
      <c r="EZT5" s="1304"/>
      <c r="EZU5" s="1304"/>
      <c r="EZV5" s="1304"/>
      <c r="EZW5" s="1304"/>
      <c r="EZX5" s="1304"/>
      <c r="EZY5" s="1304"/>
      <c r="EZZ5" s="1304"/>
      <c r="FAA5" s="1304"/>
      <c r="FAB5" s="1304"/>
      <c r="FAC5" s="1304"/>
      <c r="FAD5" s="1304"/>
      <c r="FAE5" s="1304"/>
      <c r="FAF5" s="1304"/>
      <c r="FAG5" s="1304"/>
      <c r="FAH5" s="1304"/>
      <c r="FAI5" s="1304"/>
      <c r="FAJ5" s="1304"/>
      <c r="FAK5" s="1304"/>
      <c r="FAL5" s="1304"/>
      <c r="FAM5" s="1304"/>
      <c r="FAN5" s="1304"/>
      <c r="FAO5" s="1304"/>
      <c r="FAP5" s="1304"/>
      <c r="FAQ5" s="1304"/>
      <c r="FAR5" s="1304"/>
      <c r="FAS5" s="1304"/>
      <c r="FAT5" s="1304"/>
      <c r="FAU5" s="1304"/>
      <c r="FAV5" s="1304"/>
      <c r="FAW5" s="1304"/>
      <c r="FAX5" s="1304"/>
      <c r="FAY5" s="1304"/>
      <c r="FAZ5" s="1304"/>
      <c r="FBA5" s="1304"/>
      <c r="FBB5" s="1304"/>
      <c r="FBC5" s="1304"/>
      <c r="FBD5" s="1304"/>
      <c r="FBE5" s="1304"/>
      <c r="FBF5" s="1304"/>
      <c r="FBG5" s="1304"/>
      <c r="FBH5" s="1304"/>
      <c r="FBI5" s="1304"/>
      <c r="FBJ5" s="1304"/>
      <c r="FBK5" s="1304"/>
      <c r="FBL5" s="1304"/>
      <c r="FBM5" s="1304"/>
      <c r="FBN5" s="1304"/>
      <c r="FBO5" s="1304"/>
      <c r="FBP5" s="1304"/>
      <c r="FBQ5" s="1304"/>
      <c r="FBR5" s="1304"/>
      <c r="FBS5" s="1304"/>
      <c r="FBT5" s="1304"/>
      <c r="FBU5" s="1304"/>
      <c r="FBV5" s="1304"/>
      <c r="FBW5" s="1304"/>
      <c r="FBX5" s="1304"/>
      <c r="FBY5" s="1304"/>
      <c r="FBZ5" s="1304"/>
      <c r="FCA5" s="1304"/>
      <c r="FCB5" s="1304"/>
      <c r="FCC5" s="1304"/>
      <c r="FCD5" s="1304"/>
      <c r="FCE5" s="1304"/>
      <c r="FCF5" s="1304"/>
      <c r="FCG5" s="1304"/>
      <c r="FCH5" s="1304"/>
      <c r="FCI5" s="1304"/>
      <c r="FCJ5" s="1304"/>
      <c r="FCK5" s="1304"/>
      <c r="FCL5" s="1304"/>
      <c r="FCM5" s="1304"/>
      <c r="FCN5" s="1304"/>
      <c r="FCO5" s="1304"/>
      <c r="FCP5" s="1304"/>
      <c r="FCQ5" s="1304"/>
      <c r="FCR5" s="1304"/>
      <c r="FCS5" s="1304"/>
      <c r="FCT5" s="1304"/>
      <c r="FCU5" s="1304"/>
      <c r="FCV5" s="1304"/>
      <c r="FCW5" s="1304"/>
      <c r="FCX5" s="1304"/>
      <c r="FCY5" s="1304"/>
      <c r="FCZ5" s="1304"/>
      <c r="FDA5" s="1304"/>
      <c r="FDB5" s="1304"/>
      <c r="FDC5" s="1304"/>
      <c r="FDD5" s="1304"/>
      <c r="FDE5" s="1304"/>
      <c r="FDF5" s="1304"/>
      <c r="FDG5" s="1304"/>
      <c r="FDH5" s="1304"/>
      <c r="FDI5" s="1304"/>
      <c r="FDJ5" s="1304"/>
      <c r="FDK5" s="1304"/>
      <c r="FDL5" s="1304"/>
      <c r="FDM5" s="1304"/>
      <c r="FDN5" s="1304"/>
      <c r="FDO5" s="1304"/>
      <c r="FDP5" s="1304"/>
      <c r="FDQ5" s="1304"/>
      <c r="FDR5" s="1304"/>
      <c r="FDS5" s="1304"/>
      <c r="FDT5" s="1304"/>
      <c r="FDU5" s="1304"/>
      <c r="FDV5" s="1304"/>
      <c r="FDW5" s="1304"/>
      <c r="FDX5" s="1304"/>
      <c r="FDY5" s="1304"/>
      <c r="FDZ5" s="1304"/>
      <c r="FEA5" s="1304"/>
      <c r="FEB5" s="1304"/>
      <c r="FEC5" s="1304"/>
      <c r="FED5" s="1304"/>
      <c r="FEE5" s="1304"/>
      <c r="FEF5" s="1304"/>
      <c r="FEG5" s="1304"/>
      <c r="FEH5" s="1304"/>
      <c r="FEI5" s="1304"/>
      <c r="FEJ5" s="1304"/>
      <c r="FEK5" s="1304"/>
      <c r="FEL5" s="1304"/>
      <c r="FEM5" s="1304"/>
      <c r="FEN5" s="1304"/>
      <c r="FEO5" s="1304"/>
      <c r="FEP5" s="1304"/>
      <c r="FEQ5" s="1304"/>
      <c r="FER5" s="1304"/>
      <c r="FES5" s="1304"/>
      <c r="FET5" s="1304"/>
      <c r="FEU5" s="1304"/>
      <c r="FEV5" s="1304"/>
      <c r="FEW5" s="1304"/>
      <c r="FEX5" s="1304"/>
      <c r="FEY5" s="1304"/>
      <c r="FEZ5" s="1304"/>
      <c r="FFA5" s="1304"/>
      <c r="FFB5" s="1304"/>
      <c r="FFC5" s="1304"/>
      <c r="FFD5" s="1304"/>
      <c r="FFE5" s="1304"/>
      <c r="FFF5" s="1304"/>
      <c r="FFG5" s="1304"/>
      <c r="FFH5" s="1304"/>
      <c r="FFI5" s="1304"/>
      <c r="FFJ5" s="1304"/>
      <c r="FFK5" s="1304"/>
      <c r="FFL5" s="1304"/>
      <c r="FFM5" s="1304"/>
      <c r="FFN5" s="1304"/>
      <c r="FFO5" s="1304"/>
      <c r="FFP5" s="1304"/>
      <c r="FFQ5" s="1304"/>
      <c r="FFR5" s="1304"/>
      <c r="FFS5" s="1304"/>
      <c r="FFT5" s="1304"/>
      <c r="FFU5" s="1304"/>
      <c r="FFV5" s="1304"/>
      <c r="FFW5" s="1304"/>
      <c r="FFX5" s="1304"/>
      <c r="FFY5" s="1304"/>
      <c r="FFZ5" s="1304"/>
      <c r="FGA5" s="1304"/>
      <c r="FGB5" s="1304"/>
      <c r="FGC5" s="1304"/>
      <c r="FGD5" s="1304"/>
      <c r="FGE5" s="1304"/>
      <c r="FGF5" s="1304"/>
      <c r="FGG5" s="1304"/>
      <c r="FGH5" s="1304"/>
      <c r="FGI5" s="1304"/>
      <c r="FGJ5" s="1304"/>
      <c r="FGK5" s="1304"/>
      <c r="FGL5" s="1304"/>
      <c r="FGM5" s="1304"/>
      <c r="FGN5" s="1304"/>
      <c r="FGO5" s="1304"/>
      <c r="FGP5" s="1304"/>
      <c r="FGQ5" s="1304"/>
      <c r="FGR5" s="1304"/>
      <c r="FGS5" s="1304"/>
      <c r="FGT5" s="1304"/>
      <c r="FGU5" s="1304"/>
      <c r="FGV5" s="1304"/>
      <c r="FGW5" s="1304"/>
      <c r="FGX5" s="1304"/>
      <c r="FGY5" s="1304"/>
      <c r="FGZ5" s="1304"/>
      <c r="FHA5" s="1304"/>
      <c r="FHB5" s="1304"/>
      <c r="FHC5" s="1304"/>
      <c r="FHD5" s="1304"/>
      <c r="FHE5" s="1304"/>
      <c r="FHF5" s="1304"/>
      <c r="FHG5" s="1304"/>
      <c r="FHH5" s="1304"/>
      <c r="FHI5" s="1304"/>
      <c r="FHJ5" s="1304"/>
      <c r="FHK5" s="1304"/>
      <c r="FHL5" s="1304"/>
      <c r="FHM5" s="1304"/>
      <c r="FHN5" s="1304"/>
      <c r="FHO5" s="1304"/>
      <c r="FHP5" s="1304"/>
      <c r="FHQ5" s="1304"/>
      <c r="FHR5" s="1304"/>
      <c r="FHS5" s="1304"/>
      <c r="FHT5" s="1304"/>
      <c r="FHU5" s="1304"/>
      <c r="FHV5" s="1304"/>
      <c r="FHW5" s="1304"/>
      <c r="FHX5" s="1304"/>
      <c r="FHY5" s="1304"/>
      <c r="FHZ5" s="1304"/>
      <c r="FIA5" s="1304"/>
      <c r="FIB5" s="1304"/>
      <c r="FIC5" s="1304"/>
      <c r="FID5" s="1304"/>
      <c r="FIE5" s="1304"/>
      <c r="FIF5" s="1304"/>
      <c r="FIG5" s="1304"/>
      <c r="FIH5" s="1304"/>
      <c r="FII5" s="1304"/>
      <c r="FIJ5" s="1304"/>
      <c r="FIK5" s="1304"/>
      <c r="FIL5" s="1304"/>
      <c r="FIM5" s="1304"/>
      <c r="FIN5" s="1304"/>
      <c r="FIO5" s="1304"/>
      <c r="FIP5" s="1304"/>
      <c r="FIQ5" s="1304"/>
      <c r="FIR5" s="1304"/>
      <c r="FIS5" s="1304"/>
      <c r="FIT5" s="1304"/>
      <c r="FIU5" s="1304"/>
      <c r="FIV5" s="1304"/>
      <c r="FIW5" s="1304"/>
      <c r="FIX5" s="1304"/>
      <c r="FIY5" s="1304"/>
      <c r="FIZ5" s="1304"/>
      <c r="FJA5" s="1304"/>
      <c r="FJB5" s="1304"/>
      <c r="FJC5" s="1304"/>
      <c r="FJD5" s="1304"/>
      <c r="FJE5" s="1304"/>
      <c r="FJF5" s="1304"/>
      <c r="FJG5" s="1304"/>
      <c r="FJH5" s="1304"/>
      <c r="FJI5" s="1304"/>
      <c r="FJJ5" s="1304"/>
      <c r="FJK5" s="1304"/>
      <c r="FJL5" s="1304"/>
      <c r="FJM5" s="1304"/>
      <c r="FJN5" s="1304"/>
      <c r="FJO5" s="1304"/>
      <c r="FJP5" s="1304"/>
      <c r="FJQ5" s="1304"/>
      <c r="FJR5" s="1304"/>
      <c r="FJS5" s="1304"/>
      <c r="FJT5" s="1304"/>
      <c r="FJU5" s="1304"/>
      <c r="FJV5" s="1304"/>
      <c r="FJW5" s="1304"/>
      <c r="FJX5" s="1304"/>
      <c r="FJY5" s="1304"/>
      <c r="FJZ5" s="1304"/>
      <c r="FKA5" s="1304"/>
      <c r="FKB5" s="1304"/>
      <c r="FKC5" s="1304"/>
      <c r="FKD5" s="1304"/>
      <c r="FKE5" s="1304"/>
      <c r="FKF5" s="1304"/>
      <c r="FKG5" s="1304"/>
      <c r="FKH5" s="1304"/>
      <c r="FKI5" s="1304"/>
      <c r="FKJ5" s="1304"/>
      <c r="FKK5" s="1304"/>
      <c r="FKL5" s="1304"/>
      <c r="FKM5" s="1304"/>
      <c r="FKN5" s="1304"/>
      <c r="FKO5" s="1304"/>
      <c r="FKP5" s="1304"/>
      <c r="FKQ5" s="1304"/>
      <c r="FKR5" s="1304"/>
      <c r="FKS5" s="1304"/>
      <c r="FKT5" s="1304"/>
      <c r="FKU5" s="1304"/>
      <c r="FKV5" s="1304"/>
      <c r="FKW5" s="1304"/>
      <c r="FKX5" s="1304"/>
      <c r="FKY5" s="1304"/>
      <c r="FKZ5" s="1304"/>
      <c r="FLA5" s="1304"/>
      <c r="FLB5" s="1304"/>
      <c r="FLC5" s="1304"/>
      <c r="FLD5" s="1304"/>
      <c r="FLE5" s="1304"/>
      <c r="FLF5" s="1304"/>
      <c r="FLG5" s="1304"/>
      <c r="FLH5" s="1304"/>
      <c r="FLI5" s="1304"/>
      <c r="FLJ5" s="1304"/>
      <c r="FLK5" s="1304"/>
      <c r="FLL5" s="1304"/>
      <c r="FLM5" s="1304"/>
      <c r="FLN5" s="1304"/>
      <c r="FLO5" s="1304"/>
      <c r="FLP5" s="1304"/>
      <c r="FLQ5" s="1304"/>
      <c r="FLR5" s="1304"/>
      <c r="FLS5" s="1304"/>
      <c r="FLT5" s="1304"/>
      <c r="FLU5" s="1304"/>
      <c r="FLV5" s="1304"/>
      <c r="FLW5" s="1304"/>
      <c r="FLX5" s="1304"/>
      <c r="FLY5" s="1304"/>
      <c r="FLZ5" s="1304"/>
      <c r="FMA5" s="1304"/>
      <c r="FMB5" s="1304"/>
      <c r="FMC5" s="1304"/>
      <c r="FMD5" s="1304"/>
      <c r="FME5" s="1304"/>
      <c r="FMF5" s="1304"/>
      <c r="FMG5" s="1304"/>
      <c r="FMH5" s="1304"/>
      <c r="FMI5" s="1304"/>
      <c r="FMJ5" s="1304"/>
      <c r="FMK5" s="1304"/>
      <c r="FML5" s="1304"/>
      <c r="FMM5" s="1304"/>
      <c r="FMN5" s="1304"/>
      <c r="FMO5" s="1304"/>
      <c r="FMP5" s="1304"/>
      <c r="FMQ5" s="1304"/>
      <c r="FMR5" s="1304"/>
      <c r="FMS5" s="1304"/>
      <c r="FMT5" s="1304"/>
      <c r="FMU5" s="1304"/>
      <c r="FMV5" s="1304"/>
      <c r="FMW5" s="1304"/>
      <c r="FMX5" s="1304"/>
      <c r="FMY5" s="1304"/>
      <c r="FMZ5" s="1304"/>
      <c r="FNA5" s="1304"/>
      <c r="FNB5" s="1304"/>
      <c r="FNC5" s="1304"/>
      <c r="FND5" s="1304"/>
      <c r="FNE5" s="1304"/>
      <c r="FNF5" s="1304"/>
      <c r="FNG5" s="1304"/>
      <c r="FNH5" s="1304"/>
      <c r="FNI5" s="1304"/>
      <c r="FNJ5" s="1304"/>
      <c r="FNK5" s="1304"/>
      <c r="FNL5" s="1304"/>
      <c r="FNM5" s="1304"/>
      <c r="FNN5" s="1304"/>
      <c r="FNO5" s="1304"/>
      <c r="FNP5" s="1304"/>
      <c r="FNQ5" s="1304"/>
      <c r="FNR5" s="1304"/>
      <c r="FNS5" s="1304"/>
      <c r="FNT5" s="1304"/>
      <c r="FNU5" s="1304"/>
      <c r="FNV5" s="1304"/>
      <c r="FNW5" s="1304"/>
      <c r="FNX5" s="1304"/>
      <c r="FNY5" s="1304"/>
      <c r="FNZ5" s="1304"/>
      <c r="FOA5" s="1304"/>
      <c r="FOB5" s="1304"/>
      <c r="FOC5" s="1304"/>
      <c r="FOD5" s="1304"/>
      <c r="FOE5" s="1304"/>
      <c r="FOF5" s="1304"/>
      <c r="FOG5" s="1304"/>
      <c r="FOH5" s="1304"/>
      <c r="FOI5" s="1304"/>
      <c r="FOJ5" s="1304"/>
      <c r="FOK5" s="1304"/>
      <c r="FOL5" s="1304"/>
      <c r="FOM5" s="1304"/>
      <c r="FON5" s="1304"/>
      <c r="FOO5" s="1304"/>
      <c r="FOP5" s="1304"/>
      <c r="FOQ5" s="1304"/>
      <c r="FOR5" s="1304"/>
      <c r="FOS5" s="1304"/>
      <c r="FOT5" s="1304"/>
      <c r="FOU5" s="1304"/>
      <c r="FOV5" s="1304"/>
      <c r="FOW5" s="1304"/>
      <c r="FOX5" s="1304"/>
      <c r="FOY5" s="1304"/>
      <c r="FOZ5" s="1304"/>
      <c r="FPA5" s="1304"/>
      <c r="FPB5" s="1304"/>
      <c r="FPC5" s="1304"/>
      <c r="FPD5" s="1304"/>
      <c r="FPE5" s="1304"/>
      <c r="FPF5" s="1304"/>
      <c r="FPG5" s="1304"/>
      <c r="FPH5" s="1304"/>
      <c r="FPI5" s="1304"/>
      <c r="FPJ5" s="1304"/>
      <c r="FPK5" s="1304"/>
      <c r="FPL5" s="1304"/>
      <c r="FPM5" s="1304"/>
      <c r="FPN5" s="1304"/>
      <c r="FPO5" s="1304"/>
      <c r="FPP5" s="1304"/>
      <c r="FPQ5" s="1304"/>
      <c r="FPR5" s="1304"/>
      <c r="FPS5" s="1304"/>
      <c r="FPT5" s="1304"/>
      <c r="FPU5" s="1304"/>
      <c r="FPV5" s="1304"/>
      <c r="FPW5" s="1304"/>
      <c r="FPX5" s="1304"/>
      <c r="FPY5" s="1304"/>
      <c r="FPZ5" s="1304"/>
      <c r="FQA5" s="1304"/>
      <c r="FQB5" s="1304"/>
      <c r="FQC5" s="1304"/>
      <c r="FQD5" s="1304"/>
      <c r="FQE5" s="1304"/>
      <c r="FQF5" s="1304"/>
      <c r="FQG5" s="1304"/>
      <c r="FQH5" s="1304"/>
      <c r="FQI5" s="1304"/>
      <c r="FQJ5" s="1304"/>
      <c r="FQK5" s="1304"/>
      <c r="FQL5" s="1304"/>
      <c r="FQM5" s="1304"/>
      <c r="FQN5" s="1304"/>
      <c r="FQO5" s="1304"/>
      <c r="FQP5" s="1304"/>
      <c r="FQQ5" s="1304"/>
      <c r="FQR5" s="1304"/>
      <c r="FQS5" s="1304"/>
      <c r="FQT5" s="1304"/>
      <c r="FQU5" s="1304"/>
      <c r="FQV5" s="1304"/>
      <c r="FQW5" s="1304"/>
      <c r="FQX5" s="1304"/>
      <c r="FQY5" s="1304"/>
      <c r="FQZ5" s="1304"/>
      <c r="FRA5" s="1304"/>
      <c r="FRB5" s="1304"/>
      <c r="FRC5" s="1304"/>
      <c r="FRD5" s="1304"/>
      <c r="FRE5" s="1304"/>
      <c r="FRF5" s="1304"/>
      <c r="FRG5" s="1304"/>
      <c r="FRH5" s="1304"/>
      <c r="FRI5" s="1304"/>
      <c r="FRJ5" s="1304"/>
      <c r="FRK5" s="1304"/>
      <c r="FRL5" s="1304"/>
      <c r="FRM5" s="1304"/>
      <c r="FRN5" s="1304"/>
      <c r="FRO5" s="1304"/>
      <c r="FRP5" s="1304"/>
      <c r="FRQ5" s="1304"/>
      <c r="FRR5" s="1304"/>
      <c r="FRS5" s="1304"/>
      <c r="FRT5" s="1304"/>
      <c r="FRU5" s="1304"/>
      <c r="FRV5" s="1304"/>
      <c r="FRW5" s="1304"/>
      <c r="FRX5" s="1304"/>
      <c r="FRY5" s="1304"/>
      <c r="FRZ5" s="1304"/>
      <c r="FSA5" s="1304"/>
      <c r="FSB5" s="1304"/>
      <c r="FSC5" s="1304"/>
      <c r="FSD5" s="1304"/>
      <c r="FSE5" s="1304"/>
      <c r="FSF5" s="1304"/>
      <c r="FSG5" s="1304"/>
      <c r="FSH5" s="1304"/>
      <c r="FSI5" s="1304"/>
      <c r="FSJ5" s="1304"/>
      <c r="FSK5" s="1304"/>
      <c r="FSL5" s="1304"/>
      <c r="FSM5" s="1304"/>
      <c r="FSN5" s="1304"/>
      <c r="FSO5" s="1304"/>
      <c r="FSP5" s="1304"/>
      <c r="FSQ5" s="1304"/>
      <c r="FSR5" s="1304"/>
      <c r="FSS5" s="1304"/>
      <c r="FST5" s="1304"/>
      <c r="FSU5" s="1304"/>
      <c r="FSV5" s="1304"/>
      <c r="FSW5" s="1304"/>
      <c r="FSX5" s="1304"/>
      <c r="FSY5" s="1304"/>
      <c r="FSZ5" s="1304"/>
      <c r="FTA5" s="1304"/>
      <c r="FTB5" s="1304"/>
      <c r="FTC5" s="1304"/>
      <c r="FTD5" s="1304"/>
      <c r="FTE5" s="1304"/>
      <c r="FTF5" s="1304"/>
      <c r="FTG5" s="1304"/>
      <c r="FTH5" s="1304"/>
      <c r="FTI5" s="1304"/>
      <c r="FTJ5" s="1304"/>
      <c r="FTK5" s="1304"/>
      <c r="FTL5" s="1304"/>
      <c r="FTM5" s="1304"/>
      <c r="FTN5" s="1304"/>
      <c r="FTO5" s="1304"/>
      <c r="FTP5" s="1304"/>
      <c r="FTQ5" s="1304"/>
      <c r="FTR5" s="1304"/>
      <c r="FTS5" s="1304"/>
      <c r="FTT5" s="1304"/>
      <c r="FTU5" s="1304"/>
      <c r="FTV5" s="1304"/>
      <c r="FTW5" s="1304"/>
      <c r="FTX5" s="1304"/>
      <c r="FTY5" s="1304"/>
      <c r="FTZ5" s="1304"/>
      <c r="FUA5" s="1304"/>
      <c r="FUB5" s="1304"/>
      <c r="FUC5" s="1304"/>
      <c r="FUD5" s="1304"/>
      <c r="FUE5" s="1304"/>
      <c r="FUF5" s="1304"/>
      <c r="FUG5" s="1304"/>
      <c r="FUH5" s="1304"/>
      <c r="FUI5" s="1304"/>
      <c r="FUJ5" s="1304"/>
      <c r="FUK5" s="1304"/>
      <c r="FUL5" s="1304"/>
      <c r="FUM5" s="1304"/>
      <c r="FUN5" s="1304"/>
      <c r="FUO5" s="1304"/>
      <c r="FUP5" s="1304"/>
      <c r="FUQ5" s="1304"/>
      <c r="FUR5" s="1304"/>
      <c r="FUS5" s="1304"/>
      <c r="FUT5" s="1304"/>
      <c r="FUU5" s="1304"/>
      <c r="FUV5" s="1304"/>
      <c r="FUW5" s="1304"/>
      <c r="FUX5" s="1304"/>
      <c r="FUY5" s="1304"/>
      <c r="FUZ5" s="1304"/>
      <c r="FVA5" s="1304"/>
      <c r="FVB5" s="1304"/>
      <c r="FVC5" s="1304"/>
      <c r="FVD5" s="1304"/>
      <c r="FVE5" s="1304"/>
      <c r="FVF5" s="1304"/>
      <c r="FVG5" s="1304"/>
      <c r="FVH5" s="1304"/>
      <c r="FVI5" s="1304"/>
      <c r="FVJ5" s="1304"/>
      <c r="FVK5" s="1304"/>
      <c r="FVL5" s="1304"/>
      <c r="FVM5" s="1304"/>
      <c r="FVN5" s="1304"/>
      <c r="FVO5" s="1304"/>
      <c r="FVP5" s="1304"/>
      <c r="FVQ5" s="1304"/>
      <c r="FVR5" s="1304"/>
      <c r="FVS5" s="1304"/>
      <c r="FVT5" s="1304"/>
      <c r="FVU5" s="1304"/>
      <c r="FVV5" s="1304"/>
      <c r="FVW5" s="1304"/>
      <c r="FVX5" s="1304"/>
      <c r="FVY5" s="1304"/>
      <c r="FVZ5" s="1304"/>
      <c r="FWA5" s="1304"/>
      <c r="FWB5" s="1304"/>
      <c r="FWC5" s="1304"/>
      <c r="FWD5" s="1304"/>
      <c r="FWE5" s="1304"/>
      <c r="FWF5" s="1304"/>
      <c r="FWG5" s="1304"/>
      <c r="FWH5" s="1304"/>
      <c r="FWI5" s="1304"/>
      <c r="FWJ5" s="1304"/>
      <c r="FWK5" s="1304"/>
      <c r="FWL5" s="1304"/>
      <c r="FWM5" s="1304"/>
      <c r="FWN5" s="1304"/>
      <c r="FWO5" s="1304"/>
      <c r="FWP5" s="1304"/>
      <c r="FWQ5" s="1304"/>
      <c r="FWR5" s="1304"/>
      <c r="FWS5" s="1304"/>
      <c r="FWT5" s="1304"/>
      <c r="FWU5" s="1304"/>
      <c r="FWV5" s="1304"/>
      <c r="FWW5" s="1304"/>
      <c r="FWX5" s="1304"/>
      <c r="FWY5" s="1304"/>
      <c r="FWZ5" s="1304"/>
      <c r="FXA5" s="1304"/>
      <c r="FXB5" s="1304"/>
      <c r="FXC5" s="1304"/>
      <c r="FXD5" s="1304"/>
      <c r="FXE5" s="1304"/>
      <c r="FXF5" s="1304"/>
      <c r="FXG5" s="1304"/>
      <c r="FXH5" s="1304"/>
      <c r="FXI5" s="1304"/>
      <c r="FXJ5" s="1304"/>
      <c r="FXK5" s="1304"/>
      <c r="FXL5" s="1304"/>
      <c r="FXM5" s="1304"/>
      <c r="FXN5" s="1304"/>
      <c r="FXO5" s="1304"/>
      <c r="FXP5" s="1304"/>
      <c r="FXQ5" s="1304"/>
      <c r="FXR5" s="1304"/>
      <c r="FXS5" s="1304"/>
      <c r="FXT5" s="1304"/>
      <c r="FXU5" s="1304"/>
      <c r="FXV5" s="1304"/>
      <c r="FXW5" s="1304"/>
      <c r="FXX5" s="1304"/>
      <c r="FXY5" s="1304"/>
      <c r="FXZ5" s="1304"/>
      <c r="FYA5" s="1304"/>
      <c r="FYB5" s="1304"/>
      <c r="FYC5" s="1304"/>
      <c r="FYD5" s="1304"/>
      <c r="FYE5" s="1304"/>
      <c r="FYF5" s="1304"/>
      <c r="FYG5" s="1304"/>
      <c r="FYH5" s="1304"/>
      <c r="FYI5" s="1304"/>
      <c r="FYJ5" s="1304"/>
      <c r="FYK5" s="1304"/>
      <c r="FYL5" s="1304"/>
      <c r="FYM5" s="1304"/>
      <c r="FYN5" s="1304"/>
      <c r="FYO5" s="1304"/>
      <c r="FYP5" s="1304"/>
      <c r="FYQ5" s="1304"/>
      <c r="FYR5" s="1304"/>
      <c r="FYS5" s="1304"/>
      <c r="FYT5" s="1304"/>
      <c r="FYU5" s="1304"/>
      <c r="FYV5" s="1304"/>
      <c r="FYW5" s="1304"/>
      <c r="FYX5" s="1304"/>
      <c r="FYY5" s="1304"/>
      <c r="FYZ5" s="1304"/>
      <c r="FZA5" s="1304"/>
      <c r="FZB5" s="1304"/>
      <c r="FZC5" s="1304"/>
      <c r="FZD5" s="1304"/>
      <c r="FZE5" s="1304"/>
      <c r="FZF5" s="1304"/>
      <c r="FZG5" s="1304"/>
      <c r="FZH5" s="1304"/>
      <c r="FZI5" s="1304"/>
      <c r="FZJ5" s="1304"/>
      <c r="FZK5" s="1304"/>
      <c r="FZL5" s="1304"/>
      <c r="FZM5" s="1304"/>
      <c r="FZN5" s="1304"/>
      <c r="FZO5" s="1304"/>
      <c r="FZP5" s="1304"/>
      <c r="FZQ5" s="1304"/>
      <c r="FZR5" s="1304"/>
      <c r="FZS5" s="1304"/>
      <c r="FZT5" s="1304"/>
      <c r="FZU5" s="1304"/>
      <c r="FZV5" s="1304"/>
      <c r="FZW5" s="1304"/>
      <c r="FZX5" s="1304"/>
      <c r="FZY5" s="1304"/>
      <c r="FZZ5" s="1304"/>
      <c r="GAA5" s="1304"/>
      <c r="GAB5" s="1304"/>
      <c r="GAC5" s="1304"/>
      <c r="GAD5" s="1304"/>
      <c r="GAE5" s="1304"/>
      <c r="GAF5" s="1304"/>
      <c r="GAG5" s="1304"/>
      <c r="GAH5" s="1304"/>
      <c r="GAI5" s="1304"/>
      <c r="GAJ5" s="1304"/>
      <c r="GAK5" s="1304"/>
      <c r="GAL5" s="1304"/>
      <c r="GAM5" s="1304"/>
      <c r="GAN5" s="1304"/>
      <c r="GAO5" s="1304"/>
      <c r="GAP5" s="1304"/>
      <c r="GAQ5" s="1304"/>
      <c r="GAR5" s="1304"/>
      <c r="GAS5" s="1304"/>
      <c r="GAT5" s="1304"/>
      <c r="GAU5" s="1304"/>
      <c r="GAV5" s="1304"/>
      <c r="GAW5" s="1304"/>
      <c r="GAX5" s="1304"/>
      <c r="GAY5" s="1304"/>
      <c r="GAZ5" s="1304"/>
      <c r="GBA5" s="1304"/>
      <c r="GBB5" s="1304"/>
      <c r="GBC5" s="1304"/>
      <c r="GBD5" s="1304"/>
      <c r="GBE5" s="1304"/>
      <c r="GBF5" s="1304"/>
      <c r="GBG5" s="1304"/>
      <c r="GBH5" s="1304"/>
      <c r="GBI5" s="1304"/>
      <c r="GBJ5" s="1304"/>
      <c r="GBK5" s="1304"/>
      <c r="GBL5" s="1304"/>
      <c r="GBM5" s="1304"/>
      <c r="GBN5" s="1304"/>
      <c r="GBO5" s="1304"/>
      <c r="GBP5" s="1304"/>
      <c r="GBQ5" s="1304"/>
      <c r="GBR5" s="1304"/>
      <c r="GBS5" s="1304"/>
      <c r="GBT5" s="1304"/>
      <c r="GBU5" s="1304"/>
      <c r="GBV5" s="1304"/>
      <c r="GBW5" s="1304"/>
      <c r="GBX5" s="1304"/>
      <c r="GBY5" s="1304"/>
      <c r="GBZ5" s="1304"/>
      <c r="GCA5" s="1304"/>
      <c r="GCB5" s="1304"/>
      <c r="GCC5" s="1304"/>
      <c r="GCD5" s="1304"/>
      <c r="GCE5" s="1304"/>
      <c r="GCF5" s="1304"/>
      <c r="GCG5" s="1304"/>
      <c r="GCH5" s="1304"/>
      <c r="GCI5" s="1304"/>
      <c r="GCJ5" s="1304"/>
      <c r="GCK5" s="1304"/>
      <c r="GCL5" s="1304"/>
      <c r="GCM5" s="1304"/>
      <c r="GCN5" s="1304"/>
      <c r="GCO5" s="1304"/>
      <c r="GCP5" s="1304"/>
      <c r="GCQ5" s="1304"/>
      <c r="GCR5" s="1304"/>
      <c r="GCS5" s="1304"/>
      <c r="GCT5" s="1304"/>
      <c r="GCU5" s="1304"/>
      <c r="GCV5" s="1304"/>
      <c r="GCW5" s="1304"/>
      <c r="GCX5" s="1304"/>
      <c r="GCY5" s="1304"/>
      <c r="GCZ5" s="1304"/>
      <c r="GDA5" s="1304"/>
      <c r="GDB5" s="1304"/>
      <c r="GDC5" s="1304"/>
      <c r="GDD5" s="1304"/>
      <c r="GDE5" s="1304"/>
      <c r="GDF5" s="1304"/>
      <c r="GDG5" s="1304"/>
      <c r="GDH5" s="1304"/>
      <c r="GDI5" s="1304"/>
      <c r="GDJ5" s="1304"/>
      <c r="GDK5" s="1304"/>
      <c r="GDL5" s="1304"/>
      <c r="GDM5" s="1304"/>
      <c r="GDN5" s="1304"/>
      <c r="GDO5" s="1304"/>
      <c r="GDP5" s="1304"/>
      <c r="GDQ5" s="1304"/>
      <c r="GDR5" s="1304"/>
      <c r="GDS5" s="1304"/>
      <c r="GDT5" s="1304"/>
      <c r="GDU5" s="1304"/>
      <c r="GDV5" s="1304"/>
      <c r="GDW5" s="1304"/>
      <c r="GDX5" s="1304"/>
      <c r="GDY5" s="1304"/>
      <c r="GDZ5" s="1304"/>
      <c r="GEA5" s="1304"/>
      <c r="GEB5" s="1304"/>
      <c r="GEC5" s="1304"/>
      <c r="GED5" s="1304"/>
      <c r="GEE5" s="1304"/>
      <c r="GEF5" s="1304"/>
      <c r="GEG5" s="1304"/>
      <c r="GEH5" s="1304"/>
      <c r="GEI5" s="1304"/>
      <c r="GEJ5" s="1304"/>
      <c r="GEK5" s="1304"/>
      <c r="GEL5" s="1304"/>
      <c r="GEM5" s="1304"/>
      <c r="GEN5" s="1304"/>
      <c r="GEO5" s="1304"/>
      <c r="GEP5" s="1304"/>
      <c r="GEQ5" s="1304"/>
      <c r="GER5" s="1304"/>
      <c r="GES5" s="1304"/>
      <c r="GET5" s="1304"/>
      <c r="GEU5" s="1304"/>
      <c r="GEV5" s="1304"/>
      <c r="GEW5" s="1304"/>
      <c r="GEX5" s="1304"/>
      <c r="GEY5" s="1304"/>
      <c r="GEZ5" s="1304"/>
      <c r="GFA5" s="1304"/>
      <c r="GFB5" s="1304"/>
      <c r="GFC5" s="1304"/>
      <c r="GFD5" s="1304"/>
      <c r="GFE5" s="1304"/>
      <c r="GFF5" s="1304"/>
      <c r="GFG5" s="1304"/>
      <c r="GFH5" s="1304"/>
      <c r="GFI5" s="1304"/>
      <c r="GFJ5" s="1304"/>
      <c r="GFK5" s="1304"/>
      <c r="GFL5" s="1304"/>
      <c r="GFM5" s="1304"/>
      <c r="GFN5" s="1304"/>
      <c r="GFO5" s="1304"/>
      <c r="GFP5" s="1304"/>
      <c r="GFQ5" s="1304"/>
      <c r="GFR5" s="1304"/>
      <c r="GFS5" s="1304"/>
      <c r="GFT5" s="1304"/>
      <c r="GFU5" s="1304"/>
      <c r="GFV5" s="1304"/>
      <c r="GFW5" s="1304"/>
      <c r="GFX5" s="1304"/>
      <c r="GFY5" s="1304"/>
      <c r="GFZ5" s="1304"/>
      <c r="GGA5" s="1304"/>
      <c r="GGB5" s="1304"/>
      <c r="GGC5" s="1304"/>
      <c r="GGD5" s="1304"/>
      <c r="GGE5" s="1304"/>
      <c r="GGF5" s="1304"/>
      <c r="GGG5" s="1304"/>
      <c r="GGH5" s="1304"/>
      <c r="GGI5" s="1304"/>
      <c r="GGJ5" s="1304"/>
      <c r="GGK5" s="1304"/>
      <c r="GGL5" s="1304"/>
      <c r="GGM5" s="1304"/>
      <c r="GGN5" s="1304"/>
      <c r="GGO5" s="1304"/>
      <c r="GGP5" s="1304"/>
      <c r="GGQ5" s="1304"/>
      <c r="GGR5" s="1304"/>
      <c r="GGS5" s="1304"/>
      <c r="GGT5" s="1304"/>
      <c r="GGU5" s="1304"/>
      <c r="GGV5" s="1304"/>
      <c r="GGW5" s="1304"/>
      <c r="GGX5" s="1304"/>
      <c r="GGY5" s="1304"/>
      <c r="GGZ5" s="1304"/>
      <c r="GHA5" s="1304"/>
      <c r="GHB5" s="1304"/>
      <c r="GHC5" s="1304"/>
      <c r="GHD5" s="1304"/>
      <c r="GHE5" s="1304"/>
      <c r="GHF5" s="1304"/>
      <c r="GHG5" s="1304"/>
      <c r="GHH5" s="1304"/>
      <c r="GHI5" s="1304"/>
      <c r="GHJ5" s="1304"/>
      <c r="GHK5" s="1304"/>
      <c r="GHL5" s="1304"/>
      <c r="GHM5" s="1304"/>
      <c r="GHN5" s="1304"/>
      <c r="GHO5" s="1304"/>
      <c r="GHP5" s="1304"/>
      <c r="GHQ5" s="1304"/>
      <c r="GHR5" s="1304"/>
      <c r="GHS5" s="1304"/>
      <c r="GHT5" s="1304"/>
      <c r="GHU5" s="1304"/>
      <c r="GHV5" s="1304"/>
      <c r="GHW5" s="1304"/>
      <c r="GHX5" s="1304"/>
      <c r="GHY5" s="1304"/>
      <c r="GHZ5" s="1304"/>
      <c r="GIA5" s="1304"/>
      <c r="GIB5" s="1304"/>
      <c r="GIC5" s="1304"/>
      <c r="GID5" s="1304"/>
      <c r="GIE5" s="1304"/>
      <c r="GIF5" s="1304"/>
      <c r="GIG5" s="1304"/>
      <c r="GIH5" s="1304"/>
      <c r="GII5" s="1304"/>
      <c r="GIJ5" s="1304"/>
      <c r="GIK5" s="1304"/>
      <c r="GIL5" s="1304"/>
      <c r="GIM5" s="1304"/>
      <c r="GIN5" s="1304"/>
      <c r="GIO5" s="1304"/>
      <c r="GIP5" s="1304"/>
      <c r="GIQ5" s="1304"/>
      <c r="GIR5" s="1304"/>
      <c r="GIS5" s="1304"/>
      <c r="GIT5" s="1304"/>
      <c r="GIU5" s="1304"/>
      <c r="GIV5" s="1304"/>
      <c r="GIW5" s="1304"/>
      <c r="GIX5" s="1304"/>
      <c r="GIY5" s="1304"/>
      <c r="GIZ5" s="1304"/>
      <c r="GJA5" s="1304"/>
      <c r="GJB5" s="1304"/>
      <c r="GJC5" s="1304"/>
      <c r="GJD5" s="1304"/>
      <c r="GJE5" s="1304"/>
      <c r="GJF5" s="1304"/>
      <c r="GJG5" s="1304"/>
      <c r="GJH5" s="1304"/>
      <c r="GJI5" s="1304"/>
      <c r="GJJ5" s="1304"/>
      <c r="GJK5" s="1304"/>
      <c r="GJL5" s="1304"/>
      <c r="GJM5" s="1304"/>
      <c r="GJN5" s="1304"/>
      <c r="GJO5" s="1304"/>
      <c r="GJP5" s="1304"/>
      <c r="GJQ5" s="1304"/>
      <c r="GJR5" s="1304"/>
      <c r="GJS5" s="1304"/>
      <c r="GJT5" s="1304"/>
      <c r="GJU5" s="1304"/>
      <c r="GJV5" s="1304"/>
      <c r="GJW5" s="1304"/>
      <c r="GJX5" s="1304"/>
      <c r="GJY5" s="1304"/>
      <c r="GJZ5" s="1304"/>
      <c r="GKA5" s="1304"/>
      <c r="GKB5" s="1304"/>
      <c r="GKC5" s="1304"/>
      <c r="GKD5" s="1304"/>
      <c r="GKE5" s="1304"/>
      <c r="GKF5" s="1304"/>
      <c r="GKG5" s="1304"/>
      <c r="GKH5" s="1304"/>
      <c r="GKI5" s="1304"/>
      <c r="GKJ5" s="1304"/>
      <c r="GKK5" s="1304"/>
      <c r="GKL5" s="1304"/>
      <c r="GKM5" s="1304"/>
      <c r="GKN5" s="1304"/>
      <c r="GKO5" s="1304"/>
      <c r="GKP5" s="1304"/>
      <c r="GKQ5" s="1304"/>
      <c r="GKR5" s="1304"/>
      <c r="GKS5" s="1304"/>
      <c r="GKT5" s="1304"/>
      <c r="GKU5" s="1304"/>
      <c r="GKV5" s="1304"/>
      <c r="GKW5" s="1304"/>
      <c r="GKX5" s="1304"/>
      <c r="GKY5" s="1304"/>
      <c r="GKZ5" s="1304"/>
      <c r="GLA5" s="1304"/>
      <c r="GLB5" s="1304"/>
      <c r="GLC5" s="1304"/>
      <c r="GLD5" s="1304"/>
      <c r="GLE5" s="1304"/>
      <c r="GLF5" s="1304"/>
      <c r="GLG5" s="1304"/>
      <c r="GLH5" s="1304"/>
      <c r="GLI5" s="1304"/>
      <c r="GLJ5" s="1304"/>
      <c r="GLK5" s="1304"/>
      <c r="GLL5" s="1304"/>
      <c r="GLM5" s="1304"/>
      <c r="GLN5" s="1304"/>
      <c r="GLO5" s="1304"/>
      <c r="GLP5" s="1304"/>
      <c r="GLQ5" s="1304"/>
      <c r="GLR5" s="1304"/>
      <c r="GLS5" s="1304"/>
      <c r="GLT5" s="1304"/>
      <c r="GLU5" s="1304"/>
      <c r="GLV5" s="1304"/>
      <c r="GLW5" s="1304"/>
      <c r="GLX5" s="1304"/>
      <c r="GLY5" s="1304"/>
      <c r="GLZ5" s="1304"/>
      <c r="GMA5" s="1304"/>
      <c r="GMB5" s="1304"/>
      <c r="GMC5" s="1304"/>
      <c r="GMD5" s="1304"/>
      <c r="GME5" s="1304"/>
      <c r="GMF5" s="1304"/>
      <c r="GMG5" s="1304"/>
      <c r="GMH5" s="1304"/>
      <c r="GMI5" s="1304"/>
      <c r="GMJ5" s="1304"/>
      <c r="GMK5" s="1304"/>
      <c r="GML5" s="1304"/>
      <c r="GMM5" s="1304"/>
      <c r="GMN5" s="1304"/>
      <c r="GMO5" s="1304"/>
      <c r="GMP5" s="1304"/>
      <c r="GMQ5" s="1304"/>
      <c r="GMR5" s="1304"/>
      <c r="GMS5" s="1304"/>
      <c r="GMT5" s="1304"/>
      <c r="GMU5" s="1304"/>
      <c r="GMV5" s="1304"/>
      <c r="GMW5" s="1304"/>
      <c r="GMX5" s="1304"/>
      <c r="GMY5" s="1304"/>
      <c r="GMZ5" s="1304"/>
      <c r="GNA5" s="1304"/>
      <c r="GNB5" s="1304"/>
      <c r="GNC5" s="1304"/>
      <c r="GND5" s="1304"/>
      <c r="GNE5" s="1304"/>
      <c r="GNF5" s="1304"/>
      <c r="GNG5" s="1304"/>
      <c r="GNH5" s="1304"/>
      <c r="GNI5" s="1304"/>
      <c r="GNJ5" s="1304"/>
      <c r="GNK5" s="1304"/>
      <c r="GNL5" s="1304"/>
      <c r="GNM5" s="1304"/>
      <c r="GNN5" s="1304"/>
      <c r="GNO5" s="1304"/>
      <c r="GNP5" s="1304"/>
      <c r="GNQ5" s="1304"/>
      <c r="GNR5" s="1304"/>
      <c r="GNS5" s="1304"/>
      <c r="GNT5" s="1304"/>
      <c r="GNU5" s="1304"/>
      <c r="GNV5" s="1304"/>
      <c r="GNW5" s="1304"/>
      <c r="GNX5" s="1304"/>
      <c r="GNY5" s="1304"/>
      <c r="GNZ5" s="1304"/>
      <c r="GOA5" s="1304"/>
      <c r="GOB5" s="1304"/>
      <c r="GOC5" s="1304"/>
      <c r="GOD5" s="1304"/>
      <c r="GOE5" s="1304"/>
      <c r="GOF5" s="1304"/>
      <c r="GOG5" s="1304"/>
      <c r="GOH5" s="1304"/>
      <c r="GOI5" s="1304"/>
      <c r="GOJ5" s="1304"/>
      <c r="GOK5" s="1304"/>
      <c r="GOL5" s="1304"/>
      <c r="GOM5" s="1304"/>
      <c r="GON5" s="1304"/>
      <c r="GOO5" s="1304"/>
      <c r="GOP5" s="1304"/>
      <c r="GOQ5" s="1304"/>
      <c r="GOR5" s="1304"/>
      <c r="GOS5" s="1304"/>
      <c r="GOT5" s="1304"/>
      <c r="GOU5" s="1304"/>
      <c r="GOV5" s="1304"/>
      <c r="GOW5" s="1304"/>
      <c r="GOX5" s="1304"/>
      <c r="GOY5" s="1304"/>
      <c r="GOZ5" s="1304"/>
      <c r="GPA5" s="1304"/>
      <c r="GPB5" s="1304"/>
      <c r="GPC5" s="1304"/>
      <c r="GPD5" s="1304"/>
      <c r="GPE5" s="1304"/>
      <c r="GPF5" s="1304"/>
      <c r="GPG5" s="1304"/>
      <c r="GPH5" s="1304"/>
      <c r="GPI5" s="1304"/>
      <c r="GPJ5" s="1304"/>
      <c r="GPK5" s="1304"/>
      <c r="GPL5" s="1304"/>
      <c r="GPM5" s="1304"/>
      <c r="GPN5" s="1304"/>
      <c r="GPO5" s="1304"/>
      <c r="GPP5" s="1304"/>
      <c r="GPQ5" s="1304"/>
      <c r="GPR5" s="1304"/>
      <c r="GPS5" s="1304"/>
      <c r="GPT5" s="1304"/>
      <c r="GPU5" s="1304"/>
      <c r="GPV5" s="1304"/>
      <c r="GPW5" s="1304"/>
      <c r="GPX5" s="1304"/>
      <c r="GPY5" s="1304"/>
      <c r="GPZ5" s="1304"/>
      <c r="GQA5" s="1304"/>
      <c r="GQB5" s="1304"/>
      <c r="GQC5" s="1304"/>
      <c r="GQD5" s="1304"/>
      <c r="GQE5" s="1304"/>
      <c r="GQF5" s="1304"/>
      <c r="GQG5" s="1304"/>
      <c r="GQH5" s="1304"/>
      <c r="GQI5" s="1304"/>
      <c r="GQJ5" s="1304"/>
      <c r="GQK5" s="1304"/>
      <c r="GQL5" s="1304"/>
      <c r="GQM5" s="1304"/>
      <c r="GQN5" s="1304"/>
      <c r="GQO5" s="1304"/>
      <c r="GQP5" s="1304"/>
      <c r="GQQ5" s="1304"/>
      <c r="GQR5" s="1304"/>
      <c r="GQS5" s="1304"/>
      <c r="GQT5" s="1304"/>
      <c r="GQU5" s="1304"/>
      <c r="GQV5" s="1304"/>
      <c r="GQW5" s="1304"/>
      <c r="GQX5" s="1304"/>
      <c r="GQY5" s="1304"/>
      <c r="GQZ5" s="1304"/>
      <c r="GRA5" s="1304"/>
      <c r="GRB5" s="1304"/>
      <c r="GRC5" s="1304"/>
      <c r="GRD5" s="1304"/>
      <c r="GRE5" s="1304"/>
      <c r="GRF5" s="1304"/>
      <c r="GRG5" s="1304"/>
      <c r="GRH5" s="1304"/>
      <c r="GRI5" s="1304"/>
      <c r="GRJ5" s="1304"/>
      <c r="GRK5" s="1304"/>
      <c r="GRL5" s="1304"/>
      <c r="GRM5" s="1304"/>
      <c r="GRN5" s="1304"/>
      <c r="GRO5" s="1304"/>
      <c r="GRP5" s="1304"/>
      <c r="GRQ5" s="1304"/>
      <c r="GRR5" s="1304"/>
      <c r="GRS5" s="1304"/>
      <c r="GRT5" s="1304"/>
      <c r="GRU5" s="1304"/>
      <c r="GRV5" s="1304"/>
      <c r="GRW5" s="1304"/>
      <c r="GRX5" s="1304"/>
      <c r="GRY5" s="1304"/>
      <c r="GRZ5" s="1304"/>
      <c r="GSA5" s="1304"/>
      <c r="GSB5" s="1304"/>
      <c r="GSC5" s="1304"/>
      <c r="GSD5" s="1304"/>
      <c r="GSE5" s="1304"/>
      <c r="GSF5" s="1304"/>
      <c r="GSG5" s="1304"/>
      <c r="GSH5" s="1304"/>
      <c r="GSI5" s="1304"/>
      <c r="GSJ5" s="1304"/>
      <c r="GSK5" s="1304"/>
      <c r="GSL5" s="1304"/>
      <c r="GSM5" s="1304"/>
      <c r="GSN5" s="1304"/>
      <c r="GSO5" s="1304"/>
      <c r="GSP5" s="1304"/>
      <c r="GSQ5" s="1304"/>
      <c r="GSR5" s="1304"/>
      <c r="GSS5" s="1304"/>
      <c r="GST5" s="1304"/>
      <c r="GSU5" s="1304"/>
      <c r="GSV5" s="1304"/>
      <c r="GSW5" s="1304"/>
      <c r="GSX5" s="1304"/>
      <c r="GSY5" s="1304"/>
      <c r="GSZ5" s="1304"/>
      <c r="GTA5" s="1304"/>
      <c r="GTB5" s="1304"/>
      <c r="GTC5" s="1304"/>
      <c r="GTD5" s="1304"/>
      <c r="GTE5" s="1304"/>
      <c r="GTF5" s="1304"/>
      <c r="GTG5" s="1304"/>
      <c r="GTH5" s="1304"/>
      <c r="GTI5" s="1304"/>
      <c r="GTJ5" s="1304"/>
      <c r="GTK5" s="1304"/>
      <c r="GTL5" s="1304"/>
      <c r="GTM5" s="1304"/>
      <c r="GTN5" s="1304"/>
      <c r="GTO5" s="1304"/>
      <c r="GTP5" s="1304"/>
      <c r="GTQ5" s="1304"/>
      <c r="GTR5" s="1304"/>
      <c r="GTS5" s="1304"/>
      <c r="GTT5" s="1304"/>
      <c r="GTU5" s="1304"/>
      <c r="GTV5" s="1304"/>
      <c r="GTW5" s="1304"/>
      <c r="GTX5" s="1304"/>
      <c r="GTY5" s="1304"/>
      <c r="GTZ5" s="1304"/>
      <c r="GUA5" s="1304"/>
      <c r="GUB5" s="1304"/>
      <c r="GUC5" s="1304"/>
      <c r="GUD5" s="1304"/>
      <c r="GUE5" s="1304"/>
      <c r="GUF5" s="1304"/>
      <c r="GUG5" s="1304"/>
      <c r="GUH5" s="1304"/>
      <c r="GUI5" s="1304"/>
      <c r="GUJ5" s="1304"/>
      <c r="GUK5" s="1304"/>
      <c r="GUL5" s="1304"/>
      <c r="GUM5" s="1304"/>
      <c r="GUN5" s="1304"/>
      <c r="GUO5" s="1304"/>
      <c r="GUP5" s="1304"/>
      <c r="GUQ5" s="1304"/>
      <c r="GUR5" s="1304"/>
      <c r="GUS5" s="1304"/>
      <c r="GUT5" s="1304"/>
      <c r="GUU5" s="1304"/>
      <c r="GUV5" s="1304"/>
      <c r="GUW5" s="1304"/>
      <c r="GUX5" s="1304"/>
      <c r="GUY5" s="1304"/>
      <c r="GUZ5" s="1304"/>
      <c r="GVA5" s="1304"/>
      <c r="GVB5" s="1304"/>
      <c r="GVC5" s="1304"/>
      <c r="GVD5" s="1304"/>
      <c r="GVE5" s="1304"/>
      <c r="GVF5" s="1304"/>
      <c r="GVG5" s="1304"/>
      <c r="GVH5" s="1304"/>
      <c r="GVI5" s="1304"/>
      <c r="GVJ5" s="1304"/>
      <c r="GVK5" s="1304"/>
      <c r="GVL5" s="1304"/>
      <c r="GVM5" s="1304"/>
      <c r="GVN5" s="1304"/>
      <c r="GVO5" s="1304"/>
      <c r="GVP5" s="1304"/>
      <c r="GVQ5" s="1304"/>
      <c r="GVR5" s="1304"/>
      <c r="GVS5" s="1304"/>
      <c r="GVT5" s="1304"/>
      <c r="GVU5" s="1304"/>
      <c r="GVV5" s="1304"/>
      <c r="GVW5" s="1304"/>
      <c r="GVX5" s="1304"/>
      <c r="GVY5" s="1304"/>
      <c r="GVZ5" s="1304"/>
      <c r="GWA5" s="1304"/>
      <c r="GWB5" s="1304"/>
      <c r="GWC5" s="1304"/>
      <c r="GWD5" s="1304"/>
      <c r="GWE5" s="1304"/>
      <c r="GWF5" s="1304"/>
      <c r="GWG5" s="1304"/>
      <c r="GWH5" s="1304"/>
      <c r="GWI5" s="1304"/>
      <c r="GWJ5" s="1304"/>
      <c r="GWK5" s="1304"/>
      <c r="GWL5" s="1304"/>
      <c r="GWM5" s="1304"/>
      <c r="GWN5" s="1304"/>
      <c r="GWO5" s="1304"/>
      <c r="GWP5" s="1304"/>
      <c r="GWQ5" s="1304"/>
      <c r="GWR5" s="1304"/>
      <c r="GWS5" s="1304"/>
      <c r="GWT5" s="1304"/>
      <c r="GWU5" s="1304"/>
      <c r="GWV5" s="1304"/>
      <c r="GWW5" s="1304"/>
      <c r="GWX5" s="1304"/>
      <c r="GWY5" s="1304"/>
      <c r="GWZ5" s="1304"/>
      <c r="GXA5" s="1304"/>
      <c r="GXB5" s="1304"/>
      <c r="GXC5" s="1304"/>
      <c r="GXD5" s="1304"/>
      <c r="GXE5" s="1304"/>
      <c r="GXF5" s="1304"/>
      <c r="GXG5" s="1304"/>
      <c r="GXH5" s="1304"/>
      <c r="GXI5" s="1304"/>
      <c r="GXJ5" s="1304"/>
      <c r="GXK5" s="1304"/>
      <c r="GXL5" s="1304"/>
      <c r="GXM5" s="1304"/>
      <c r="GXN5" s="1304"/>
      <c r="GXO5" s="1304"/>
      <c r="GXP5" s="1304"/>
      <c r="GXQ5" s="1304"/>
      <c r="GXR5" s="1304"/>
      <c r="GXS5" s="1304"/>
      <c r="GXT5" s="1304"/>
      <c r="GXU5" s="1304"/>
      <c r="GXV5" s="1304"/>
      <c r="GXW5" s="1304"/>
      <c r="GXX5" s="1304"/>
      <c r="GXY5" s="1304"/>
      <c r="GXZ5" s="1304"/>
      <c r="GYA5" s="1304"/>
      <c r="GYB5" s="1304"/>
      <c r="GYC5" s="1304"/>
      <c r="GYD5" s="1304"/>
      <c r="GYE5" s="1304"/>
      <c r="GYF5" s="1304"/>
      <c r="GYG5" s="1304"/>
      <c r="GYH5" s="1304"/>
      <c r="GYI5" s="1304"/>
      <c r="GYJ5" s="1304"/>
      <c r="GYK5" s="1304"/>
      <c r="GYL5" s="1304"/>
      <c r="GYM5" s="1304"/>
      <c r="GYN5" s="1304"/>
      <c r="GYO5" s="1304"/>
      <c r="GYP5" s="1304"/>
      <c r="GYQ5" s="1304"/>
      <c r="GYR5" s="1304"/>
      <c r="GYS5" s="1304"/>
      <c r="GYT5" s="1304"/>
      <c r="GYU5" s="1304"/>
      <c r="GYV5" s="1304"/>
      <c r="GYW5" s="1304"/>
      <c r="GYX5" s="1304"/>
      <c r="GYY5" s="1304"/>
      <c r="GYZ5" s="1304"/>
      <c r="GZA5" s="1304"/>
      <c r="GZB5" s="1304"/>
      <c r="GZC5" s="1304"/>
      <c r="GZD5" s="1304"/>
      <c r="GZE5" s="1304"/>
      <c r="GZF5" s="1304"/>
      <c r="GZG5" s="1304"/>
      <c r="GZH5" s="1304"/>
      <c r="GZI5" s="1304"/>
      <c r="GZJ5" s="1304"/>
      <c r="GZK5" s="1304"/>
      <c r="GZL5" s="1304"/>
      <c r="GZM5" s="1304"/>
      <c r="GZN5" s="1304"/>
      <c r="GZO5" s="1304"/>
      <c r="GZP5" s="1304"/>
      <c r="GZQ5" s="1304"/>
      <c r="GZR5" s="1304"/>
      <c r="GZS5" s="1304"/>
      <c r="GZT5" s="1304"/>
      <c r="GZU5" s="1304"/>
      <c r="GZV5" s="1304"/>
      <c r="GZW5" s="1304"/>
      <c r="GZX5" s="1304"/>
      <c r="GZY5" s="1304"/>
      <c r="GZZ5" s="1304"/>
      <c r="HAA5" s="1304"/>
      <c r="HAB5" s="1304"/>
      <c r="HAC5" s="1304"/>
      <c r="HAD5" s="1304"/>
      <c r="HAE5" s="1304"/>
      <c r="HAF5" s="1304"/>
      <c r="HAG5" s="1304"/>
      <c r="HAH5" s="1304"/>
      <c r="HAI5" s="1304"/>
      <c r="HAJ5" s="1304"/>
      <c r="HAK5" s="1304"/>
      <c r="HAL5" s="1304"/>
      <c r="HAM5" s="1304"/>
      <c r="HAN5" s="1304"/>
      <c r="HAO5" s="1304"/>
      <c r="HAP5" s="1304"/>
      <c r="HAQ5" s="1304"/>
      <c r="HAR5" s="1304"/>
      <c r="HAS5" s="1304"/>
      <c r="HAT5" s="1304"/>
      <c r="HAU5" s="1304"/>
      <c r="HAV5" s="1304"/>
      <c r="HAW5" s="1304"/>
      <c r="HAX5" s="1304"/>
      <c r="HAY5" s="1304"/>
      <c r="HAZ5" s="1304"/>
      <c r="HBA5" s="1304"/>
      <c r="HBB5" s="1304"/>
      <c r="HBC5" s="1304"/>
      <c r="HBD5" s="1304"/>
      <c r="HBE5" s="1304"/>
      <c r="HBF5" s="1304"/>
      <c r="HBG5" s="1304"/>
      <c r="HBH5" s="1304"/>
      <c r="HBI5" s="1304"/>
      <c r="HBJ5" s="1304"/>
      <c r="HBK5" s="1304"/>
      <c r="HBL5" s="1304"/>
      <c r="HBM5" s="1304"/>
      <c r="HBN5" s="1304"/>
      <c r="HBO5" s="1304"/>
      <c r="HBP5" s="1304"/>
      <c r="HBQ5" s="1304"/>
      <c r="HBR5" s="1304"/>
      <c r="HBS5" s="1304"/>
      <c r="HBT5" s="1304"/>
      <c r="HBU5" s="1304"/>
      <c r="HBV5" s="1304"/>
      <c r="HBW5" s="1304"/>
      <c r="HBX5" s="1304"/>
      <c r="HBY5" s="1304"/>
      <c r="HBZ5" s="1304"/>
      <c r="HCA5" s="1304"/>
      <c r="HCB5" s="1304"/>
      <c r="HCC5" s="1304"/>
      <c r="HCD5" s="1304"/>
      <c r="HCE5" s="1304"/>
      <c r="HCF5" s="1304"/>
      <c r="HCG5" s="1304"/>
      <c r="HCH5" s="1304"/>
      <c r="HCI5" s="1304"/>
      <c r="HCJ5" s="1304"/>
      <c r="HCK5" s="1304"/>
      <c r="HCL5" s="1304"/>
      <c r="HCM5" s="1304"/>
      <c r="HCN5" s="1304"/>
      <c r="HCO5" s="1304"/>
      <c r="HCP5" s="1304"/>
      <c r="HCQ5" s="1304"/>
      <c r="HCR5" s="1304"/>
      <c r="HCS5" s="1304"/>
      <c r="HCT5" s="1304"/>
      <c r="HCU5" s="1304"/>
      <c r="HCV5" s="1304"/>
      <c r="HCW5" s="1304"/>
      <c r="HCX5" s="1304"/>
      <c r="HCY5" s="1304"/>
      <c r="HCZ5" s="1304"/>
      <c r="HDA5" s="1304"/>
      <c r="HDB5" s="1304"/>
      <c r="HDC5" s="1304"/>
      <c r="HDD5" s="1304"/>
      <c r="HDE5" s="1304"/>
      <c r="HDF5" s="1304"/>
      <c r="HDG5" s="1304"/>
      <c r="HDH5" s="1304"/>
      <c r="HDI5" s="1304"/>
      <c r="HDJ5" s="1304"/>
      <c r="HDK5" s="1304"/>
      <c r="HDL5" s="1304"/>
      <c r="HDM5" s="1304"/>
      <c r="HDN5" s="1304"/>
      <c r="HDO5" s="1304"/>
      <c r="HDP5" s="1304"/>
      <c r="HDQ5" s="1304"/>
      <c r="HDR5" s="1304"/>
      <c r="HDS5" s="1304"/>
      <c r="HDT5" s="1304"/>
      <c r="HDU5" s="1304"/>
      <c r="HDV5" s="1304"/>
      <c r="HDW5" s="1304"/>
      <c r="HDX5" s="1304"/>
      <c r="HDY5" s="1304"/>
      <c r="HDZ5" s="1304"/>
      <c r="HEA5" s="1304"/>
      <c r="HEB5" s="1304"/>
      <c r="HEC5" s="1304"/>
      <c r="HED5" s="1304"/>
      <c r="HEE5" s="1304"/>
      <c r="HEF5" s="1304"/>
      <c r="HEG5" s="1304"/>
      <c r="HEH5" s="1304"/>
      <c r="HEI5" s="1304"/>
      <c r="HEJ5" s="1304"/>
      <c r="HEK5" s="1304"/>
      <c r="HEL5" s="1304"/>
      <c r="HEM5" s="1304"/>
      <c r="HEN5" s="1304"/>
      <c r="HEO5" s="1304"/>
      <c r="HEP5" s="1304"/>
      <c r="HEQ5" s="1304"/>
      <c r="HER5" s="1304"/>
      <c r="HES5" s="1304"/>
      <c r="HET5" s="1304"/>
      <c r="HEU5" s="1304"/>
      <c r="HEV5" s="1304"/>
      <c r="HEW5" s="1304"/>
      <c r="HEX5" s="1304"/>
      <c r="HEY5" s="1304"/>
      <c r="HEZ5" s="1304"/>
      <c r="HFA5" s="1304"/>
      <c r="HFB5" s="1304"/>
      <c r="HFC5" s="1304"/>
      <c r="HFD5" s="1304"/>
      <c r="HFE5" s="1304"/>
      <c r="HFF5" s="1304"/>
      <c r="HFG5" s="1304"/>
      <c r="HFH5" s="1304"/>
      <c r="HFI5" s="1304"/>
      <c r="HFJ5" s="1304"/>
      <c r="HFK5" s="1304"/>
      <c r="HFL5" s="1304"/>
      <c r="HFM5" s="1304"/>
      <c r="HFN5" s="1304"/>
      <c r="HFO5" s="1304"/>
      <c r="HFP5" s="1304"/>
      <c r="HFQ5" s="1304"/>
      <c r="HFR5" s="1304"/>
      <c r="HFS5" s="1304"/>
      <c r="HFT5" s="1304"/>
      <c r="HFU5" s="1304"/>
      <c r="HFV5" s="1304"/>
      <c r="HFW5" s="1304"/>
      <c r="HFX5" s="1304"/>
      <c r="HFY5" s="1304"/>
      <c r="HFZ5" s="1304"/>
      <c r="HGA5" s="1304"/>
      <c r="HGB5" s="1304"/>
      <c r="HGC5" s="1304"/>
      <c r="HGD5" s="1304"/>
      <c r="HGE5" s="1304"/>
      <c r="HGF5" s="1304"/>
      <c r="HGG5" s="1304"/>
      <c r="HGH5" s="1304"/>
      <c r="HGI5" s="1304"/>
      <c r="HGJ5" s="1304"/>
      <c r="HGK5" s="1304"/>
      <c r="HGL5" s="1304"/>
      <c r="HGM5" s="1304"/>
      <c r="HGN5" s="1304"/>
      <c r="HGO5" s="1304"/>
      <c r="HGP5" s="1304"/>
      <c r="HGQ5" s="1304"/>
      <c r="HGR5" s="1304"/>
      <c r="HGS5" s="1304"/>
      <c r="HGT5" s="1304"/>
      <c r="HGU5" s="1304"/>
      <c r="HGV5" s="1304"/>
      <c r="HGW5" s="1304"/>
      <c r="HGX5" s="1304"/>
      <c r="HGY5" s="1304"/>
      <c r="HGZ5" s="1304"/>
      <c r="HHA5" s="1304"/>
      <c r="HHB5" s="1304"/>
      <c r="HHC5" s="1304"/>
      <c r="HHD5" s="1304"/>
      <c r="HHE5" s="1304"/>
      <c r="HHF5" s="1304"/>
      <c r="HHG5" s="1304"/>
      <c r="HHH5" s="1304"/>
      <c r="HHI5" s="1304"/>
      <c r="HHJ5" s="1304"/>
      <c r="HHK5" s="1304"/>
      <c r="HHL5" s="1304"/>
      <c r="HHM5" s="1304"/>
      <c r="HHN5" s="1304"/>
      <c r="HHO5" s="1304"/>
      <c r="HHP5" s="1304"/>
      <c r="HHQ5" s="1304"/>
      <c r="HHR5" s="1304"/>
      <c r="HHS5" s="1304"/>
      <c r="HHT5" s="1304"/>
      <c r="HHU5" s="1304"/>
      <c r="HHV5" s="1304"/>
      <c r="HHW5" s="1304"/>
      <c r="HHX5" s="1304"/>
      <c r="HHY5" s="1304"/>
      <c r="HHZ5" s="1304"/>
      <c r="HIA5" s="1304"/>
      <c r="HIB5" s="1304"/>
      <c r="HIC5" s="1304"/>
      <c r="HID5" s="1304"/>
      <c r="HIE5" s="1304"/>
      <c r="HIF5" s="1304"/>
      <c r="HIG5" s="1304"/>
      <c r="HIH5" s="1304"/>
      <c r="HII5" s="1304"/>
      <c r="HIJ5" s="1304"/>
      <c r="HIK5" s="1304"/>
      <c r="HIL5" s="1304"/>
      <c r="HIM5" s="1304"/>
      <c r="HIN5" s="1304"/>
      <c r="HIO5" s="1304"/>
      <c r="HIP5" s="1304"/>
      <c r="HIQ5" s="1304"/>
      <c r="HIR5" s="1304"/>
      <c r="HIS5" s="1304"/>
      <c r="HIT5" s="1304"/>
      <c r="HIU5" s="1304"/>
      <c r="HIV5" s="1304"/>
      <c r="HIW5" s="1304"/>
      <c r="HIX5" s="1304"/>
      <c r="HIY5" s="1304"/>
      <c r="HIZ5" s="1304"/>
      <c r="HJA5" s="1304"/>
      <c r="HJB5" s="1304"/>
      <c r="HJC5" s="1304"/>
      <c r="HJD5" s="1304"/>
      <c r="HJE5" s="1304"/>
      <c r="HJF5" s="1304"/>
      <c r="HJG5" s="1304"/>
      <c r="HJH5" s="1304"/>
      <c r="HJI5" s="1304"/>
      <c r="HJJ5" s="1304"/>
      <c r="HJK5" s="1304"/>
      <c r="HJL5" s="1304"/>
      <c r="HJM5" s="1304"/>
      <c r="HJN5" s="1304"/>
      <c r="HJO5" s="1304"/>
      <c r="HJP5" s="1304"/>
      <c r="HJQ5" s="1304"/>
      <c r="HJR5" s="1304"/>
      <c r="HJS5" s="1304"/>
      <c r="HJT5" s="1304"/>
      <c r="HJU5" s="1304"/>
      <c r="HJV5" s="1304"/>
      <c r="HJW5" s="1304"/>
      <c r="HJX5" s="1304"/>
      <c r="HJY5" s="1304"/>
      <c r="HJZ5" s="1304"/>
      <c r="HKA5" s="1304"/>
      <c r="HKB5" s="1304"/>
      <c r="HKC5" s="1304"/>
      <c r="HKD5" s="1304"/>
      <c r="HKE5" s="1304"/>
      <c r="HKF5" s="1304"/>
      <c r="HKG5" s="1304"/>
      <c r="HKH5" s="1304"/>
      <c r="HKI5" s="1304"/>
      <c r="HKJ5" s="1304"/>
      <c r="HKK5" s="1304"/>
      <c r="HKL5" s="1304"/>
      <c r="HKM5" s="1304"/>
      <c r="HKN5" s="1304"/>
      <c r="HKO5" s="1304"/>
      <c r="HKP5" s="1304"/>
      <c r="HKQ5" s="1304"/>
      <c r="HKR5" s="1304"/>
      <c r="HKS5" s="1304"/>
      <c r="HKT5" s="1304"/>
      <c r="HKU5" s="1304"/>
      <c r="HKV5" s="1304"/>
      <c r="HKW5" s="1304"/>
      <c r="HKX5" s="1304"/>
      <c r="HKY5" s="1304"/>
      <c r="HKZ5" s="1304"/>
      <c r="HLA5" s="1304"/>
      <c r="HLB5" s="1304"/>
      <c r="HLC5" s="1304"/>
      <c r="HLD5" s="1304"/>
      <c r="HLE5" s="1304"/>
      <c r="HLF5" s="1304"/>
      <c r="HLG5" s="1304"/>
      <c r="HLH5" s="1304"/>
      <c r="HLI5" s="1304"/>
      <c r="HLJ5" s="1304"/>
      <c r="HLK5" s="1304"/>
      <c r="HLL5" s="1304"/>
      <c r="HLM5" s="1304"/>
      <c r="HLN5" s="1304"/>
      <c r="HLO5" s="1304"/>
      <c r="HLP5" s="1304"/>
      <c r="HLQ5" s="1304"/>
      <c r="HLR5" s="1304"/>
      <c r="HLS5" s="1304"/>
      <c r="HLT5" s="1304"/>
      <c r="HLU5" s="1304"/>
      <c r="HLV5" s="1304"/>
      <c r="HLW5" s="1304"/>
      <c r="HLX5" s="1304"/>
      <c r="HLY5" s="1304"/>
      <c r="HLZ5" s="1304"/>
      <c r="HMA5" s="1304"/>
      <c r="HMB5" s="1304"/>
      <c r="HMC5" s="1304"/>
      <c r="HMD5" s="1304"/>
      <c r="HME5" s="1304"/>
      <c r="HMF5" s="1304"/>
      <c r="HMG5" s="1304"/>
      <c r="HMH5" s="1304"/>
      <c r="HMI5" s="1304"/>
      <c r="HMJ5" s="1304"/>
      <c r="HMK5" s="1304"/>
      <c r="HML5" s="1304"/>
      <c r="HMM5" s="1304"/>
      <c r="HMN5" s="1304"/>
      <c r="HMO5" s="1304"/>
      <c r="HMP5" s="1304"/>
      <c r="HMQ5" s="1304"/>
      <c r="HMR5" s="1304"/>
      <c r="HMS5" s="1304"/>
      <c r="HMT5" s="1304"/>
      <c r="HMU5" s="1304"/>
      <c r="HMV5" s="1304"/>
      <c r="HMW5" s="1304"/>
      <c r="HMX5" s="1304"/>
      <c r="HMY5" s="1304"/>
      <c r="HMZ5" s="1304"/>
      <c r="HNA5" s="1304"/>
      <c r="HNB5" s="1304"/>
      <c r="HNC5" s="1304"/>
      <c r="HND5" s="1304"/>
      <c r="HNE5" s="1304"/>
      <c r="HNF5" s="1304"/>
      <c r="HNG5" s="1304"/>
      <c r="HNH5" s="1304"/>
      <c r="HNI5" s="1304"/>
      <c r="HNJ5" s="1304"/>
      <c r="HNK5" s="1304"/>
      <c r="HNL5" s="1304"/>
      <c r="HNM5" s="1304"/>
      <c r="HNN5" s="1304"/>
      <c r="HNO5" s="1304"/>
      <c r="HNP5" s="1304"/>
      <c r="HNQ5" s="1304"/>
      <c r="HNR5" s="1304"/>
      <c r="HNS5" s="1304"/>
      <c r="HNT5" s="1304"/>
      <c r="HNU5" s="1304"/>
      <c r="HNV5" s="1304"/>
      <c r="HNW5" s="1304"/>
      <c r="HNX5" s="1304"/>
      <c r="HNY5" s="1304"/>
      <c r="HNZ5" s="1304"/>
      <c r="HOA5" s="1304"/>
      <c r="HOB5" s="1304"/>
      <c r="HOC5" s="1304"/>
      <c r="HOD5" s="1304"/>
      <c r="HOE5" s="1304"/>
      <c r="HOF5" s="1304"/>
      <c r="HOG5" s="1304"/>
      <c r="HOH5" s="1304"/>
      <c r="HOI5" s="1304"/>
      <c r="HOJ5" s="1304"/>
      <c r="HOK5" s="1304"/>
      <c r="HOL5" s="1304"/>
      <c r="HOM5" s="1304"/>
      <c r="HON5" s="1304"/>
      <c r="HOO5" s="1304"/>
      <c r="HOP5" s="1304"/>
      <c r="HOQ5" s="1304"/>
      <c r="HOR5" s="1304"/>
      <c r="HOS5" s="1304"/>
      <c r="HOT5" s="1304"/>
      <c r="HOU5" s="1304"/>
      <c r="HOV5" s="1304"/>
      <c r="HOW5" s="1304"/>
      <c r="HOX5" s="1304"/>
      <c r="HOY5" s="1304"/>
      <c r="HOZ5" s="1304"/>
      <c r="HPA5" s="1304"/>
      <c r="HPB5" s="1304"/>
      <c r="HPC5" s="1304"/>
      <c r="HPD5" s="1304"/>
      <c r="HPE5" s="1304"/>
      <c r="HPF5" s="1304"/>
      <c r="HPG5" s="1304"/>
      <c r="HPH5" s="1304"/>
      <c r="HPI5" s="1304"/>
      <c r="HPJ5" s="1304"/>
      <c r="HPK5" s="1304"/>
      <c r="HPL5" s="1304"/>
      <c r="HPM5" s="1304"/>
      <c r="HPN5" s="1304"/>
      <c r="HPO5" s="1304"/>
      <c r="HPP5" s="1304"/>
      <c r="HPQ5" s="1304"/>
      <c r="HPR5" s="1304"/>
      <c r="HPS5" s="1304"/>
      <c r="HPT5" s="1304"/>
      <c r="HPU5" s="1304"/>
      <c r="HPV5" s="1304"/>
      <c r="HPW5" s="1304"/>
      <c r="HPX5" s="1304"/>
      <c r="HPY5" s="1304"/>
      <c r="HPZ5" s="1304"/>
      <c r="HQA5" s="1304"/>
      <c r="HQB5" s="1304"/>
      <c r="HQC5" s="1304"/>
      <c r="HQD5" s="1304"/>
      <c r="HQE5" s="1304"/>
      <c r="HQF5" s="1304"/>
      <c r="HQG5" s="1304"/>
      <c r="HQH5" s="1304"/>
      <c r="HQI5" s="1304"/>
      <c r="HQJ5" s="1304"/>
      <c r="HQK5" s="1304"/>
      <c r="HQL5" s="1304"/>
      <c r="HQM5" s="1304"/>
      <c r="HQN5" s="1304"/>
      <c r="HQO5" s="1304"/>
      <c r="HQP5" s="1304"/>
      <c r="HQQ5" s="1304"/>
      <c r="HQR5" s="1304"/>
      <c r="HQS5" s="1304"/>
      <c r="HQT5" s="1304"/>
      <c r="HQU5" s="1304"/>
      <c r="HQV5" s="1304"/>
      <c r="HQW5" s="1304"/>
      <c r="HQX5" s="1304"/>
      <c r="HQY5" s="1304"/>
      <c r="HQZ5" s="1304"/>
      <c r="HRA5" s="1304"/>
      <c r="HRB5" s="1304"/>
      <c r="HRC5" s="1304"/>
      <c r="HRD5" s="1304"/>
      <c r="HRE5" s="1304"/>
      <c r="HRF5" s="1304"/>
      <c r="HRG5" s="1304"/>
      <c r="HRH5" s="1304"/>
      <c r="HRI5" s="1304"/>
      <c r="HRJ5" s="1304"/>
      <c r="HRK5" s="1304"/>
      <c r="HRL5" s="1304"/>
      <c r="HRM5" s="1304"/>
      <c r="HRN5" s="1304"/>
      <c r="HRO5" s="1304"/>
      <c r="HRP5" s="1304"/>
      <c r="HRQ5" s="1304"/>
      <c r="HRR5" s="1304"/>
      <c r="HRS5" s="1304"/>
      <c r="HRT5" s="1304"/>
      <c r="HRU5" s="1304"/>
      <c r="HRV5" s="1304"/>
      <c r="HRW5" s="1304"/>
      <c r="HRX5" s="1304"/>
      <c r="HRY5" s="1304"/>
      <c r="HRZ5" s="1304"/>
      <c r="HSA5" s="1304"/>
      <c r="HSB5" s="1304"/>
      <c r="HSC5" s="1304"/>
      <c r="HSD5" s="1304"/>
      <c r="HSE5" s="1304"/>
      <c r="HSF5" s="1304"/>
      <c r="HSG5" s="1304"/>
      <c r="HSH5" s="1304"/>
      <c r="HSI5" s="1304"/>
      <c r="HSJ5" s="1304"/>
      <c r="HSK5" s="1304"/>
      <c r="HSL5" s="1304"/>
      <c r="HSM5" s="1304"/>
      <c r="HSN5" s="1304"/>
      <c r="HSO5" s="1304"/>
      <c r="HSP5" s="1304"/>
      <c r="HSQ5" s="1304"/>
      <c r="HSR5" s="1304"/>
      <c r="HSS5" s="1304"/>
      <c r="HST5" s="1304"/>
      <c r="HSU5" s="1304"/>
      <c r="HSV5" s="1304"/>
      <c r="HSW5" s="1304"/>
      <c r="HSX5" s="1304"/>
      <c r="HSY5" s="1304"/>
      <c r="HSZ5" s="1304"/>
      <c r="HTA5" s="1304"/>
      <c r="HTB5" s="1304"/>
      <c r="HTC5" s="1304"/>
      <c r="HTD5" s="1304"/>
      <c r="HTE5" s="1304"/>
      <c r="HTF5" s="1304"/>
      <c r="HTG5" s="1304"/>
      <c r="HTH5" s="1304"/>
      <c r="HTI5" s="1304"/>
      <c r="HTJ5" s="1304"/>
      <c r="HTK5" s="1304"/>
      <c r="HTL5" s="1304"/>
      <c r="HTM5" s="1304"/>
      <c r="HTN5" s="1304"/>
      <c r="HTO5" s="1304"/>
      <c r="HTP5" s="1304"/>
      <c r="HTQ5" s="1304"/>
      <c r="HTR5" s="1304"/>
      <c r="HTS5" s="1304"/>
      <c r="HTT5" s="1304"/>
      <c r="HTU5" s="1304"/>
      <c r="HTV5" s="1304"/>
      <c r="HTW5" s="1304"/>
      <c r="HTX5" s="1304"/>
      <c r="HTY5" s="1304"/>
      <c r="HTZ5" s="1304"/>
      <c r="HUA5" s="1304"/>
      <c r="HUB5" s="1304"/>
      <c r="HUC5" s="1304"/>
      <c r="HUD5" s="1304"/>
      <c r="HUE5" s="1304"/>
      <c r="HUF5" s="1304"/>
      <c r="HUG5" s="1304"/>
      <c r="HUH5" s="1304"/>
      <c r="HUI5" s="1304"/>
      <c r="HUJ5" s="1304"/>
      <c r="HUK5" s="1304"/>
      <c r="HUL5" s="1304"/>
      <c r="HUM5" s="1304"/>
      <c r="HUN5" s="1304"/>
      <c r="HUO5" s="1304"/>
      <c r="HUP5" s="1304"/>
      <c r="HUQ5" s="1304"/>
      <c r="HUR5" s="1304"/>
      <c r="HUS5" s="1304"/>
      <c r="HUT5" s="1304"/>
      <c r="HUU5" s="1304"/>
      <c r="HUV5" s="1304"/>
      <c r="HUW5" s="1304"/>
      <c r="HUX5" s="1304"/>
      <c r="HUY5" s="1304"/>
      <c r="HUZ5" s="1304"/>
      <c r="HVA5" s="1304"/>
      <c r="HVB5" s="1304"/>
      <c r="HVC5" s="1304"/>
      <c r="HVD5" s="1304"/>
      <c r="HVE5" s="1304"/>
      <c r="HVF5" s="1304"/>
      <c r="HVG5" s="1304"/>
      <c r="HVH5" s="1304"/>
      <c r="HVI5" s="1304"/>
      <c r="HVJ5" s="1304"/>
      <c r="HVK5" s="1304"/>
      <c r="HVL5" s="1304"/>
      <c r="HVM5" s="1304"/>
      <c r="HVN5" s="1304"/>
      <c r="HVO5" s="1304"/>
      <c r="HVP5" s="1304"/>
      <c r="HVQ5" s="1304"/>
      <c r="HVR5" s="1304"/>
      <c r="HVS5" s="1304"/>
      <c r="HVT5" s="1304"/>
      <c r="HVU5" s="1304"/>
      <c r="HVV5" s="1304"/>
      <c r="HVW5" s="1304"/>
      <c r="HVX5" s="1304"/>
      <c r="HVY5" s="1304"/>
      <c r="HVZ5" s="1304"/>
      <c r="HWA5" s="1304"/>
      <c r="HWB5" s="1304"/>
      <c r="HWC5" s="1304"/>
      <c r="HWD5" s="1304"/>
      <c r="HWE5" s="1304"/>
      <c r="HWF5" s="1304"/>
      <c r="HWG5" s="1304"/>
      <c r="HWH5" s="1304"/>
      <c r="HWI5" s="1304"/>
      <c r="HWJ5" s="1304"/>
      <c r="HWK5" s="1304"/>
      <c r="HWL5" s="1304"/>
      <c r="HWM5" s="1304"/>
      <c r="HWN5" s="1304"/>
      <c r="HWO5" s="1304"/>
      <c r="HWP5" s="1304"/>
      <c r="HWQ5" s="1304"/>
      <c r="HWR5" s="1304"/>
      <c r="HWS5" s="1304"/>
      <c r="HWT5" s="1304"/>
      <c r="HWU5" s="1304"/>
      <c r="HWV5" s="1304"/>
      <c r="HWW5" s="1304"/>
      <c r="HWX5" s="1304"/>
      <c r="HWY5" s="1304"/>
      <c r="HWZ5" s="1304"/>
      <c r="HXA5" s="1304"/>
      <c r="HXB5" s="1304"/>
      <c r="HXC5" s="1304"/>
      <c r="HXD5" s="1304"/>
      <c r="HXE5" s="1304"/>
      <c r="HXF5" s="1304"/>
      <c r="HXG5" s="1304"/>
      <c r="HXH5" s="1304"/>
      <c r="HXI5" s="1304"/>
      <c r="HXJ5" s="1304"/>
      <c r="HXK5" s="1304"/>
      <c r="HXL5" s="1304"/>
      <c r="HXM5" s="1304"/>
      <c r="HXN5" s="1304"/>
      <c r="HXO5" s="1304"/>
      <c r="HXP5" s="1304"/>
      <c r="HXQ5" s="1304"/>
      <c r="HXR5" s="1304"/>
      <c r="HXS5" s="1304"/>
      <c r="HXT5" s="1304"/>
      <c r="HXU5" s="1304"/>
      <c r="HXV5" s="1304"/>
      <c r="HXW5" s="1304"/>
      <c r="HXX5" s="1304"/>
      <c r="HXY5" s="1304"/>
      <c r="HXZ5" s="1304"/>
      <c r="HYA5" s="1304"/>
      <c r="HYB5" s="1304"/>
      <c r="HYC5" s="1304"/>
      <c r="HYD5" s="1304"/>
      <c r="HYE5" s="1304"/>
      <c r="HYF5" s="1304"/>
      <c r="HYG5" s="1304"/>
      <c r="HYH5" s="1304"/>
      <c r="HYI5" s="1304"/>
      <c r="HYJ5" s="1304"/>
      <c r="HYK5" s="1304"/>
      <c r="HYL5" s="1304"/>
      <c r="HYM5" s="1304"/>
      <c r="HYN5" s="1304"/>
      <c r="HYO5" s="1304"/>
      <c r="HYP5" s="1304"/>
      <c r="HYQ5" s="1304"/>
      <c r="HYR5" s="1304"/>
      <c r="HYS5" s="1304"/>
      <c r="HYT5" s="1304"/>
      <c r="HYU5" s="1304"/>
      <c r="HYV5" s="1304"/>
      <c r="HYW5" s="1304"/>
      <c r="HYX5" s="1304"/>
      <c r="HYY5" s="1304"/>
      <c r="HYZ5" s="1304"/>
      <c r="HZA5" s="1304"/>
      <c r="HZB5" s="1304"/>
      <c r="HZC5" s="1304"/>
      <c r="HZD5" s="1304"/>
      <c r="HZE5" s="1304"/>
      <c r="HZF5" s="1304"/>
      <c r="HZG5" s="1304"/>
      <c r="HZH5" s="1304"/>
      <c r="HZI5" s="1304"/>
      <c r="HZJ5" s="1304"/>
      <c r="HZK5" s="1304"/>
      <c r="HZL5" s="1304"/>
      <c r="HZM5" s="1304"/>
      <c r="HZN5" s="1304"/>
      <c r="HZO5" s="1304"/>
      <c r="HZP5" s="1304"/>
      <c r="HZQ5" s="1304"/>
      <c r="HZR5" s="1304"/>
      <c r="HZS5" s="1304"/>
      <c r="HZT5" s="1304"/>
      <c r="HZU5" s="1304"/>
      <c r="HZV5" s="1304"/>
      <c r="HZW5" s="1304"/>
      <c r="HZX5" s="1304"/>
      <c r="HZY5" s="1304"/>
      <c r="HZZ5" s="1304"/>
      <c r="IAA5" s="1304"/>
      <c r="IAB5" s="1304"/>
      <c r="IAC5" s="1304"/>
      <c r="IAD5" s="1304"/>
      <c r="IAE5" s="1304"/>
      <c r="IAF5" s="1304"/>
      <c r="IAG5" s="1304"/>
      <c r="IAH5" s="1304"/>
      <c r="IAI5" s="1304"/>
      <c r="IAJ5" s="1304"/>
      <c r="IAK5" s="1304"/>
      <c r="IAL5" s="1304"/>
      <c r="IAM5" s="1304"/>
      <c r="IAN5" s="1304"/>
      <c r="IAO5" s="1304"/>
      <c r="IAP5" s="1304"/>
      <c r="IAQ5" s="1304"/>
      <c r="IAR5" s="1304"/>
      <c r="IAS5" s="1304"/>
      <c r="IAT5" s="1304"/>
      <c r="IAU5" s="1304"/>
      <c r="IAV5" s="1304"/>
      <c r="IAW5" s="1304"/>
      <c r="IAX5" s="1304"/>
      <c r="IAY5" s="1304"/>
      <c r="IAZ5" s="1304"/>
      <c r="IBA5" s="1304"/>
      <c r="IBB5" s="1304"/>
      <c r="IBC5" s="1304"/>
      <c r="IBD5" s="1304"/>
      <c r="IBE5" s="1304"/>
      <c r="IBF5" s="1304"/>
      <c r="IBG5" s="1304"/>
      <c r="IBH5" s="1304"/>
      <c r="IBI5" s="1304"/>
      <c r="IBJ5" s="1304"/>
      <c r="IBK5" s="1304"/>
      <c r="IBL5" s="1304"/>
      <c r="IBM5" s="1304"/>
      <c r="IBN5" s="1304"/>
      <c r="IBO5" s="1304"/>
      <c r="IBP5" s="1304"/>
      <c r="IBQ5" s="1304"/>
      <c r="IBR5" s="1304"/>
      <c r="IBS5" s="1304"/>
      <c r="IBT5" s="1304"/>
      <c r="IBU5" s="1304"/>
      <c r="IBV5" s="1304"/>
      <c r="IBW5" s="1304"/>
      <c r="IBX5" s="1304"/>
      <c r="IBY5" s="1304"/>
      <c r="IBZ5" s="1304"/>
      <c r="ICA5" s="1304"/>
      <c r="ICB5" s="1304"/>
      <c r="ICC5" s="1304"/>
      <c r="ICD5" s="1304"/>
      <c r="ICE5" s="1304"/>
      <c r="ICF5" s="1304"/>
      <c r="ICG5" s="1304"/>
      <c r="ICH5" s="1304"/>
      <c r="ICI5" s="1304"/>
      <c r="ICJ5" s="1304"/>
      <c r="ICK5" s="1304"/>
      <c r="ICL5" s="1304"/>
      <c r="ICM5" s="1304"/>
      <c r="ICN5" s="1304"/>
      <c r="ICO5" s="1304"/>
      <c r="ICP5" s="1304"/>
      <c r="ICQ5" s="1304"/>
      <c r="ICR5" s="1304"/>
      <c r="ICS5" s="1304"/>
      <c r="ICT5" s="1304"/>
      <c r="ICU5" s="1304"/>
      <c r="ICV5" s="1304"/>
      <c r="ICW5" s="1304"/>
      <c r="ICX5" s="1304"/>
      <c r="ICY5" s="1304"/>
      <c r="ICZ5" s="1304"/>
      <c r="IDA5" s="1304"/>
      <c r="IDB5" s="1304"/>
      <c r="IDC5" s="1304"/>
      <c r="IDD5" s="1304"/>
      <c r="IDE5" s="1304"/>
      <c r="IDF5" s="1304"/>
      <c r="IDG5" s="1304"/>
      <c r="IDH5" s="1304"/>
      <c r="IDI5" s="1304"/>
      <c r="IDJ5" s="1304"/>
      <c r="IDK5" s="1304"/>
      <c r="IDL5" s="1304"/>
      <c r="IDM5" s="1304"/>
      <c r="IDN5" s="1304"/>
      <c r="IDO5" s="1304"/>
      <c r="IDP5" s="1304"/>
      <c r="IDQ5" s="1304"/>
      <c r="IDR5" s="1304"/>
      <c r="IDS5" s="1304"/>
      <c r="IDT5" s="1304"/>
      <c r="IDU5" s="1304"/>
      <c r="IDV5" s="1304"/>
      <c r="IDW5" s="1304"/>
      <c r="IDX5" s="1304"/>
      <c r="IDY5" s="1304"/>
      <c r="IDZ5" s="1304"/>
      <c r="IEA5" s="1304"/>
      <c r="IEB5" s="1304"/>
      <c r="IEC5" s="1304"/>
      <c r="IED5" s="1304"/>
      <c r="IEE5" s="1304"/>
      <c r="IEF5" s="1304"/>
      <c r="IEG5" s="1304"/>
      <c r="IEH5" s="1304"/>
      <c r="IEI5" s="1304"/>
      <c r="IEJ5" s="1304"/>
      <c r="IEK5" s="1304"/>
      <c r="IEL5" s="1304"/>
      <c r="IEM5" s="1304"/>
      <c r="IEN5" s="1304"/>
      <c r="IEO5" s="1304"/>
      <c r="IEP5" s="1304"/>
      <c r="IEQ5" s="1304"/>
      <c r="IER5" s="1304"/>
      <c r="IES5" s="1304"/>
      <c r="IET5" s="1304"/>
      <c r="IEU5" s="1304"/>
      <c r="IEV5" s="1304"/>
      <c r="IEW5" s="1304"/>
      <c r="IEX5" s="1304"/>
      <c r="IEY5" s="1304"/>
      <c r="IEZ5" s="1304"/>
      <c r="IFA5" s="1304"/>
      <c r="IFB5" s="1304"/>
      <c r="IFC5" s="1304"/>
      <c r="IFD5" s="1304"/>
      <c r="IFE5" s="1304"/>
      <c r="IFF5" s="1304"/>
      <c r="IFG5" s="1304"/>
      <c r="IFH5" s="1304"/>
      <c r="IFI5" s="1304"/>
      <c r="IFJ5" s="1304"/>
      <c r="IFK5" s="1304"/>
      <c r="IFL5" s="1304"/>
      <c r="IFM5" s="1304"/>
      <c r="IFN5" s="1304"/>
      <c r="IFO5" s="1304"/>
      <c r="IFP5" s="1304"/>
      <c r="IFQ5" s="1304"/>
      <c r="IFR5" s="1304"/>
      <c r="IFS5" s="1304"/>
      <c r="IFT5" s="1304"/>
      <c r="IFU5" s="1304"/>
      <c r="IFV5" s="1304"/>
      <c r="IFW5" s="1304"/>
      <c r="IFX5" s="1304"/>
      <c r="IFY5" s="1304"/>
      <c r="IFZ5" s="1304"/>
      <c r="IGA5" s="1304"/>
      <c r="IGB5" s="1304"/>
      <c r="IGC5" s="1304"/>
      <c r="IGD5" s="1304"/>
      <c r="IGE5" s="1304"/>
      <c r="IGF5" s="1304"/>
      <c r="IGG5" s="1304"/>
      <c r="IGH5" s="1304"/>
      <c r="IGI5" s="1304"/>
      <c r="IGJ5" s="1304"/>
      <c r="IGK5" s="1304"/>
      <c r="IGL5" s="1304"/>
      <c r="IGM5" s="1304"/>
      <c r="IGN5" s="1304"/>
      <c r="IGO5" s="1304"/>
      <c r="IGP5" s="1304"/>
      <c r="IGQ5" s="1304"/>
      <c r="IGR5" s="1304"/>
      <c r="IGS5" s="1304"/>
      <c r="IGT5" s="1304"/>
      <c r="IGU5" s="1304"/>
      <c r="IGV5" s="1304"/>
      <c r="IGW5" s="1304"/>
      <c r="IGX5" s="1304"/>
      <c r="IGY5" s="1304"/>
      <c r="IGZ5" s="1304"/>
      <c r="IHA5" s="1304"/>
      <c r="IHB5" s="1304"/>
      <c r="IHC5" s="1304"/>
      <c r="IHD5" s="1304"/>
      <c r="IHE5" s="1304"/>
      <c r="IHF5" s="1304"/>
      <c r="IHG5" s="1304"/>
      <c r="IHH5" s="1304"/>
      <c r="IHI5" s="1304"/>
      <c r="IHJ5" s="1304"/>
      <c r="IHK5" s="1304"/>
      <c r="IHL5" s="1304"/>
      <c r="IHM5" s="1304"/>
      <c r="IHN5" s="1304"/>
      <c r="IHO5" s="1304"/>
      <c r="IHP5" s="1304"/>
      <c r="IHQ5" s="1304"/>
      <c r="IHR5" s="1304"/>
      <c r="IHS5" s="1304"/>
      <c r="IHT5" s="1304"/>
      <c r="IHU5" s="1304"/>
      <c r="IHV5" s="1304"/>
      <c r="IHW5" s="1304"/>
      <c r="IHX5" s="1304"/>
      <c r="IHY5" s="1304"/>
      <c r="IHZ5" s="1304"/>
      <c r="IIA5" s="1304"/>
      <c r="IIB5" s="1304"/>
      <c r="IIC5" s="1304"/>
      <c r="IID5" s="1304"/>
      <c r="IIE5" s="1304"/>
      <c r="IIF5" s="1304"/>
      <c r="IIG5" s="1304"/>
      <c r="IIH5" s="1304"/>
      <c r="III5" s="1304"/>
      <c r="IIJ5" s="1304"/>
      <c r="IIK5" s="1304"/>
      <c r="IIL5" s="1304"/>
      <c r="IIM5" s="1304"/>
      <c r="IIN5" s="1304"/>
      <c r="IIO5" s="1304"/>
      <c r="IIP5" s="1304"/>
      <c r="IIQ5" s="1304"/>
      <c r="IIR5" s="1304"/>
      <c r="IIS5" s="1304"/>
      <c r="IIT5" s="1304"/>
      <c r="IIU5" s="1304"/>
      <c r="IIV5" s="1304"/>
      <c r="IIW5" s="1304"/>
      <c r="IIX5" s="1304"/>
      <c r="IIY5" s="1304"/>
      <c r="IIZ5" s="1304"/>
      <c r="IJA5" s="1304"/>
      <c r="IJB5" s="1304"/>
      <c r="IJC5" s="1304"/>
      <c r="IJD5" s="1304"/>
      <c r="IJE5" s="1304"/>
      <c r="IJF5" s="1304"/>
      <c r="IJG5" s="1304"/>
      <c r="IJH5" s="1304"/>
      <c r="IJI5" s="1304"/>
      <c r="IJJ5" s="1304"/>
      <c r="IJK5" s="1304"/>
      <c r="IJL5" s="1304"/>
      <c r="IJM5" s="1304"/>
      <c r="IJN5" s="1304"/>
      <c r="IJO5" s="1304"/>
      <c r="IJP5" s="1304"/>
      <c r="IJQ5" s="1304"/>
      <c r="IJR5" s="1304"/>
      <c r="IJS5" s="1304"/>
      <c r="IJT5" s="1304"/>
      <c r="IJU5" s="1304"/>
      <c r="IJV5" s="1304"/>
      <c r="IJW5" s="1304"/>
      <c r="IJX5" s="1304"/>
      <c r="IJY5" s="1304"/>
      <c r="IJZ5" s="1304"/>
      <c r="IKA5" s="1304"/>
      <c r="IKB5" s="1304"/>
      <c r="IKC5" s="1304"/>
      <c r="IKD5" s="1304"/>
      <c r="IKE5" s="1304"/>
      <c r="IKF5" s="1304"/>
      <c r="IKG5" s="1304"/>
      <c r="IKH5" s="1304"/>
      <c r="IKI5" s="1304"/>
      <c r="IKJ5" s="1304"/>
      <c r="IKK5" s="1304"/>
      <c r="IKL5" s="1304"/>
      <c r="IKM5" s="1304"/>
      <c r="IKN5" s="1304"/>
      <c r="IKO5" s="1304"/>
      <c r="IKP5" s="1304"/>
      <c r="IKQ5" s="1304"/>
      <c r="IKR5" s="1304"/>
      <c r="IKS5" s="1304"/>
      <c r="IKT5" s="1304"/>
      <c r="IKU5" s="1304"/>
      <c r="IKV5" s="1304"/>
      <c r="IKW5" s="1304"/>
      <c r="IKX5" s="1304"/>
      <c r="IKY5" s="1304"/>
      <c r="IKZ5" s="1304"/>
      <c r="ILA5" s="1304"/>
      <c r="ILB5" s="1304"/>
      <c r="ILC5" s="1304"/>
      <c r="ILD5" s="1304"/>
      <c r="ILE5" s="1304"/>
      <c r="ILF5" s="1304"/>
      <c r="ILG5" s="1304"/>
      <c r="ILH5" s="1304"/>
      <c r="ILI5" s="1304"/>
      <c r="ILJ5" s="1304"/>
      <c r="ILK5" s="1304"/>
      <c r="ILL5" s="1304"/>
      <c r="ILM5" s="1304"/>
      <c r="ILN5" s="1304"/>
      <c r="ILO5" s="1304"/>
      <c r="ILP5" s="1304"/>
      <c r="ILQ5" s="1304"/>
      <c r="ILR5" s="1304"/>
      <c r="ILS5" s="1304"/>
      <c r="ILT5" s="1304"/>
      <c r="ILU5" s="1304"/>
      <c r="ILV5" s="1304"/>
      <c r="ILW5" s="1304"/>
      <c r="ILX5" s="1304"/>
      <c r="ILY5" s="1304"/>
      <c r="ILZ5" s="1304"/>
      <c r="IMA5" s="1304"/>
      <c r="IMB5" s="1304"/>
      <c r="IMC5" s="1304"/>
      <c r="IMD5" s="1304"/>
      <c r="IME5" s="1304"/>
      <c r="IMF5" s="1304"/>
      <c r="IMG5" s="1304"/>
      <c r="IMH5" s="1304"/>
      <c r="IMI5" s="1304"/>
      <c r="IMJ5" s="1304"/>
      <c r="IMK5" s="1304"/>
      <c r="IML5" s="1304"/>
      <c r="IMM5" s="1304"/>
      <c r="IMN5" s="1304"/>
      <c r="IMO5" s="1304"/>
      <c r="IMP5" s="1304"/>
      <c r="IMQ5" s="1304"/>
      <c r="IMR5" s="1304"/>
      <c r="IMS5" s="1304"/>
      <c r="IMT5" s="1304"/>
      <c r="IMU5" s="1304"/>
      <c r="IMV5" s="1304"/>
      <c r="IMW5" s="1304"/>
      <c r="IMX5" s="1304"/>
      <c r="IMY5" s="1304"/>
      <c r="IMZ5" s="1304"/>
      <c r="INA5" s="1304"/>
      <c r="INB5" s="1304"/>
      <c r="INC5" s="1304"/>
      <c r="IND5" s="1304"/>
      <c r="INE5" s="1304"/>
      <c r="INF5" s="1304"/>
      <c r="ING5" s="1304"/>
      <c r="INH5" s="1304"/>
      <c r="INI5" s="1304"/>
      <c r="INJ5" s="1304"/>
      <c r="INK5" s="1304"/>
      <c r="INL5" s="1304"/>
      <c r="INM5" s="1304"/>
      <c r="INN5" s="1304"/>
      <c r="INO5" s="1304"/>
      <c r="INP5" s="1304"/>
      <c r="INQ5" s="1304"/>
      <c r="INR5" s="1304"/>
      <c r="INS5" s="1304"/>
      <c r="INT5" s="1304"/>
      <c r="INU5" s="1304"/>
      <c r="INV5" s="1304"/>
      <c r="INW5" s="1304"/>
      <c r="INX5" s="1304"/>
      <c r="INY5" s="1304"/>
      <c r="INZ5" s="1304"/>
      <c r="IOA5" s="1304"/>
      <c r="IOB5" s="1304"/>
      <c r="IOC5" s="1304"/>
      <c r="IOD5" s="1304"/>
      <c r="IOE5" s="1304"/>
      <c r="IOF5" s="1304"/>
      <c r="IOG5" s="1304"/>
      <c r="IOH5" s="1304"/>
      <c r="IOI5" s="1304"/>
      <c r="IOJ5" s="1304"/>
      <c r="IOK5" s="1304"/>
      <c r="IOL5" s="1304"/>
      <c r="IOM5" s="1304"/>
      <c r="ION5" s="1304"/>
      <c r="IOO5" s="1304"/>
      <c r="IOP5" s="1304"/>
      <c r="IOQ5" s="1304"/>
      <c r="IOR5" s="1304"/>
      <c r="IOS5" s="1304"/>
      <c r="IOT5" s="1304"/>
      <c r="IOU5" s="1304"/>
      <c r="IOV5" s="1304"/>
      <c r="IOW5" s="1304"/>
      <c r="IOX5" s="1304"/>
      <c r="IOY5" s="1304"/>
      <c r="IOZ5" s="1304"/>
      <c r="IPA5" s="1304"/>
      <c r="IPB5" s="1304"/>
      <c r="IPC5" s="1304"/>
      <c r="IPD5" s="1304"/>
      <c r="IPE5" s="1304"/>
      <c r="IPF5" s="1304"/>
      <c r="IPG5" s="1304"/>
      <c r="IPH5" s="1304"/>
      <c r="IPI5" s="1304"/>
      <c r="IPJ5" s="1304"/>
      <c r="IPK5" s="1304"/>
      <c r="IPL5" s="1304"/>
      <c r="IPM5" s="1304"/>
      <c r="IPN5" s="1304"/>
      <c r="IPO5" s="1304"/>
      <c r="IPP5" s="1304"/>
      <c r="IPQ5" s="1304"/>
      <c r="IPR5" s="1304"/>
      <c r="IPS5" s="1304"/>
      <c r="IPT5" s="1304"/>
      <c r="IPU5" s="1304"/>
      <c r="IPV5" s="1304"/>
      <c r="IPW5" s="1304"/>
      <c r="IPX5" s="1304"/>
      <c r="IPY5" s="1304"/>
      <c r="IPZ5" s="1304"/>
      <c r="IQA5" s="1304"/>
      <c r="IQB5" s="1304"/>
      <c r="IQC5" s="1304"/>
      <c r="IQD5" s="1304"/>
      <c r="IQE5" s="1304"/>
      <c r="IQF5" s="1304"/>
      <c r="IQG5" s="1304"/>
      <c r="IQH5" s="1304"/>
      <c r="IQI5" s="1304"/>
      <c r="IQJ5" s="1304"/>
      <c r="IQK5" s="1304"/>
      <c r="IQL5" s="1304"/>
      <c r="IQM5" s="1304"/>
      <c r="IQN5" s="1304"/>
      <c r="IQO5" s="1304"/>
      <c r="IQP5" s="1304"/>
      <c r="IQQ5" s="1304"/>
      <c r="IQR5" s="1304"/>
      <c r="IQS5" s="1304"/>
      <c r="IQT5" s="1304"/>
      <c r="IQU5" s="1304"/>
      <c r="IQV5" s="1304"/>
      <c r="IQW5" s="1304"/>
      <c r="IQX5" s="1304"/>
      <c r="IQY5" s="1304"/>
      <c r="IQZ5" s="1304"/>
      <c r="IRA5" s="1304"/>
      <c r="IRB5" s="1304"/>
      <c r="IRC5" s="1304"/>
      <c r="IRD5" s="1304"/>
      <c r="IRE5" s="1304"/>
      <c r="IRF5" s="1304"/>
      <c r="IRG5" s="1304"/>
      <c r="IRH5" s="1304"/>
      <c r="IRI5" s="1304"/>
      <c r="IRJ5" s="1304"/>
      <c r="IRK5" s="1304"/>
      <c r="IRL5" s="1304"/>
      <c r="IRM5" s="1304"/>
      <c r="IRN5" s="1304"/>
      <c r="IRO5" s="1304"/>
      <c r="IRP5" s="1304"/>
      <c r="IRQ5" s="1304"/>
      <c r="IRR5" s="1304"/>
      <c r="IRS5" s="1304"/>
      <c r="IRT5" s="1304"/>
      <c r="IRU5" s="1304"/>
      <c r="IRV5" s="1304"/>
      <c r="IRW5" s="1304"/>
      <c r="IRX5" s="1304"/>
      <c r="IRY5" s="1304"/>
      <c r="IRZ5" s="1304"/>
      <c r="ISA5" s="1304"/>
      <c r="ISB5" s="1304"/>
      <c r="ISC5" s="1304"/>
      <c r="ISD5" s="1304"/>
      <c r="ISE5" s="1304"/>
      <c r="ISF5" s="1304"/>
      <c r="ISG5" s="1304"/>
      <c r="ISH5" s="1304"/>
      <c r="ISI5" s="1304"/>
      <c r="ISJ5" s="1304"/>
      <c r="ISK5" s="1304"/>
      <c r="ISL5" s="1304"/>
      <c r="ISM5" s="1304"/>
      <c r="ISN5" s="1304"/>
      <c r="ISO5" s="1304"/>
      <c r="ISP5" s="1304"/>
      <c r="ISQ5" s="1304"/>
      <c r="ISR5" s="1304"/>
      <c r="ISS5" s="1304"/>
      <c r="IST5" s="1304"/>
      <c r="ISU5" s="1304"/>
      <c r="ISV5" s="1304"/>
      <c r="ISW5" s="1304"/>
      <c r="ISX5" s="1304"/>
      <c r="ISY5" s="1304"/>
      <c r="ISZ5" s="1304"/>
      <c r="ITA5" s="1304"/>
      <c r="ITB5" s="1304"/>
      <c r="ITC5" s="1304"/>
      <c r="ITD5" s="1304"/>
      <c r="ITE5" s="1304"/>
      <c r="ITF5" s="1304"/>
      <c r="ITG5" s="1304"/>
      <c r="ITH5" s="1304"/>
      <c r="ITI5" s="1304"/>
      <c r="ITJ5" s="1304"/>
      <c r="ITK5" s="1304"/>
      <c r="ITL5" s="1304"/>
      <c r="ITM5" s="1304"/>
      <c r="ITN5" s="1304"/>
      <c r="ITO5" s="1304"/>
      <c r="ITP5" s="1304"/>
      <c r="ITQ5" s="1304"/>
      <c r="ITR5" s="1304"/>
      <c r="ITS5" s="1304"/>
      <c r="ITT5" s="1304"/>
      <c r="ITU5" s="1304"/>
      <c r="ITV5" s="1304"/>
      <c r="ITW5" s="1304"/>
      <c r="ITX5" s="1304"/>
      <c r="ITY5" s="1304"/>
      <c r="ITZ5" s="1304"/>
      <c r="IUA5" s="1304"/>
      <c r="IUB5" s="1304"/>
      <c r="IUC5" s="1304"/>
      <c r="IUD5" s="1304"/>
      <c r="IUE5" s="1304"/>
      <c r="IUF5" s="1304"/>
      <c r="IUG5" s="1304"/>
      <c r="IUH5" s="1304"/>
      <c r="IUI5" s="1304"/>
      <c r="IUJ5" s="1304"/>
      <c r="IUK5" s="1304"/>
      <c r="IUL5" s="1304"/>
      <c r="IUM5" s="1304"/>
      <c r="IUN5" s="1304"/>
      <c r="IUO5" s="1304"/>
      <c r="IUP5" s="1304"/>
      <c r="IUQ5" s="1304"/>
      <c r="IUR5" s="1304"/>
      <c r="IUS5" s="1304"/>
      <c r="IUT5" s="1304"/>
      <c r="IUU5" s="1304"/>
      <c r="IUV5" s="1304"/>
      <c r="IUW5" s="1304"/>
      <c r="IUX5" s="1304"/>
      <c r="IUY5" s="1304"/>
      <c r="IUZ5" s="1304"/>
      <c r="IVA5" s="1304"/>
      <c r="IVB5" s="1304"/>
      <c r="IVC5" s="1304"/>
      <c r="IVD5" s="1304"/>
      <c r="IVE5" s="1304"/>
      <c r="IVF5" s="1304"/>
      <c r="IVG5" s="1304"/>
      <c r="IVH5" s="1304"/>
      <c r="IVI5" s="1304"/>
      <c r="IVJ5" s="1304"/>
      <c r="IVK5" s="1304"/>
      <c r="IVL5" s="1304"/>
      <c r="IVM5" s="1304"/>
      <c r="IVN5" s="1304"/>
      <c r="IVO5" s="1304"/>
      <c r="IVP5" s="1304"/>
      <c r="IVQ5" s="1304"/>
      <c r="IVR5" s="1304"/>
      <c r="IVS5" s="1304"/>
      <c r="IVT5" s="1304"/>
      <c r="IVU5" s="1304"/>
      <c r="IVV5" s="1304"/>
      <c r="IVW5" s="1304"/>
      <c r="IVX5" s="1304"/>
      <c r="IVY5" s="1304"/>
      <c r="IVZ5" s="1304"/>
      <c r="IWA5" s="1304"/>
      <c r="IWB5" s="1304"/>
      <c r="IWC5" s="1304"/>
      <c r="IWD5" s="1304"/>
      <c r="IWE5" s="1304"/>
      <c r="IWF5" s="1304"/>
      <c r="IWG5" s="1304"/>
      <c r="IWH5" s="1304"/>
      <c r="IWI5" s="1304"/>
      <c r="IWJ5" s="1304"/>
      <c r="IWK5" s="1304"/>
      <c r="IWL5" s="1304"/>
      <c r="IWM5" s="1304"/>
      <c r="IWN5" s="1304"/>
      <c r="IWO5" s="1304"/>
      <c r="IWP5" s="1304"/>
      <c r="IWQ5" s="1304"/>
      <c r="IWR5" s="1304"/>
      <c r="IWS5" s="1304"/>
      <c r="IWT5" s="1304"/>
      <c r="IWU5" s="1304"/>
      <c r="IWV5" s="1304"/>
      <c r="IWW5" s="1304"/>
      <c r="IWX5" s="1304"/>
      <c r="IWY5" s="1304"/>
      <c r="IWZ5" s="1304"/>
      <c r="IXA5" s="1304"/>
      <c r="IXB5" s="1304"/>
      <c r="IXC5" s="1304"/>
      <c r="IXD5" s="1304"/>
      <c r="IXE5" s="1304"/>
      <c r="IXF5" s="1304"/>
      <c r="IXG5" s="1304"/>
      <c r="IXH5" s="1304"/>
      <c r="IXI5" s="1304"/>
      <c r="IXJ5" s="1304"/>
      <c r="IXK5" s="1304"/>
      <c r="IXL5" s="1304"/>
      <c r="IXM5" s="1304"/>
      <c r="IXN5" s="1304"/>
      <c r="IXO5" s="1304"/>
      <c r="IXP5" s="1304"/>
      <c r="IXQ5" s="1304"/>
      <c r="IXR5" s="1304"/>
      <c r="IXS5" s="1304"/>
      <c r="IXT5" s="1304"/>
      <c r="IXU5" s="1304"/>
      <c r="IXV5" s="1304"/>
      <c r="IXW5" s="1304"/>
      <c r="IXX5" s="1304"/>
      <c r="IXY5" s="1304"/>
      <c r="IXZ5" s="1304"/>
      <c r="IYA5" s="1304"/>
      <c r="IYB5" s="1304"/>
      <c r="IYC5" s="1304"/>
      <c r="IYD5" s="1304"/>
      <c r="IYE5" s="1304"/>
      <c r="IYF5" s="1304"/>
      <c r="IYG5" s="1304"/>
      <c r="IYH5" s="1304"/>
      <c r="IYI5" s="1304"/>
      <c r="IYJ5" s="1304"/>
      <c r="IYK5" s="1304"/>
      <c r="IYL5" s="1304"/>
      <c r="IYM5" s="1304"/>
      <c r="IYN5" s="1304"/>
      <c r="IYO5" s="1304"/>
      <c r="IYP5" s="1304"/>
      <c r="IYQ5" s="1304"/>
      <c r="IYR5" s="1304"/>
      <c r="IYS5" s="1304"/>
      <c r="IYT5" s="1304"/>
      <c r="IYU5" s="1304"/>
      <c r="IYV5" s="1304"/>
      <c r="IYW5" s="1304"/>
      <c r="IYX5" s="1304"/>
      <c r="IYY5" s="1304"/>
      <c r="IYZ5" s="1304"/>
      <c r="IZA5" s="1304"/>
      <c r="IZB5" s="1304"/>
      <c r="IZC5" s="1304"/>
      <c r="IZD5" s="1304"/>
      <c r="IZE5" s="1304"/>
      <c r="IZF5" s="1304"/>
      <c r="IZG5" s="1304"/>
      <c r="IZH5" s="1304"/>
      <c r="IZI5" s="1304"/>
      <c r="IZJ5" s="1304"/>
      <c r="IZK5" s="1304"/>
      <c r="IZL5" s="1304"/>
      <c r="IZM5" s="1304"/>
      <c r="IZN5" s="1304"/>
      <c r="IZO5" s="1304"/>
      <c r="IZP5" s="1304"/>
      <c r="IZQ5" s="1304"/>
      <c r="IZR5" s="1304"/>
      <c r="IZS5" s="1304"/>
      <c r="IZT5" s="1304"/>
      <c r="IZU5" s="1304"/>
      <c r="IZV5" s="1304"/>
      <c r="IZW5" s="1304"/>
      <c r="IZX5" s="1304"/>
      <c r="IZY5" s="1304"/>
      <c r="IZZ5" s="1304"/>
      <c r="JAA5" s="1304"/>
      <c r="JAB5" s="1304"/>
      <c r="JAC5" s="1304"/>
      <c r="JAD5" s="1304"/>
      <c r="JAE5" s="1304"/>
      <c r="JAF5" s="1304"/>
      <c r="JAG5" s="1304"/>
      <c r="JAH5" s="1304"/>
      <c r="JAI5" s="1304"/>
      <c r="JAJ5" s="1304"/>
      <c r="JAK5" s="1304"/>
      <c r="JAL5" s="1304"/>
      <c r="JAM5" s="1304"/>
      <c r="JAN5" s="1304"/>
      <c r="JAO5" s="1304"/>
      <c r="JAP5" s="1304"/>
      <c r="JAQ5" s="1304"/>
      <c r="JAR5" s="1304"/>
      <c r="JAS5" s="1304"/>
      <c r="JAT5" s="1304"/>
      <c r="JAU5" s="1304"/>
      <c r="JAV5" s="1304"/>
      <c r="JAW5" s="1304"/>
      <c r="JAX5" s="1304"/>
      <c r="JAY5" s="1304"/>
      <c r="JAZ5" s="1304"/>
      <c r="JBA5" s="1304"/>
      <c r="JBB5" s="1304"/>
      <c r="JBC5" s="1304"/>
      <c r="JBD5" s="1304"/>
      <c r="JBE5" s="1304"/>
      <c r="JBF5" s="1304"/>
      <c r="JBG5" s="1304"/>
      <c r="JBH5" s="1304"/>
      <c r="JBI5" s="1304"/>
      <c r="JBJ5" s="1304"/>
      <c r="JBK5" s="1304"/>
      <c r="JBL5" s="1304"/>
      <c r="JBM5" s="1304"/>
      <c r="JBN5" s="1304"/>
      <c r="JBO5" s="1304"/>
      <c r="JBP5" s="1304"/>
      <c r="JBQ5" s="1304"/>
      <c r="JBR5" s="1304"/>
      <c r="JBS5" s="1304"/>
      <c r="JBT5" s="1304"/>
      <c r="JBU5" s="1304"/>
      <c r="JBV5" s="1304"/>
      <c r="JBW5" s="1304"/>
      <c r="JBX5" s="1304"/>
      <c r="JBY5" s="1304"/>
      <c r="JBZ5" s="1304"/>
      <c r="JCA5" s="1304"/>
      <c r="JCB5" s="1304"/>
      <c r="JCC5" s="1304"/>
      <c r="JCD5" s="1304"/>
      <c r="JCE5" s="1304"/>
      <c r="JCF5" s="1304"/>
      <c r="JCG5" s="1304"/>
      <c r="JCH5" s="1304"/>
      <c r="JCI5" s="1304"/>
      <c r="JCJ5" s="1304"/>
      <c r="JCK5" s="1304"/>
      <c r="JCL5" s="1304"/>
      <c r="JCM5" s="1304"/>
      <c r="JCN5" s="1304"/>
      <c r="JCO5" s="1304"/>
      <c r="JCP5" s="1304"/>
      <c r="JCQ5" s="1304"/>
      <c r="JCR5" s="1304"/>
      <c r="JCS5" s="1304"/>
      <c r="JCT5" s="1304"/>
      <c r="JCU5" s="1304"/>
      <c r="JCV5" s="1304"/>
      <c r="JCW5" s="1304"/>
      <c r="JCX5" s="1304"/>
      <c r="JCY5" s="1304"/>
      <c r="JCZ5" s="1304"/>
      <c r="JDA5" s="1304"/>
      <c r="JDB5" s="1304"/>
      <c r="JDC5" s="1304"/>
      <c r="JDD5" s="1304"/>
      <c r="JDE5" s="1304"/>
      <c r="JDF5" s="1304"/>
      <c r="JDG5" s="1304"/>
      <c r="JDH5" s="1304"/>
      <c r="JDI5" s="1304"/>
      <c r="JDJ5" s="1304"/>
      <c r="JDK5" s="1304"/>
      <c r="JDL5" s="1304"/>
      <c r="JDM5" s="1304"/>
      <c r="JDN5" s="1304"/>
      <c r="JDO5" s="1304"/>
      <c r="JDP5" s="1304"/>
      <c r="JDQ5" s="1304"/>
      <c r="JDR5" s="1304"/>
      <c r="JDS5" s="1304"/>
      <c r="JDT5" s="1304"/>
      <c r="JDU5" s="1304"/>
      <c r="JDV5" s="1304"/>
      <c r="JDW5" s="1304"/>
      <c r="JDX5" s="1304"/>
      <c r="JDY5" s="1304"/>
      <c r="JDZ5" s="1304"/>
      <c r="JEA5" s="1304"/>
      <c r="JEB5" s="1304"/>
      <c r="JEC5" s="1304"/>
      <c r="JED5" s="1304"/>
      <c r="JEE5" s="1304"/>
      <c r="JEF5" s="1304"/>
      <c r="JEG5" s="1304"/>
      <c r="JEH5" s="1304"/>
      <c r="JEI5" s="1304"/>
      <c r="JEJ5" s="1304"/>
      <c r="JEK5" s="1304"/>
      <c r="JEL5" s="1304"/>
      <c r="JEM5" s="1304"/>
      <c r="JEN5" s="1304"/>
      <c r="JEO5" s="1304"/>
      <c r="JEP5" s="1304"/>
      <c r="JEQ5" s="1304"/>
      <c r="JER5" s="1304"/>
      <c r="JES5" s="1304"/>
      <c r="JET5" s="1304"/>
      <c r="JEU5" s="1304"/>
      <c r="JEV5" s="1304"/>
      <c r="JEW5" s="1304"/>
      <c r="JEX5" s="1304"/>
      <c r="JEY5" s="1304"/>
      <c r="JEZ5" s="1304"/>
      <c r="JFA5" s="1304"/>
      <c r="JFB5" s="1304"/>
      <c r="JFC5" s="1304"/>
      <c r="JFD5" s="1304"/>
      <c r="JFE5" s="1304"/>
      <c r="JFF5" s="1304"/>
      <c r="JFG5" s="1304"/>
      <c r="JFH5" s="1304"/>
      <c r="JFI5" s="1304"/>
      <c r="JFJ5" s="1304"/>
      <c r="JFK5" s="1304"/>
      <c r="JFL5" s="1304"/>
      <c r="JFM5" s="1304"/>
      <c r="JFN5" s="1304"/>
      <c r="JFO5" s="1304"/>
      <c r="JFP5" s="1304"/>
      <c r="JFQ5" s="1304"/>
      <c r="JFR5" s="1304"/>
      <c r="JFS5" s="1304"/>
      <c r="JFT5" s="1304"/>
      <c r="JFU5" s="1304"/>
      <c r="JFV5" s="1304"/>
      <c r="JFW5" s="1304"/>
      <c r="JFX5" s="1304"/>
      <c r="JFY5" s="1304"/>
      <c r="JFZ5" s="1304"/>
      <c r="JGA5" s="1304"/>
      <c r="JGB5" s="1304"/>
      <c r="JGC5" s="1304"/>
      <c r="JGD5" s="1304"/>
      <c r="JGE5" s="1304"/>
      <c r="JGF5" s="1304"/>
      <c r="JGG5" s="1304"/>
      <c r="JGH5" s="1304"/>
      <c r="JGI5" s="1304"/>
      <c r="JGJ5" s="1304"/>
      <c r="JGK5" s="1304"/>
      <c r="JGL5" s="1304"/>
      <c r="JGM5" s="1304"/>
      <c r="JGN5" s="1304"/>
      <c r="JGO5" s="1304"/>
      <c r="JGP5" s="1304"/>
      <c r="JGQ5" s="1304"/>
      <c r="JGR5" s="1304"/>
      <c r="JGS5" s="1304"/>
      <c r="JGT5" s="1304"/>
      <c r="JGU5" s="1304"/>
      <c r="JGV5" s="1304"/>
      <c r="JGW5" s="1304"/>
      <c r="JGX5" s="1304"/>
      <c r="JGY5" s="1304"/>
      <c r="JGZ5" s="1304"/>
      <c r="JHA5" s="1304"/>
      <c r="JHB5" s="1304"/>
      <c r="JHC5" s="1304"/>
      <c r="JHD5" s="1304"/>
      <c r="JHE5" s="1304"/>
      <c r="JHF5" s="1304"/>
      <c r="JHG5" s="1304"/>
      <c r="JHH5" s="1304"/>
      <c r="JHI5" s="1304"/>
      <c r="JHJ5" s="1304"/>
      <c r="JHK5" s="1304"/>
      <c r="JHL5" s="1304"/>
      <c r="JHM5" s="1304"/>
      <c r="JHN5" s="1304"/>
      <c r="JHO5" s="1304"/>
      <c r="JHP5" s="1304"/>
      <c r="JHQ5" s="1304"/>
      <c r="JHR5" s="1304"/>
      <c r="JHS5" s="1304"/>
      <c r="JHT5" s="1304"/>
      <c r="JHU5" s="1304"/>
      <c r="JHV5" s="1304"/>
      <c r="JHW5" s="1304"/>
      <c r="JHX5" s="1304"/>
      <c r="JHY5" s="1304"/>
      <c r="JHZ5" s="1304"/>
      <c r="JIA5" s="1304"/>
      <c r="JIB5" s="1304"/>
      <c r="JIC5" s="1304"/>
      <c r="JID5" s="1304"/>
      <c r="JIE5" s="1304"/>
      <c r="JIF5" s="1304"/>
      <c r="JIG5" s="1304"/>
      <c r="JIH5" s="1304"/>
      <c r="JII5" s="1304"/>
      <c r="JIJ5" s="1304"/>
      <c r="JIK5" s="1304"/>
      <c r="JIL5" s="1304"/>
      <c r="JIM5" s="1304"/>
      <c r="JIN5" s="1304"/>
      <c r="JIO5" s="1304"/>
      <c r="JIP5" s="1304"/>
      <c r="JIQ5" s="1304"/>
      <c r="JIR5" s="1304"/>
      <c r="JIS5" s="1304"/>
      <c r="JIT5" s="1304"/>
      <c r="JIU5" s="1304"/>
      <c r="JIV5" s="1304"/>
      <c r="JIW5" s="1304"/>
      <c r="JIX5" s="1304"/>
      <c r="JIY5" s="1304"/>
      <c r="JIZ5" s="1304"/>
      <c r="JJA5" s="1304"/>
      <c r="JJB5" s="1304"/>
      <c r="JJC5" s="1304"/>
      <c r="JJD5" s="1304"/>
      <c r="JJE5" s="1304"/>
      <c r="JJF5" s="1304"/>
      <c r="JJG5" s="1304"/>
      <c r="JJH5" s="1304"/>
      <c r="JJI5" s="1304"/>
      <c r="JJJ5" s="1304"/>
      <c r="JJK5" s="1304"/>
      <c r="JJL5" s="1304"/>
      <c r="JJM5" s="1304"/>
      <c r="JJN5" s="1304"/>
      <c r="JJO5" s="1304"/>
      <c r="JJP5" s="1304"/>
      <c r="JJQ5" s="1304"/>
      <c r="JJR5" s="1304"/>
      <c r="JJS5" s="1304"/>
      <c r="JJT5" s="1304"/>
      <c r="JJU5" s="1304"/>
      <c r="JJV5" s="1304"/>
      <c r="JJW5" s="1304"/>
      <c r="JJX5" s="1304"/>
      <c r="JJY5" s="1304"/>
      <c r="JJZ5" s="1304"/>
      <c r="JKA5" s="1304"/>
      <c r="JKB5" s="1304"/>
      <c r="JKC5" s="1304"/>
      <c r="JKD5" s="1304"/>
      <c r="JKE5" s="1304"/>
      <c r="JKF5" s="1304"/>
      <c r="JKG5" s="1304"/>
      <c r="JKH5" s="1304"/>
      <c r="JKI5" s="1304"/>
      <c r="JKJ5" s="1304"/>
      <c r="JKK5" s="1304"/>
      <c r="JKL5" s="1304"/>
      <c r="JKM5" s="1304"/>
      <c r="JKN5" s="1304"/>
      <c r="JKO5" s="1304"/>
      <c r="JKP5" s="1304"/>
      <c r="JKQ5" s="1304"/>
      <c r="JKR5" s="1304"/>
      <c r="JKS5" s="1304"/>
      <c r="JKT5" s="1304"/>
      <c r="JKU5" s="1304"/>
      <c r="JKV5" s="1304"/>
      <c r="JKW5" s="1304"/>
      <c r="JKX5" s="1304"/>
      <c r="JKY5" s="1304"/>
      <c r="JKZ5" s="1304"/>
      <c r="JLA5" s="1304"/>
      <c r="JLB5" s="1304"/>
      <c r="JLC5" s="1304"/>
      <c r="JLD5" s="1304"/>
      <c r="JLE5" s="1304"/>
      <c r="JLF5" s="1304"/>
      <c r="JLG5" s="1304"/>
      <c r="JLH5" s="1304"/>
      <c r="JLI5" s="1304"/>
      <c r="JLJ5" s="1304"/>
      <c r="JLK5" s="1304"/>
      <c r="JLL5" s="1304"/>
      <c r="JLM5" s="1304"/>
      <c r="JLN5" s="1304"/>
      <c r="JLO5" s="1304"/>
      <c r="JLP5" s="1304"/>
      <c r="JLQ5" s="1304"/>
      <c r="JLR5" s="1304"/>
      <c r="JLS5" s="1304"/>
      <c r="JLT5" s="1304"/>
      <c r="JLU5" s="1304"/>
      <c r="JLV5" s="1304"/>
      <c r="JLW5" s="1304"/>
      <c r="JLX5" s="1304"/>
      <c r="JLY5" s="1304"/>
      <c r="JLZ5" s="1304"/>
      <c r="JMA5" s="1304"/>
      <c r="JMB5" s="1304"/>
      <c r="JMC5" s="1304"/>
      <c r="JMD5" s="1304"/>
      <c r="JME5" s="1304"/>
      <c r="JMF5" s="1304"/>
      <c r="JMG5" s="1304"/>
      <c r="JMH5" s="1304"/>
      <c r="JMI5" s="1304"/>
      <c r="JMJ5" s="1304"/>
      <c r="JMK5" s="1304"/>
      <c r="JML5" s="1304"/>
      <c r="JMM5" s="1304"/>
      <c r="JMN5" s="1304"/>
      <c r="JMO5" s="1304"/>
      <c r="JMP5" s="1304"/>
      <c r="JMQ5" s="1304"/>
      <c r="JMR5" s="1304"/>
      <c r="JMS5" s="1304"/>
      <c r="JMT5" s="1304"/>
      <c r="JMU5" s="1304"/>
      <c r="JMV5" s="1304"/>
      <c r="JMW5" s="1304"/>
      <c r="JMX5" s="1304"/>
      <c r="JMY5" s="1304"/>
      <c r="JMZ5" s="1304"/>
      <c r="JNA5" s="1304"/>
      <c r="JNB5" s="1304"/>
      <c r="JNC5" s="1304"/>
      <c r="JND5" s="1304"/>
      <c r="JNE5" s="1304"/>
      <c r="JNF5" s="1304"/>
      <c r="JNG5" s="1304"/>
      <c r="JNH5" s="1304"/>
      <c r="JNI5" s="1304"/>
      <c r="JNJ5" s="1304"/>
      <c r="JNK5" s="1304"/>
      <c r="JNL5" s="1304"/>
      <c r="JNM5" s="1304"/>
      <c r="JNN5" s="1304"/>
      <c r="JNO5" s="1304"/>
      <c r="JNP5" s="1304"/>
      <c r="JNQ5" s="1304"/>
      <c r="JNR5" s="1304"/>
      <c r="JNS5" s="1304"/>
      <c r="JNT5" s="1304"/>
      <c r="JNU5" s="1304"/>
      <c r="JNV5" s="1304"/>
      <c r="JNW5" s="1304"/>
      <c r="JNX5" s="1304"/>
      <c r="JNY5" s="1304"/>
      <c r="JNZ5" s="1304"/>
      <c r="JOA5" s="1304"/>
      <c r="JOB5" s="1304"/>
      <c r="JOC5" s="1304"/>
      <c r="JOD5" s="1304"/>
      <c r="JOE5" s="1304"/>
      <c r="JOF5" s="1304"/>
      <c r="JOG5" s="1304"/>
      <c r="JOH5" s="1304"/>
      <c r="JOI5" s="1304"/>
      <c r="JOJ5" s="1304"/>
      <c r="JOK5" s="1304"/>
      <c r="JOL5" s="1304"/>
      <c r="JOM5" s="1304"/>
      <c r="JON5" s="1304"/>
      <c r="JOO5" s="1304"/>
      <c r="JOP5" s="1304"/>
      <c r="JOQ5" s="1304"/>
      <c r="JOR5" s="1304"/>
      <c r="JOS5" s="1304"/>
      <c r="JOT5" s="1304"/>
      <c r="JOU5" s="1304"/>
      <c r="JOV5" s="1304"/>
      <c r="JOW5" s="1304"/>
      <c r="JOX5" s="1304"/>
      <c r="JOY5" s="1304"/>
      <c r="JOZ5" s="1304"/>
      <c r="JPA5" s="1304"/>
      <c r="JPB5" s="1304"/>
      <c r="JPC5" s="1304"/>
      <c r="JPD5" s="1304"/>
      <c r="JPE5" s="1304"/>
      <c r="JPF5" s="1304"/>
      <c r="JPG5" s="1304"/>
      <c r="JPH5" s="1304"/>
      <c r="JPI5" s="1304"/>
      <c r="JPJ5" s="1304"/>
      <c r="JPK5" s="1304"/>
      <c r="JPL5" s="1304"/>
      <c r="JPM5" s="1304"/>
      <c r="JPN5" s="1304"/>
      <c r="JPO5" s="1304"/>
      <c r="JPP5" s="1304"/>
      <c r="JPQ5" s="1304"/>
      <c r="JPR5" s="1304"/>
      <c r="JPS5" s="1304"/>
      <c r="JPT5" s="1304"/>
      <c r="JPU5" s="1304"/>
      <c r="JPV5" s="1304"/>
      <c r="JPW5" s="1304"/>
      <c r="JPX5" s="1304"/>
      <c r="JPY5" s="1304"/>
      <c r="JPZ5" s="1304"/>
      <c r="JQA5" s="1304"/>
      <c r="JQB5" s="1304"/>
      <c r="JQC5" s="1304"/>
      <c r="JQD5" s="1304"/>
      <c r="JQE5" s="1304"/>
      <c r="JQF5" s="1304"/>
      <c r="JQG5" s="1304"/>
      <c r="JQH5" s="1304"/>
      <c r="JQI5" s="1304"/>
      <c r="JQJ5" s="1304"/>
      <c r="JQK5" s="1304"/>
      <c r="JQL5" s="1304"/>
      <c r="JQM5" s="1304"/>
      <c r="JQN5" s="1304"/>
      <c r="JQO5" s="1304"/>
      <c r="JQP5" s="1304"/>
      <c r="JQQ5" s="1304"/>
      <c r="JQR5" s="1304"/>
      <c r="JQS5" s="1304"/>
      <c r="JQT5" s="1304"/>
      <c r="JQU5" s="1304"/>
      <c r="JQV5" s="1304"/>
      <c r="JQW5" s="1304"/>
      <c r="JQX5" s="1304"/>
      <c r="JQY5" s="1304"/>
      <c r="JQZ5" s="1304"/>
      <c r="JRA5" s="1304"/>
      <c r="JRB5" s="1304"/>
      <c r="JRC5" s="1304"/>
      <c r="JRD5" s="1304"/>
      <c r="JRE5" s="1304"/>
      <c r="JRF5" s="1304"/>
      <c r="JRG5" s="1304"/>
      <c r="JRH5" s="1304"/>
      <c r="JRI5" s="1304"/>
      <c r="JRJ5" s="1304"/>
      <c r="JRK5" s="1304"/>
      <c r="JRL5" s="1304"/>
      <c r="JRM5" s="1304"/>
      <c r="JRN5" s="1304"/>
      <c r="JRO5" s="1304"/>
      <c r="JRP5" s="1304"/>
      <c r="JRQ5" s="1304"/>
      <c r="JRR5" s="1304"/>
      <c r="JRS5" s="1304"/>
      <c r="JRT5" s="1304"/>
      <c r="JRU5" s="1304"/>
      <c r="JRV5" s="1304"/>
      <c r="JRW5" s="1304"/>
      <c r="JRX5" s="1304"/>
      <c r="JRY5" s="1304"/>
      <c r="JRZ5" s="1304"/>
      <c r="JSA5" s="1304"/>
      <c r="JSB5" s="1304"/>
      <c r="JSC5" s="1304"/>
      <c r="JSD5" s="1304"/>
      <c r="JSE5" s="1304"/>
      <c r="JSF5" s="1304"/>
      <c r="JSG5" s="1304"/>
      <c r="JSH5" s="1304"/>
      <c r="JSI5" s="1304"/>
      <c r="JSJ5" s="1304"/>
      <c r="JSK5" s="1304"/>
      <c r="JSL5" s="1304"/>
      <c r="JSM5" s="1304"/>
      <c r="JSN5" s="1304"/>
      <c r="JSO5" s="1304"/>
      <c r="JSP5" s="1304"/>
      <c r="JSQ5" s="1304"/>
      <c r="JSR5" s="1304"/>
      <c r="JSS5" s="1304"/>
      <c r="JST5" s="1304"/>
      <c r="JSU5" s="1304"/>
      <c r="JSV5" s="1304"/>
      <c r="JSW5" s="1304"/>
      <c r="JSX5" s="1304"/>
      <c r="JSY5" s="1304"/>
      <c r="JSZ5" s="1304"/>
      <c r="JTA5" s="1304"/>
      <c r="JTB5" s="1304"/>
      <c r="JTC5" s="1304"/>
      <c r="JTD5" s="1304"/>
      <c r="JTE5" s="1304"/>
      <c r="JTF5" s="1304"/>
      <c r="JTG5" s="1304"/>
      <c r="JTH5" s="1304"/>
      <c r="JTI5" s="1304"/>
      <c r="JTJ5" s="1304"/>
      <c r="JTK5" s="1304"/>
      <c r="JTL5" s="1304"/>
      <c r="JTM5" s="1304"/>
      <c r="JTN5" s="1304"/>
      <c r="JTO5" s="1304"/>
      <c r="JTP5" s="1304"/>
      <c r="JTQ5" s="1304"/>
      <c r="JTR5" s="1304"/>
      <c r="JTS5" s="1304"/>
      <c r="JTT5" s="1304"/>
      <c r="JTU5" s="1304"/>
      <c r="JTV5" s="1304"/>
      <c r="JTW5" s="1304"/>
      <c r="JTX5" s="1304"/>
      <c r="JTY5" s="1304"/>
      <c r="JTZ5" s="1304"/>
      <c r="JUA5" s="1304"/>
      <c r="JUB5" s="1304"/>
      <c r="JUC5" s="1304"/>
      <c r="JUD5" s="1304"/>
      <c r="JUE5" s="1304"/>
      <c r="JUF5" s="1304"/>
      <c r="JUG5" s="1304"/>
      <c r="JUH5" s="1304"/>
      <c r="JUI5" s="1304"/>
      <c r="JUJ5" s="1304"/>
      <c r="JUK5" s="1304"/>
      <c r="JUL5" s="1304"/>
      <c r="JUM5" s="1304"/>
      <c r="JUN5" s="1304"/>
      <c r="JUO5" s="1304"/>
      <c r="JUP5" s="1304"/>
      <c r="JUQ5" s="1304"/>
      <c r="JUR5" s="1304"/>
      <c r="JUS5" s="1304"/>
      <c r="JUT5" s="1304"/>
      <c r="JUU5" s="1304"/>
      <c r="JUV5" s="1304"/>
      <c r="JUW5" s="1304"/>
      <c r="JUX5" s="1304"/>
      <c r="JUY5" s="1304"/>
      <c r="JUZ5" s="1304"/>
      <c r="JVA5" s="1304"/>
      <c r="JVB5" s="1304"/>
      <c r="JVC5" s="1304"/>
      <c r="JVD5" s="1304"/>
      <c r="JVE5" s="1304"/>
      <c r="JVF5" s="1304"/>
      <c r="JVG5" s="1304"/>
      <c r="JVH5" s="1304"/>
      <c r="JVI5" s="1304"/>
      <c r="JVJ5" s="1304"/>
      <c r="JVK5" s="1304"/>
      <c r="JVL5" s="1304"/>
      <c r="JVM5" s="1304"/>
      <c r="JVN5" s="1304"/>
      <c r="JVO5" s="1304"/>
      <c r="JVP5" s="1304"/>
      <c r="JVQ5" s="1304"/>
      <c r="JVR5" s="1304"/>
      <c r="JVS5" s="1304"/>
      <c r="JVT5" s="1304"/>
      <c r="JVU5" s="1304"/>
      <c r="JVV5" s="1304"/>
      <c r="JVW5" s="1304"/>
      <c r="JVX5" s="1304"/>
      <c r="JVY5" s="1304"/>
      <c r="JVZ5" s="1304"/>
      <c r="JWA5" s="1304"/>
      <c r="JWB5" s="1304"/>
      <c r="JWC5" s="1304"/>
      <c r="JWD5" s="1304"/>
      <c r="JWE5" s="1304"/>
      <c r="JWF5" s="1304"/>
      <c r="JWG5" s="1304"/>
      <c r="JWH5" s="1304"/>
      <c r="JWI5" s="1304"/>
      <c r="JWJ5" s="1304"/>
      <c r="JWK5" s="1304"/>
      <c r="JWL5" s="1304"/>
      <c r="JWM5" s="1304"/>
      <c r="JWN5" s="1304"/>
      <c r="JWO5" s="1304"/>
      <c r="JWP5" s="1304"/>
      <c r="JWQ5" s="1304"/>
      <c r="JWR5" s="1304"/>
      <c r="JWS5" s="1304"/>
      <c r="JWT5" s="1304"/>
      <c r="JWU5" s="1304"/>
      <c r="JWV5" s="1304"/>
      <c r="JWW5" s="1304"/>
      <c r="JWX5" s="1304"/>
      <c r="JWY5" s="1304"/>
      <c r="JWZ5" s="1304"/>
      <c r="JXA5" s="1304"/>
      <c r="JXB5" s="1304"/>
      <c r="JXC5" s="1304"/>
      <c r="JXD5" s="1304"/>
      <c r="JXE5" s="1304"/>
      <c r="JXF5" s="1304"/>
      <c r="JXG5" s="1304"/>
      <c r="JXH5" s="1304"/>
      <c r="JXI5" s="1304"/>
      <c r="JXJ5" s="1304"/>
      <c r="JXK5" s="1304"/>
      <c r="JXL5" s="1304"/>
      <c r="JXM5" s="1304"/>
      <c r="JXN5" s="1304"/>
      <c r="JXO5" s="1304"/>
      <c r="JXP5" s="1304"/>
      <c r="JXQ5" s="1304"/>
      <c r="JXR5" s="1304"/>
      <c r="JXS5" s="1304"/>
      <c r="JXT5" s="1304"/>
      <c r="JXU5" s="1304"/>
      <c r="JXV5" s="1304"/>
      <c r="JXW5" s="1304"/>
      <c r="JXX5" s="1304"/>
      <c r="JXY5" s="1304"/>
      <c r="JXZ5" s="1304"/>
      <c r="JYA5" s="1304"/>
      <c r="JYB5" s="1304"/>
      <c r="JYC5" s="1304"/>
      <c r="JYD5" s="1304"/>
      <c r="JYE5" s="1304"/>
      <c r="JYF5" s="1304"/>
      <c r="JYG5" s="1304"/>
      <c r="JYH5" s="1304"/>
      <c r="JYI5" s="1304"/>
      <c r="JYJ5" s="1304"/>
      <c r="JYK5" s="1304"/>
      <c r="JYL5" s="1304"/>
      <c r="JYM5" s="1304"/>
      <c r="JYN5" s="1304"/>
      <c r="JYO5" s="1304"/>
      <c r="JYP5" s="1304"/>
      <c r="JYQ5" s="1304"/>
      <c r="JYR5" s="1304"/>
      <c r="JYS5" s="1304"/>
      <c r="JYT5" s="1304"/>
      <c r="JYU5" s="1304"/>
      <c r="JYV5" s="1304"/>
      <c r="JYW5" s="1304"/>
      <c r="JYX5" s="1304"/>
      <c r="JYY5" s="1304"/>
      <c r="JYZ5" s="1304"/>
      <c r="JZA5" s="1304"/>
      <c r="JZB5" s="1304"/>
      <c r="JZC5" s="1304"/>
      <c r="JZD5" s="1304"/>
      <c r="JZE5" s="1304"/>
      <c r="JZF5" s="1304"/>
      <c r="JZG5" s="1304"/>
      <c r="JZH5" s="1304"/>
      <c r="JZI5" s="1304"/>
      <c r="JZJ5" s="1304"/>
      <c r="JZK5" s="1304"/>
      <c r="JZL5" s="1304"/>
      <c r="JZM5" s="1304"/>
      <c r="JZN5" s="1304"/>
      <c r="JZO5" s="1304"/>
      <c r="JZP5" s="1304"/>
      <c r="JZQ5" s="1304"/>
      <c r="JZR5" s="1304"/>
      <c r="JZS5" s="1304"/>
      <c r="JZT5" s="1304"/>
      <c r="JZU5" s="1304"/>
      <c r="JZV5" s="1304"/>
      <c r="JZW5" s="1304"/>
      <c r="JZX5" s="1304"/>
      <c r="JZY5" s="1304"/>
      <c r="JZZ5" s="1304"/>
      <c r="KAA5" s="1304"/>
      <c r="KAB5" s="1304"/>
      <c r="KAC5" s="1304"/>
      <c r="KAD5" s="1304"/>
      <c r="KAE5" s="1304"/>
      <c r="KAF5" s="1304"/>
      <c r="KAG5" s="1304"/>
      <c r="KAH5" s="1304"/>
      <c r="KAI5" s="1304"/>
      <c r="KAJ5" s="1304"/>
      <c r="KAK5" s="1304"/>
      <c r="KAL5" s="1304"/>
      <c r="KAM5" s="1304"/>
      <c r="KAN5" s="1304"/>
      <c r="KAO5" s="1304"/>
      <c r="KAP5" s="1304"/>
      <c r="KAQ5" s="1304"/>
      <c r="KAR5" s="1304"/>
      <c r="KAS5" s="1304"/>
      <c r="KAT5" s="1304"/>
      <c r="KAU5" s="1304"/>
      <c r="KAV5" s="1304"/>
      <c r="KAW5" s="1304"/>
      <c r="KAX5" s="1304"/>
      <c r="KAY5" s="1304"/>
      <c r="KAZ5" s="1304"/>
      <c r="KBA5" s="1304"/>
      <c r="KBB5" s="1304"/>
      <c r="KBC5" s="1304"/>
      <c r="KBD5" s="1304"/>
      <c r="KBE5" s="1304"/>
      <c r="KBF5" s="1304"/>
      <c r="KBG5" s="1304"/>
      <c r="KBH5" s="1304"/>
      <c r="KBI5" s="1304"/>
      <c r="KBJ5" s="1304"/>
      <c r="KBK5" s="1304"/>
      <c r="KBL5" s="1304"/>
      <c r="KBM5" s="1304"/>
      <c r="KBN5" s="1304"/>
      <c r="KBO5" s="1304"/>
      <c r="KBP5" s="1304"/>
      <c r="KBQ5" s="1304"/>
      <c r="KBR5" s="1304"/>
      <c r="KBS5" s="1304"/>
      <c r="KBT5" s="1304"/>
      <c r="KBU5" s="1304"/>
      <c r="KBV5" s="1304"/>
      <c r="KBW5" s="1304"/>
      <c r="KBX5" s="1304"/>
      <c r="KBY5" s="1304"/>
      <c r="KBZ5" s="1304"/>
      <c r="KCA5" s="1304"/>
      <c r="KCB5" s="1304"/>
      <c r="KCC5" s="1304"/>
      <c r="KCD5" s="1304"/>
      <c r="KCE5" s="1304"/>
      <c r="KCF5" s="1304"/>
      <c r="KCG5" s="1304"/>
      <c r="KCH5" s="1304"/>
      <c r="KCI5" s="1304"/>
      <c r="KCJ5" s="1304"/>
      <c r="KCK5" s="1304"/>
      <c r="KCL5" s="1304"/>
      <c r="KCM5" s="1304"/>
      <c r="KCN5" s="1304"/>
      <c r="KCO5" s="1304"/>
      <c r="KCP5" s="1304"/>
      <c r="KCQ5" s="1304"/>
      <c r="KCR5" s="1304"/>
      <c r="KCS5" s="1304"/>
      <c r="KCT5" s="1304"/>
      <c r="KCU5" s="1304"/>
      <c r="KCV5" s="1304"/>
      <c r="KCW5" s="1304"/>
      <c r="KCX5" s="1304"/>
      <c r="KCY5" s="1304"/>
      <c r="KCZ5" s="1304"/>
      <c r="KDA5" s="1304"/>
      <c r="KDB5" s="1304"/>
      <c r="KDC5" s="1304"/>
      <c r="KDD5" s="1304"/>
      <c r="KDE5" s="1304"/>
      <c r="KDF5" s="1304"/>
      <c r="KDG5" s="1304"/>
      <c r="KDH5" s="1304"/>
      <c r="KDI5" s="1304"/>
      <c r="KDJ5" s="1304"/>
      <c r="KDK5" s="1304"/>
      <c r="KDL5" s="1304"/>
      <c r="KDM5" s="1304"/>
      <c r="KDN5" s="1304"/>
      <c r="KDO5" s="1304"/>
      <c r="KDP5" s="1304"/>
      <c r="KDQ5" s="1304"/>
      <c r="KDR5" s="1304"/>
      <c r="KDS5" s="1304"/>
      <c r="KDT5" s="1304"/>
      <c r="KDU5" s="1304"/>
      <c r="KDV5" s="1304"/>
      <c r="KDW5" s="1304"/>
      <c r="KDX5" s="1304"/>
      <c r="KDY5" s="1304"/>
      <c r="KDZ5" s="1304"/>
      <c r="KEA5" s="1304"/>
      <c r="KEB5" s="1304"/>
      <c r="KEC5" s="1304"/>
      <c r="KED5" s="1304"/>
      <c r="KEE5" s="1304"/>
      <c r="KEF5" s="1304"/>
      <c r="KEG5" s="1304"/>
      <c r="KEH5" s="1304"/>
      <c r="KEI5" s="1304"/>
      <c r="KEJ5" s="1304"/>
      <c r="KEK5" s="1304"/>
      <c r="KEL5" s="1304"/>
      <c r="KEM5" s="1304"/>
      <c r="KEN5" s="1304"/>
      <c r="KEO5" s="1304"/>
      <c r="KEP5" s="1304"/>
      <c r="KEQ5" s="1304"/>
      <c r="KER5" s="1304"/>
      <c r="KES5" s="1304"/>
      <c r="KET5" s="1304"/>
      <c r="KEU5" s="1304"/>
      <c r="KEV5" s="1304"/>
      <c r="KEW5" s="1304"/>
      <c r="KEX5" s="1304"/>
      <c r="KEY5" s="1304"/>
      <c r="KEZ5" s="1304"/>
      <c r="KFA5" s="1304"/>
      <c r="KFB5" s="1304"/>
      <c r="KFC5" s="1304"/>
      <c r="KFD5" s="1304"/>
      <c r="KFE5" s="1304"/>
      <c r="KFF5" s="1304"/>
      <c r="KFG5" s="1304"/>
      <c r="KFH5" s="1304"/>
      <c r="KFI5" s="1304"/>
      <c r="KFJ5" s="1304"/>
      <c r="KFK5" s="1304"/>
      <c r="KFL5" s="1304"/>
      <c r="KFM5" s="1304"/>
      <c r="KFN5" s="1304"/>
      <c r="KFO5" s="1304"/>
      <c r="KFP5" s="1304"/>
      <c r="KFQ5" s="1304"/>
      <c r="KFR5" s="1304"/>
      <c r="KFS5" s="1304"/>
      <c r="KFT5" s="1304"/>
      <c r="KFU5" s="1304"/>
      <c r="KFV5" s="1304"/>
      <c r="KFW5" s="1304"/>
      <c r="KFX5" s="1304"/>
      <c r="KFY5" s="1304"/>
      <c r="KFZ5" s="1304"/>
      <c r="KGA5" s="1304"/>
      <c r="KGB5" s="1304"/>
      <c r="KGC5" s="1304"/>
      <c r="KGD5" s="1304"/>
      <c r="KGE5" s="1304"/>
      <c r="KGF5" s="1304"/>
      <c r="KGG5" s="1304"/>
      <c r="KGH5" s="1304"/>
      <c r="KGI5" s="1304"/>
      <c r="KGJ5" s="1304"/>
      <c r="KGK5" s="1304"/>
      <c r="KGL5" s="1304"/>
      <c r="KGM5" s="1304"/>
      <c r="KGN5" s="1304"/>
      <c r="KGO5" s="1304"/>
      <c r="KGP5" s="1304"/>
      <c r="KGQ5" s="1304"/>
      <c r="KGR5" s="1304"/>
      <c r="KGS5" s="1304"/>
      <c r="KGT5" s="1304"/>
      <c r="KGU5" s="1304"/>
      <c r="KGV5" s="1304"/>
      <c r="KGW5" s="1304"/>
      <c r="KGX5" s="1304"/>
      <c r="KGY5" s="1304"/>
      <c r="KGZ5" s="1304"/>
      <c r="KHA5" s="1304"/>
      <c r="KHB5" s="1304"/>
      <c r="KHC5" s="1304"/>
      <c r="KHD5" s="1304"/>
      <c r="KHE5" s="1304"/>
      <c r="KHF5" s="1304"/>
      <c r="KHG5" s="1304"/>
      <c r="KHH5" s="1304"/>
      <c r="KHI5" s="1304"/>
      <c r="KHJ5" s="1304"/>
      <c r="KHK5" s="1304"/>
      <c r="KHL5" s="1304"/>
      <c r="KHM5" s="1304"/>
      <c r="KHN5" s="1304"/>
      <c r="KHO5" s="1304"/>
      <c r="KHP5" s="1304"/>
      <c r="KHQ5" s="1304"/>
      <c r="KHR5" s="1304"/>
      <c r="KHS5" s="1304"/>
      <c r="KHT5" s="1304"/>
      <c r="KHU5" s="1304"/>
      <c r="KHV5" s="1304"/>
      <c r="KHW5" s="1304"/>
      <c r="KHX5" s="1304"/>
      <c r="KHY5" s="1304"/>
      <c r="KHZ5" s="1304"/>
      <c r="KIA5" s="1304"/>
      <c r="KIB5" s="1304"/>
      <c r="KIC5" s="1304"/>
      <c r="KID5" s="1304"/>
      <c r="KIE5" s="1304"/>
      <c r="KIF5" s="1304"/>
      <c r="KIG5" s="1304"/>
      <c r="KIH5" s="1304"/>
      <c r="KII5" s="1304"/>
      <c r="KIJ5" s="1304"/>
      <c r="KIK5" s="1304"/>
      <c r="KIL5" s="1304"/>
      <c r="KIM5" s="1304"/>
      <c r="KIN5" s="1304"/>
      <c r="KIO5" s="1304"/>
      <c r="KIP5" s="1304"/>
      <c r="KIQ5" s="1304"/>
      <c r="KIR5" s="1304"/>
      <c r="KIS5" s="1304"/>
      <c r="KIT5" s="1304"/>
      <c r="KIU5" s="1304"/>
      <c r="KIV5" s="1304"/>
      <c r="KIW5" s="1304"/>
      <c r="KIX5" s="1304"/>
      <c r="KIY5" s="1304"/>
      <c r="KIZ5" s="1304"/>
      <c r="KJA5" s="1304"/>
      <c r="KJB5" s="1304"/>
      <c r="KJC5" s="1304"/>
      <c r="KJD5" s="1304"/>
      <c r="KJE5" s="1304"/>
      <c r="KJF5" s="1304"/>
      <c r="KJG5" s="1304"/>
      <c r="KJH5" s="1304"/>
      <c r="KJI5" s="1304"/>
      <c r="KJJ5" s="1304"/>
      <c r="KJK5" s="1304"/>
      <c r="KJL5" s="1304"/>
      <c r="KJM5" s="1304"/>
      <c r="KJN5" s="1304"/>
      <c r="KJO5" s="1304"/>
      <c r="KJP5" s="1304"/>
      <c r="KJQ5" s="1304"/>
      <c r="KJR5" s="1304"/>
      <c r="KJS5" s="1304"/>
      <c r="KJT5" s="1304"/>
      <c r="KJU5" s="1304"/>
      <c r="KJV5" s="1304"/>
      <c r="KJW5" s="1304"/>
      <c r="KJX5" s="1304"/>
      <c r="KJY5" s="1304"/>
      <c r="KJZ5" s="1304"/>
      <c r="KKA5" s="1304"/>
      <c r="KKB5" s="1304"/>
      <c r="KKC5" s="1304"/>
      <c r="KKD5" s="1304"/>
      <c r="KKE5" s="1304"/>
      <c r="KKF5" s="1304"/>
      <c r="KKG5" s="1304"/>
      <c r="KKH5" s="1304"/>
      <c r="KKI5" s="1304"/>
      <c r="KKJ5" s="1304"/>
      <c r="KKK5" s="1304"/>
      <c r="KKL5" s="1304"/>
      <c r="KKM5" s="1304"/>
      <c r="KKN5" s="1304"/>
      <c r="KKO5" s="1304"/>
      <c r="KKP5" s="1304"/>
      <c r="KKQ5" s="1304"/>
      <c r="KKR5" s="1304"/>
      <c r="KKS5" s="1304"/>
      <c r="KKT5" s="1304"/>
      <c r="KKU5" s="1304"/>
      <c r="KKV5" s="1304"/>
      <c r="KKW5" s="1304"/>
      <c r="KKX5" s="1304"/>
      <c r="KKY5" s="1304"/>
      <c r="KKZ5" s="1304"/>
      <c r="KLA5" s="1304"/>
      <c r="KLB5" s="1304"/>
      <c r="KLC5" s="1304"/>
      <c r="KLD5" s="1304"/>
      <c r="KLE5" s="1304"/>
      <c r="KLF5" s="1304"/>
      <c r="KLG5" s="1304"/>
      <c r="KLH5" s="1304"/>
      <c r="KLI5" s="1304"/>
      <c r="KLJ5" s="1304"/>
      <c r="KLK5" s="1304"/>
      <c r="KLL5" s="1304"/>
      <c r="KLM5" s="1304"/>
      <c r="KLN5" s="1304"/>
      <c r="KLO5" s="1304"/>
      <c r="KLP5" s="1304"/>
      <c r="KLQ5" s="1304"/>
      <c r="KLR5" s="1304"/>
      <c r="KLS5" s="1304"/>
      <c r="KLT5" s="1304"/>
      <c r="KLU5" s="1304"/>
      <c r="KLV5" s="1304"/>
      <c r="KLW5" s="1304"/>
      <c r="KLX5" s="1304"/>
      <c r="KLY5" s="1304"/>
      <c r="KLZ5" s="1304"/>
      <c r="KMA5" s="1304"/>
      <c r="KMB5" s="1304"/>
      <c r="KMC5" s="1304"/>
      <c r="KMD5" s="1304"/>
      <c r="KME5" s="1304"/>
      <c r="KMF5" s="1304"/>
      <c r="KMG5" s="1304"/>
      <c r="KMH5" s="1304"/>
      <c r="KMI5" s="1304"/>
      <c r="KMJ5" s="1304"/>
      <c r="KMK5" s="1304"/>
      <c r="KML5" s="1304"/>
      <c r="KMM5" s="1304"/>
      <c r="KMN5" s="1304"/>
      <c r="KMO5" s="1304"/>
      <c r="KMP5" s="1304"/>
      <c r="KMQ5" s="1304"/>
      <c r="KMR5" s="1304"/>
      <c r="KMS5" s="1304"/>
      <c r="KMT5" s="1304"/>
      <c r="KMU5" s="1304"/>
      <c r="KMV5" s="1304"/>
      <c r="KMW5" s="1304"/>
      <c r="KMX5" s="1304"/>
      <c r="KMY5" s="1304"/>
      <c r="KMZ5" s="1304"/>
      <c r="KNA5" s="1304"/>
      <c r="KNB5" s="1304"/>
      <c r="KNC5" s="1304"/>
      <c r="KND5" s="1304"/>
      <c r="KNE5" s="1304"/>
      <c r="KNF5" s="1304"/>
      <c r="KNG5" s="1304"/>
      <c r="KNH5" s="1304"/>
      <c r="KNI5" s="1304"/>
      <c r="KNJ5" s="1304"/>
      <c r="KNK5" s="1304"/>
      <c r="KNL5" s="1304"/>
      <c r="KNM5" s="1304"/>
      <c r="KNN5" s="1304"/>
      <c r="KNO5" s="1304"/>
      <c r="KNP5" s="1304"/>
      <c r="KNQ5" s="1304"/>
      <c r="KNR5" s="1304"/>
      <c r="KNS5" s="1304"/>
      <c r="KNT5" s="1304"/>
      <c r="KNU5" s="1304"/>
      <c r="KNV5" s="1304"/>
      <c r="KNW5" s="1304"/>
      <c r="KNX5" s="1304"/>
      <c r="KNY5" s="1304"/>
      <c r="KNZ5" s="1304"/>
      <c r="KOA5" s="1304"/>
      <c r="KOB5" s="1304"/>
      <c r="KOC5" s="1304"/>
      <c r="KOD5" s="1304"/>
      <c r="KOE5" s="1304"/>
      <c r="KOF5" s="1304"/>
      <c r="KOG5" s="1304"/>
      <c r="KOH5" s="1304"/>
      <c r="KOI5" s="1304"/>
      <c r="KOJ5" s="1304"/>
      <c r="KOK5" s="1304"/>
      <c r="KOL5" s="1304"/>
      <c r="KOM5" s="1304"/>
      <c r="KON5" s="1304"/>
      <c r="KOO5" s="1304"/>
      <c r="KOP5" s="1304"/>
      <c r="KOQ5" s="1304"/>
      <c r="KOR5" s="1304"/>
      <c r="KOS5" s="1304"/>
      <c r="KOT5" s="1304"/>
      <c r="KOU5" s="1304"/>
      <c r="KOV5" s="1304"/>
      <c r="KOW5" s="1304"/>
      <c r="KOX5" s="1304"/>
      <c r="KOY5" s="1304"/>
      <c r="KOZ5" s="1304"/>
      <c r="KPA5" s="1304"/>
      <c r="KPB5" s="1304"/>
      <c r="KPC5" s="1304"/>
      <c r="KPD5" s="1304"/>
      <c r="KPE5" s="1304"/>
      <c r="KPF5" s="1304"/>
      <c r="KPG5" s="1304"/>
      <c r="KPH5" s="1304"/>
      <c r="KPI5" s="1304"/>
      <c r="KPJ5" s="1304"/>
      <c r="KPK5" s="1304"/>
      <c r="KPL5" s="1304"/>
      <c r="KPM5" s="1304"/>
      <c r="KPN5" s="1304"/>
      <c r="KPO5" s="1304"/>
      <c r="KPP5" s="1304"/>
      <c r="KPQ5" s="1304"/>
      <c r="KPR5" s="1304"/>
      <c r="KPS5" s="1304"/>
      <c r="KPT5" s="1304"/>
      <c r="KPU5" s="1304"/>
      <c r="KPV5" s="1304"/>
      <c r="KPW5" s="1304"/>
      <c r="KPX5" s="1304"/>
      <c r="KPY5" s="1304"/>
      <c r="KPZ5" s="1304"/>
      <c r="KQA5" s="1304"/>
      <c r="KQB5" s="1304"/>
      <c r="KQC5" s="1304"/>
      <c r="KQD5" s="1304"/>
      <c r="KQE5" s="1304"/>
      <c r="KQF5" s="1304"/>
      <c r="KQG5" s="1304"/>
      <c r="KQH5" s="1304"/>
      <c r="KQI5" s="1304"/>
      <c r="KQJ5" s="1304"/>
      <c r="KQK5" s="1304"/>
      <c r="KQL5" s="1304"/>
      <c r="KQM5" s="1304"/>
      <c r="KQN5" s="1304"/>
      <c r="KQO5" s="1304"/>
      <c r="KQP5" s="1304"/>
      <c r="KQQ5" s="1304"/>
      <c r="KQR5" s="1304"/>
      <c r="KQS5" s="1304"/>
      <c r="KQT5" s="1304"/>
      <c r="KQU5" s="1304"/>
      <c r="KQV5" s="1304"/>
      <c r="KQW5" s="1304"/>
      <c r="KQX5" s="1304"/>
      <c r="KQY5" s="1304"/>
      <c r="KQZ5" s="1304"/>
      <c r="KRA5" s="1304"/>
      <c r="KRB5" s="1304"/>
      <c r="KRC5" s="1304"/>
      <c r="KRD5" s="1304"/>
      <c r="KRE5" s="1304"/>
      <c r="KRF5" s="1304"/>
      <c r="KRG5" s="1304"/>
      <c r="KRH5" s="1304"/>
      <c r="KRI5" s="1304"/>
      <c r="KRJ5" s="1304"/>
      <c r="KRK5" s="1304"/>
      <c r="KRL5" s="1304"/>
      <c r="KRM5" s="1304"/>
      <c r="KRN5" s="1304"/>
      <c r="KRO5" s="1304"/>
      <c r="KRP5" s="1304"/>
      <c r="KRQ5" s="1304"/>
      <c r="KRR5" s="1304"/>
      <c r="KRS5" s="1304"/>
      <c r="KRT5" s="1304"/>
      <c r="KRU5" s="1304"/>
      <c r="KRV5" s="1304"/>
      <c r="KRW5" s="1304"/>
      <c r="KRX5" s="1304"/>
      <c r="KRY5" s="1304"/>
      <c r="KRZ5" s="1304"/>
      <c r="KSA5" s="1304"/>
      <c r="KSB5" s="1304"/>
      <c r="KSC5" s="1304"/>
      <c r="KSD5" s="1304"/>
      <c r="KSE5" s="1304"/>
      <c r="KSF5" s="1304"/>
      <c r="KSG5" s="1304"/>
      <c r="KSH5" s="1304"/>
      <c r="KSI5" s="1304"/>
      <c r="KSJ5" s="1304"/>
      <c r="KSK5" s="1304"/>
      <c r="KSL5" s="1304"/>
      <c r="KSM5" s="1304"/>
      <c r="KSN5" s="1304"/>
      <c r="KSO5" s="1304"/>
      <c r="KSP5" s="1304"/>
      <c r="KSQ5" s="1304"/>
      <c r="KSR5" s="1304"/>
      <c r="KSS5" s="1304"/>
      <c r="KST5" s="1304"/>
      <c r="KSU5" s="1304"/>
      <c r="KSV5" s="1304"/>
      <c r="KSW5" s="1304"/>
      <c r="KSX5" s="1304"/>
      <c r="KSY5" s="1304"/>
      <c r="KSZ5" s="1304"/>
      <c r="KTA5" s="1304"/>
      <c r="KTB5" s="1304"/>
      <c r="KTC5" s="1304"/>
      <c r="KTD5" s="1304"/>
      <c r="KTE5" s="1304"/>
      <c r="KTF5" s="1304"/>
      <c r="KTG5" s="1304"/>
      <c r="KTH5" s="1304"/>
      <c r="KTI5" s="1304"/>
      <c r="KTJ5" s="1304"/>
      <c r="KTK5" s="1304"/>
      <c r="KTL5" s="1304"/>
      <c r="KTM5" s="1304"/>
      <c r="KTN5" s="1304"/>
      <c r="KTO5" s="1304"/>
      <c r="KTP5" s="1304"/>
      <c r="KTQ5" s="1304"/>
      <c r="KTR5" s="1304"/>
      <c r="KTS5" s="1304"/>
      <c r="KTT5" s="1304"/>
      <c r="KTU5" s="1304"/>
      <c r="KTV5" s="1304"/>
      <c r="KTW5" s="1304"/>
      <c r="KTX5" s="1304"/>
      <c r="KTY5" s="1304"/>
      <c r="KTZ5" s="1304"/>
      <c r="KUA5" s="1304"/>
      <c r="KUB5" s="1304"/>
      <c r="KUC5" s="1304"/>
      <c r="KUD5" s="1304"/>
      <c r="KUE5" s="1304"/>
      <c r="KUF5" s="1304"/>
      <c r="KUG5" s="1304"/>
      <c r="KUH5" s="1304"/>
      <c r="KUI5" s="1304"/>
      <c r="KUJ5" s="1304"/>
      <c r="KUK5" s="1304"/>
      <c r="KUL5" s="1304"/>
      <c r="KUM5" s="1304"/>
      <c r="KUN5" s="1304"/>
      <c r="KUO5" s="1304"/>
      <c r="KUP5" s="1304"/>
      <c r="KUQ5" s="1304"/>
      <c r="KUR5" s="1304"/>
      <c r="KUS5" s="1304"/>
      <c r="KUT5" s="1304"/>
      <c r="KUU5" s="1304"/>
      <c r="KUV5" s="1304"/>
      <c r="KUW5" s="1304"/>
      <c r="KUX5" s="1304"/>
      <c r="KUY5" s="1304"/>
      <c r="KUZ5" s="1304"/>
      <c r="KVA5" s="1304"/>
      <c r="KVB5" s="1304"/>
      <c r="KVC5" s="1304"/>
      <c r="KVD5" s="1304"/>
      <c r="KVE5" s="1304"/>
      <c r="KVF5" s="1304"/>
      <c r="KVG5" s="1304"/>
      <c r="KVH5" s="1304"/>
      <c r="KVI5" s="1304"/>
      <c r="KVJ5" s="1304"/>
      <c r="KVK5" s="1304"/>
      <c r="KVL5" s="1304"/>
      <c r="KVM5" s="1304"/>
      <c r="KVN5" s="1304"/>
      <c r="KVO5" s="1304"/>
      <c r="KVP5" s="1304"/>
      <c r="KVQ5" s="1304"/>
      <c r="KVR5" s="1304"/>
      <c r="KVS5" s="1304"/>
      <c r="KVT5" s="1304"/>
      <c r="KVU5" s="1304"/>
      <c r="KVV5" s="1304"/>
      <c r="KVW5" s="1304"/>
      <c r="KVX5" s="1304"/>
      <c r="KVY5" s="1304"/>
      <c r="KVZ5" s="1304"/>
      <c r="KWA5" s="1304"/>
      <c r="KWB5" s="1304"/>
      <c r="KWC5" s="1304"/>
      <c r="KWD5" s="1304"/>
      <c r="KWE5" s="1304"/>
      <c r="KWF5" s="1304"/>
      <c r="KWG5" s="1304"/>
      <c r="KWH5" s="1304"/>
      <c r="KWI5" s="1304"/>
      <c r="KWJ5" s="1304"/>
      <c r="KWK5" s="1304"/>
      <c r="KWL5" s="1304"/>
      <c r="KWM5" s="1304"/>
      <c r="KWN5" s="1304"/>
      <c r="KWO5" s="1304"/>
      <c r="KWP5" s="1304"/>
      <c r="KWQ5" s="1304"/>
      <c r="KWR5" s="1304"/>
      <c r="KWS5" s="1304"/>
      <c r="KWT5" s="1304"/>
      <c r="KWU5" s="1304"/>
      <c r="KWV5" s="1304"/>
      <c r="KWW5" s="1304"/>
      <c r="KWX5" s="1304"/>
      <c r="KWY5" s="1304"/>
      <c r="KWZ5" s="1304"/>
      <c r="KXA5" s="1304"/>
      <c r="KXB5" s="1304"/>
      <c r="KXC5" s="1304"/>
      <c r="KXD5" s="1304"/>
      <c r="KXE5" s="1304"/>
      <c r="KXF5" s="1304"/>
      <c r="KXG5" s="1304"/>
      <c r="KXH5" s="1304"/>
      <c r="KXI5" s="1304"/>
      <c r="KXJ5" s="1304"/>
      <c r="KXK5" s="1304"/>
      <c r="KXL5" s="1304"/>
      <c r="KXM5" s="1304"/>
      <c r="KXN5" s="1304"/>
      <c r="KXO5" s="1304"/>
      <c r="KXP5" s="1304"/>
      <c r="KXQ5" s="1304"/>
      <c r="KXR5" s="1304"/>
      <c r="KXS5" s="1304"/>
      <c r="KXT5" s="1304"/>
      <c r="KXU5" s="1304"/>
      <c r="KXV5" s="1304"/>
      <c r="KXW5" s="1304"/>
      <c r="KXX5" s="1304"/>
      <c r="KXY5" s="1304"/>
      <c r="KXZ5" s="1304"/>
      <c r="KYA5" s="1304"/>
      <c r="KYB5" s="1304"/>
      <c r="KYC5" s="1304"/>
      <c r="KYD5" s="1304"/>
      <c r="KYE5" s="1304"/>
      <c r="KYF5" s="1304"/>
      <c r="KYG5" s="1304"/>
      <c r="KYH5" s="1304"/>
      <c r="KYI5" s="1304"/>
      <c r="KYJ5" s="1304"/>
      <c r="KYK5" s="1304"/>
      <c r="KYL5" s="1304"/>
      <c r="KYM5" s="1304"/>
      <c r="KYN5" s="1304"/>
      <c r="KYO5" s="1304"/>
      <c r="KYP5" s="1304"/>
      <c r="KYQ5" s="1304"/>
      <c r="KYR5" s="1304"/>
      <c r="KYS5" s="1304"/>
      <c r="KYT5" s="1304"/>
      <c r="KYU5" s="1304"/>
      <c r="KYV5" s="1304"/>
      <c r="KYW5" s="1304"/>
      <c r="KYX5" s="1304"/>
      <c r="KYY5" s="1304"/>
      <c r="KYZ5" s="1304"/>
      <c r="KZA5" s="1304"/>
      <c r="KZB5" s="1304"/>
      <c r="KZC5" s="1304"/>
      <c r="KZD5" s="1304"/>
      <c r="KZE5" s="1304"/>
      <c r="KZF5" s="1304"/>
      <c r="KZG5" s="1304"/>
      <c r="KZH5" s="1304"/>
      <c r="KZI5" s="1304"/>
      <c r="KZJ5" s="1304"/>
      <c r="KZK5" s="1304"/>
      <c r="KZL5" s="1304"/>
      <c r="KZM5" s="1304"/>
      <c r="KZN5" s="1304"/>
      <c r="KZO5" s="1304"/>
      <c r="KZP5" s="1304"/>
      <c r="KZQ5" s="1304"/>
      <c r="KZR5" s="1304"/>
      <c r="KZS5" s="1304"/>
      <c r="KZT5" s="1304"/>
      <c r="KZU5" s="1304"/>
      <c r="KZV5" s="1304"/>
      <c r="KZW5" s="1304"/>
      <c r="KZX5" s="1304"/>
      <c r="KZY5" s="1304"/>
      <c r="KZZ5" s="1304"/>
      <c r="LAA5" s="1304"/>
      <c r="LAB5" s="1304"/>
      <c r="LAC5" s="1304"/>
      <c r="LAD5" s="1304"/>
      <c r="LAE5" s="1304"/>
      <c r="LAF5" s="1304"/>
      <c r="LAG5" s="1304"/>
      <c r="LAH5" s="1304"/>
      <c r="LAI5" s="1304"/>
      <c r="LAJ5" s="1304"/>
      <c r="LAK5" s="1304"/>
      <c r="LAL5" s="1304"/>
      <c r="LAM5" s="1304"/>
      <c r="LAN5" s="1304"/>
      <c r="LAO5" s="1304"/>
      <c r="LAP5" s="1304"/>
      <c r="LAQ5" s="1304"/>
      <c r="LAR5" s="1304"/>
      <c r="LAS5" s="1304"/>
      <c r="LAT5" s="1304"/>
      <c r="LAU5" s="1304"/>
      <c r="LAV5" s="1304"/>
      <c r="LAW5" s="1304"/>
      <c r="LAX5" s="1304"/>
      <c r="LAY5" s="1304"/>
      <c r="LAZ5" s="1304"/>
      <c r="LBA5" s="1304"/>
      <c r="LBB5" s="1304"/>
      <c r="LBC5" s="1304"/>
      <c r="LBD5" s="1304"/>
      <c r="LBE5" s="1304"/>
      <c r="LBF5" s="1304"/>
      <c r="LBG5" s="1304"/>
      <c r="LBH5" s="1304"/>
      <c r="LBI5" s="1304"/>
      <c r="LBJ5" s="1304"/>
      <c r="LBK5" s="1304"/>
      <c r="LBL5" s="1304"/>
      <c r="LBM5" s="1304"/>
      <c r="LBN5" s="1304"/>
      <c r="LBO5" s="1304"/>
      <c r="LBP5" s="1304"/>
      <c r="LBQ5" s="1304"/>
      <c r="LBR5" s="1304"/>
      <c r="LBS5" s="1304"/>
      <c r="LBT5" s="1304"/>
      <c r="LBU5" s="1304"/>
      <c r="LBV5" s="1304"/>
      <c r="LBW5" s="1304"/>
      <c r="LBX5" s="1304"/>
      <c r="LBY5" s="1304"/>
      <c r="LBZ5" s="1304"/>
      <c r="LCA5" s="1304"/>
      <c r="LCB5" s="1304"/>
      <c r="LCC5" s="1304"/>
      <c r="LCD5" s="1304"/>
      <c r="LCE5" s="1304"/>
      <c r="LCF5" s="1304"/>
      <c r="LCG5" s="1304"/>
      <c r="LCH5" s="1304"/>
      <c r="LCI5" s="1304"/>
      <c r="LCJ5" s="1304"/>
      <c r="LCK5" s="1304"/>
      <c r="LCL5" s="1304"/>
      <c r="LCM5" s="1304"/>
      <c r="LCN5" s="1304"/>
      <c r="LCO5" s="1304"/>
      <c r="LCP5" s="1304"/>
      <c r="LCQ5" s="1304"/>
      <c r="LCR5" s="1304"/>
      <c r="LCS5" s="1304"/>
      <c r="LCT5" s="1304"/>
      <c r="LCU5" s="1304"/>
      <c r="LCV5" s="1304"/>
      <c r="LCW5" s="1304"/>
      <c r="LCX5" s="1304"/>
      <c r="LCY5" s="1304"/>
      <c r="LCZ5" s="1304"/>
      <c r="LDA5" s="1304"/>
      <c r="LDB5" s="1304"/>
      <c r="LDC5" s="1304"/>
      <c r="LDD5" s="1304"/>
      <c r="LDE5" s="1304"/>
      <c r="LDF5" s="1304"/>
      <c r="LDG5" s="1304"/>
      <c r="LDH5" s="1304"/>
      <c r="LDI5" s="1304"/>
      <c r="LDJ5" s="1304"/>
      <c r="LDK5" s="1304"/>
      <c r="LDL5" s="1304"/>
      <c r="LDM5" s="1304"/>
      <c r="LDN5" s="1304"/>
      <c r="LDO5" s="1304"/>
      <c r="LDP5" s="1304"/>
      <c r="LDQ5" s="1304"/>
      <c r="LDR5" s="1304"/>
      <c r="LDS5" s="1304"/>
      <c r="LDT5" s="1304"/>
      <c r="LDU5" s="1304"/>
      <c r="LDV5" s="1304"/>
      <c r="LDW5" s="1304"/>
      <c r="LDX5" s="1304"/>
      <c r="LDY5" s="1304"/>
      <c r="LDZ5" s="1304"/>
      <c r="LEA5" s="1304"/>
      <c r="LEB5" s="1304"/>
      <c r="LEC5" s="1304"/>
      <c r="LED5" s="1304"/>
      <c r="LEE5" s="1304"/>
      <c r="LEF5" s="1304"/>
      <c r="LEG5" s="1304"/>
      <c r="LEH5" s="1304"/>
      <c r="LEI5" s="1304"/>
      <c r="LEJ5" s="1304"/>
      <c r="LEK5" s="1304"/>
      <c r="LEL5" s="1304"/>
      <c r="LEM5" s="1304"/>
      <c r="LEN5" s="1304"/>
      <c r="LEO5" s="1304"/>
      <c r="LEP5" s="1304"/>
      <c r="LEQ5" s="1304"/>
      <c r="LER5" s="1304"/>
      <c r="LES5" s="1304"/>
      <c r="LET5" s="1304"/>
      <c r="LEU5" s="1304"/>
      <c r="LEV5" s="1304"/>
      <c r="LEW5" s="1304"/>
      <c r="LEX5" s="1304"/>
      <c r="LEY5" s="1304"/>
      <c r="LEZ5" s="1304"/>
      <c r="LFA5" s="1304"/>
      <c r="LFB5" s="1304"/>
      <c r="LFC5" s="1304"/>
      <c r="LFD5" s="1304"/>
      <c r="LFE5" s="1304"/>
      <c r="LFF5" s="1304"/>
      <c r="LFG5" s="1304"/>
      <c r="LFH5" s="1304"/>
      <c r="LFI5" s="1304"/>
      <c r="LFJ5" s="1304"/>
      <c r="LFK5" s="1304"/>
      <c r="LFL5" s="1304"/>
      <c r="LFM5" s="1304"/>
      <c r="LFN5" s="1304"/>
      <c r="LFO5" s="1304"/>
      <c r="LFP5" s="1304"/>
      <c r="LFQ5" s="1304"/>
      <c r="LFR5" s="1304"/>
      <c r="LFS5" s="1304"/>
      <c r="LFT5" s="1304"/>
      <c r="LFU5" s="1304"/>
      <c r="LFV5" s="1304"/>
      <c r="LFW5" s="1304"/>
      <c r="LFX5" s="1304"/>
      <c r="LFY5" s="1304"/>
      <c r="LFZ5" s="1304"/>
      <c r="LGA5" s="1304"/>
      <c r="LGB5" s="1304"/>
      <c r="LGC5" s="1304"/>
      <c r="LGD5" s="1304"/>
      <c r="LGE5" s="1304"/>
      <c r="LGF5" s="1304"/>
      <c r="LGG5" s="1304"/>
      <c r="LGH5" s="1304"/>
      <c r="LGI5" s="1304"/>
      <c r="LGJ5" s="1304"/>
      <c r="LGK5" s="1304"/>
      <c r="LGL5" s="1304"/>
      <c r="LGM5" s="1304"/>
      <c r="LGN5" s="1304"/>
      <c r="LGO5" s="1304"/>
      <c r="LGP5" s="1304"/>
      <c r="LGQ5" s="1304"/>
      <c r="LGR5" s="1304"/>
      <c r="LGS5" s="1304"/>
      <c r="LGT5" s="1304"/>
      <c r="LGU5" s="1304"/>
      <c r="LGV5" s="1304"/>
      <c r="LGW5" s="1304"/>
      <c r="LGX5" s="1304"/>
      <c r="LGY5" s="1304"/>
      <c r="LGZ5" s="1304"/>
      <c r="LHA5" s="1304"/>
      <c r="LHB5" s="1304"/>
      <c r="LHC5" s="1304"/>
      <c r="LHD5" s="1304"/>
      <c r="LHE5" s="1304"/>
      <c r="LHF5" s="1304"/>
      <c r="LHG5" s="1304"/>
      <c r="LHH5" s="1304"/>
      <c r="LHI5" s="1304"/>
      <c r="LHJ5" s="1304"/>
      <c r="LHK5" s="1304"/>
      <c r="LHL5" s="1304"/>
      <c r="LHM5" s="1304"/>
      <c r="LHN5" s="1304"/>
      <c r="LHO5" s="1304"/>
      <c r="LHP5" s="1304"/>
      <c r="LHQ5" s="1304"/>
      <c r="LHR5" s="1304"/>
      <c r="LHS5" s="1304"/>
      <c r="LHT5" s="1304"/>
      <c r="LHU5" s="1304"/>
      <c r="LHV5" s="1304"/>
      <c r="LHW5" s="1304"/>
      <c r="LHX5" s="1304"/>
      <c r="LHY5" s="1304"/>
      <c r="LHZ5" s="1304"/>
      <c r="LIA5" s="1304"/>
      <c r="LIB5" s="1304"/>
      <c r="LIC5" s="1304"/>
      <c r="LID5" s="1304"/>
      <c r="LIE5" s="1304"/>
      <c r="LIF5" s="1304"/>
      <c r="LIG5" s="1304"/>
      <c r="LIH5" s="1304"/>
      <c r="LII5" s="1304"/>
      <c r="LIJ5" s="1304"/>
      <c r="LIK5" s="1304"/>
      <c r="LIL5" s="1304"/>
      <c r="LIM5" s="1304"/>
      <c r="LIN5" s="1304"/>
      <c r="LIO5" s="1304"/>
      <c r="LIP5" s="1304"/>
      <c r="LIQ5" s="1304"/>
      <c r="LIR5" s="1304"/>
      <c r="LIS5" s="1304"/>
      <c r="LIT5" s="1304"/>
      <c r="LIU5" s="1304"/>
      <c r="LIV5" s="1304"/>
      <c r="LIW5" s="1304"/>
      <c r="LIX5" s="1304"/>
      <c r="LIY5" s="1304"/>
      <c r="LIZ5" s="1304"/>
      <c r="LJA5" s="1304"/>
      <c r="LJB5" s="1304"/>
      <c r="LJC5" s="1304"/>
      <c r="LJD5" s="1304"/>
      <c r="LJE5" s="1304"/>
      <c r="LJF5" s="1304"/>
      <c r="LJG5" s="1304"/>
      <c r="LJH5" s="1304"/>
      <c r="LJI5" s="1304"/>
      <c r="LJJ5" s="1304"/>
      <c r="LJK5" s="1304"/>
      <c r="LJL5" s="1304"/>
      <c r="LJM5" s="1304"/>
      <c r="LJN5" s="1304"/>
      <c r="LJO5" s="1304"/>
      <c r="LJP5" s="1304"/>
      <c r="LJQ5" s="1304"/>
      <c r="LJR5" s="1304"/>
      <c r="LJS5" s="1304"/>
      <c r="LJT5" s="1304"/>
      <c r="LJU5" s="1304"/>
      <c r="LJV5" s="1304"/>
      <c r="LJW5" s="1304"/>
      <c r="LJX5" s="1304"/>
      <c r="LJY5" s="1304"/>
      <c r="LJZ5" s="1304"/>
      <c r="LKA5" s="1304"/>
      <c r="LKB5" s="1304"/>
      <c r="LKC5" s="1304"/>
      <c r="LKD5" s="1304"/>
      <c r="LKE5" s="1304"/>
      <c r="LKF5" s="1304"/>
      <c r="LKG5" s="1304"/>
      <c r="LKH5" s="1304"/>
      <c r="LKI5" s="1304"/>
      <c r="LKJ5" s="1304"/>
      <c r="LKK5" s="1304"/>
      <c r="LKL5" s="1304"/>
      <c r="LKM5" s="1304"/>
      <c r="LKN5" s="1304"/>
      <c r="LKO5" s="1304"/>
      <c r="LKP5" s="1304"/>
      <c r="LKQ5" s="1304"/>
      <c r="LKR5" s="1304"/>
      <c r="LKS5" s="1304"/>
      <c r="LKT5" s="1304"/>
      <c r="LKU5" s="1304"/>
      <c r="LKV5" s="1304"/>
      <c r="LKW5" s="1304"/>
      <c r="LKX5" s="1304"/>
      <c r="LKY5" s="1304"/>
      <c r="LKZ5" s="1304"/>
      <c r="LLA5" s="1304"/>
      <c r="LLB5" s="1304"/>
      <c r="LLC5" s="1304"/>
      <c r="LLD5" s="1304"/>
      <c r="LLE5" s="1304"/>
      <c r="LLF5" s="1304"/>
      <c r="LLG5" s="1304"/>
      <c r="LLH5" s="1304"/>
      <c r="LLI5" s="1304"/>
      <c r="LLJ5" s="1304"/>
      <c r="LLK5" s="1304"/>
      <c r="LLL5" s="1304"/>
      <c r="LLM5" s="1304"/>
      <c r="LLN5" s="1304"/>
      <c r="LLO5" s="1304"/>
      <c r="LLP5" s="1304"/>
      <c r="LLQ5" s="1304"/>
      <c r="LLR5" s="1304"/>
      <c r="LLS5" s="1304"/>
      <c r="LLT5" s="1304"/>
      <c r="LLU5" s="1304"/>
      <c r="LLV5" s="1304"/>
      <c r="LLW5" s="1304"/>
      <c r="LLX5" s="1304"/>
      <c r="LLY5" s="1304"/>
      <c r="LLZ5" s="1304"/>
      <c r="LMA5" s="1304"/>
      <c r="LMB5" s="1304"/>
      <c r="LMC5" s="1304"/>
      <c r="LMD5" s="1304"/>
      <c r="LME5" s="1304"/>
      <c r="LMF5" s="1304"/>
      <c r="LMG5" s="1304"/>
      <c r="LMH5" s="1304"/>
      <c r="LMI5" s="1304"/>
      <c r="LMJ5" s="1304"/>
      <c r="LMK5" s="1304"/>
      <c r="LML5" s="1304"/>
      <c r="LMM5" s="1304"/>
      <c r="LMN5" s="1304"/>
      <c r="LMO5" s="1304"/>
      <c r="LMP5" s="1304"/>
      <c r="LMQ5" s="1304"/>
      <c r="LMR5" s="1304"/>
      <c r="LMS5" s="1304"/>
      <c r="LMT5" s="1304"/>
      <c r="LMU5" s="1304"/>
      <c r="LMV5" s="1304"/>
      <c r="LMW5" s="1304"/>
      <c r="LMX5" s="1304"/>
      <c r="LMY5" s="1304"/>
      <c r="LMZ5" s="1304"/>
      <c r="LNA5" s="1304"/>
      <c r="LNB5" s="1304"/>
      <c r="LNC5" s="1304"/>
      <c r="LND5" s="1304"/>
      <c r="LNE5" s="1304"/>
      <c r="LNF5" s="1304"/>
      <c r="LNG5" s="1304"/>
      <c r="LNH5" s="1304"/>
      <c r="LNI5" s="1304"/>
      <c r="LNJ5" s="1304"/>
      <c r="LNK5" s="1304"/>
      <c r="LNL5" s="1304"/>
      <c r="LNM5" s="1304"/>
      <c r="LNN5" s="1304"/>
      <c r="LNO5" s="1304"/>
      <c r="LNP5" s="1304"/>
      <c r="LNQ5" s="1304"/>
      <c r="LNR5" s="1304"/>
      <c r="LNS5" s="1304"/>
      <c r="LNT5" s="1304"/>
      <c r="LNU5" s="1304"/>
      <c r="LNV5" s="1304"/>
      <c r="LNW5" s="1304"/>
      <c r="LNX5" s="1304"/>
      <c r="LNY5" s="1304"/>
      <c r="LNZ5" s="1304"/>
      <c r="LOA5" s="1304"/>
      <c r="LOB5" s="1304"/>
      <c r="LOC5" s="1304"/>
      <c r="LOD5" s="1304"/>
      <c r="LOE5" s="1304"/>
      <c r="LOF5" s="1304"/>
      <c r="LOG5" s="1304"/>
      <c r="LOH5" s="1304"/>
      <c r="LOI5" s="1304"/>
      <c r="LOJ5" s="1304"/>
      <c r="LOK5" s="1304"/>
      <c r="LOL5" s="1304"/>
      <c r="LOM5" s="1304"/>
      <c r="LON5" s="1304"/>
      <c r="LOO5" s="1304"/>
      <c r="LOP5" s="1304"/>
      <c r="LOQ5" s="1304"/>
      <c r="LOR5" s="1304"/>
      <c r="LOS5" s="1304"/>
      <c r="LOT5" s="1304"/>
      <c r="LOU5" s="1304"/>
      <c r="LOV5" s="1304"/>
      <c r="LOW5" s="1304"/>
      <c r="LOX5" s="1304"/>
      <c r="LOY5" s="1304"/>
      <c r="LOZ5" s="1304"/>
      <c r="LPA5" s="1304"/>
      <c r="LPB5" s="1304"/>
      <c r="LPC5" s="1304"/>
      <c r="LPD5" s="1304"/>
      <c r="LPE5" s="1304"/>
      <c r="LPF5" s="1304"/>
      <c r="LPG5" s="1304"/>
      <c r="LPH5" s="1304"/>
      <c r="LPI5" s="1304"/>
      <c r="LPJ5" s="1304"/>
      <c r="LPK5" s="1304"/>
      <c r="LPL5" s="1304"/>
      <c r="LPM5" s="1304"/>
      <c r="LPN5" s="1304"/>
      <c r="LPO5" s="1304"/>
      <c r="LPP5" s="1304"/>
      <c r="LPQ5" s="1304"/>
      <c r="LPR5" s="1304"/>
      <c r="LPS5" s="1304"/>
      <c r="LPT5" s="1304"/>
      <c r="LPU5" s="1304"/>
      <c r="LPV5" s="1304"/>
      <c r="LPW5" s="1304"/>
      <c r="LPX5" s="1304"/>
      <c r="LPY5" s="1304"/>
      <c r="LPZ5" s="1304"/>
      <c r="LQA5" s="1304"/>
      <c r="LQB5" s="1304"/>
      <c r="LQC5" s="1304"/>
      <c r="LQD5" s="1304"/>
      <c r="LQE5" s="1304"/>
      <c r="LQF5" s="1304"/>
      <c r="LQG5" s="1304"/>
      <c r="LQH5" s="1304"/>
      <c r="LQI5" s="1304"/>
      <c r="LQJ5" s="1304"/>
      <c r="LQK5" s="1304"/>
      <c r="LQL5" s="1304"/>
      <c r="LQM5" s="1304"/>
      <c r="LQN5" s="1304"/>
      <c r="LQO5" s="1304"/>
      <c r="LQP5" s="1304"/>
      <c r="LQQ5" s="1304"/>
      <c r="LQR5" s="1304"/>
      <c r="LQS5" s="1304"/>
      <c r="LQT5" s="1304"/>
      <c r="LQU5" s="1304"/>
      <c r="LQV5" s="1304"/>
      <c r="LQW5" s="1304"/>
      <c r="LQX5" s="1304"/>
      <c r="LQY5" s="1304"/>
      <c r="LQZ5" s="1304"/>
      <c r="LRA5" s="1304"/>
      <c r="LRB5" s="1304"/>
      <c r="LRC5" s="1304"/>
      <c r="LRD5" s="1304"/>
      <c r="LRE5" s="1304"/>
      <c r="LRF5" s="1304"/>
      <c r="LRG5" s="1304"/>
      <c r="LRH5" s="1304"/>
      <c r="LRI5" s="1304"/>
      <c r="LRJ5" s="1304"/>
      <c r="LRK5" s="1304"/>
      <c r="LRL5" s="1304"/>
      <c r="LRM5" s="1304"/>
      <c r="LRN5" s="1304"/>
      <c r="LRO5" s="1304"/>
      <c r="LRP5" s="1304"/>
      <c r="LRQ5" s="1304"/>
      <c r="LRR5" s="1304"/>
      <c r="LRS5" s="1304"/>
      <c r="LRT5" s="1304"/>
      <c r="LRU5" s="1304"/>
      <c r="LRV5" s="1304"/>
      <c r="LRW5" s="1304"/>
      <c r="LRX5" s="1304"/>
      <c r="LRY5" s="1304"/>
      <c r="LRZ5" s="1304"/>
      <c r="LSA5" s="1304"/>
      <c r="LSB5" s="1304"/>
      <c r="LSC5" s="1304"/>
      <c r="LSD5" s="1304"/>
      <c r="LSE5" s="1304"/>
      <c r="LSF5" s="1304"/>
      <c r="LSG5" s="1304"/>
      <c r="LSH5" s="1304"/>
      <c r="LSI5" s="1304"/>
      <c r="LSJ5" s="1304"/>
      <c r="LSK5" s="1304"/>
      <c r="LSL5" s="1304"/>
      <c r="LSM5" s="1304"/>
      <c r="LSN5" s="1304"/>
      <c r="LSO5" s="1304"/>
      <c r="LSP5" s="1304"/>
      <c r="LSQ5" s="1304"/>
      <c r="LSR5" s="1304"/>
      <c r="LSS5" s="1304"/>
      <c r="LST5" s="1304"/>
      <c r="LSU5" s="1304"/>
      <c r="LSV5" s="1304"/>
      <c r="LSW5" s="1304"/>
      <c r="LSX5" s="1304"/>
      <c r="LSY5" s="1304"/>
      <c r="LSZ5" s="1304"/>
      <c r="LTA5" s="1304"/>
      <c r="LTB5" s="1304"/>
      <c r="LTC5" s="1304"/>
      <c r="LTD5" s="1304"/>
      <c r="LTE5" s="1304"/>
      <c r="LTF5" s="1304"/>
      <c r="LTG5" s="1304"/>
      <c r="LTH5" s="1304"/>
      <c r="LTI5" s="1304"/>
      <c r="LTJ5" s="1304"/>
      <c r="LTK5" s="1304"/>
      <c r="LTL5" s="1304"/>
      <c r="LTM5" s="1304"/>
      <c r="LTN5" s="1304"/>
      <c r="LTO5" s="1304"/>
      <c r="LTP5" s="1304"/>
      <c r="LTQ5" s="1304"/>
      <c r="LTR5" s="1304"/>
      <c r="LTS5" s="1304"/>
      <c r="LTT5" s="1304"/>
      <c r="LTU5" s="1304"/>
      <c r="LTV5" s="1304"/>
      <c r="LTW5" s="1304"/>
      <c r="LTX5" s="1304"/>
      <c r="LTY5" s="1304"/>
      <c r="LTZ5" s="1304"/>
      <c r="LUA5" s="1304"/>
      <c r="LUB5" s="1304"/>
      <c r="LUC5" s="1304"/>
      <c r="LUD5" s="1304"/>
      <c r="LUE5" s="1304"/>
      <c r="LUF5" s="1304"/>
      <c r="LUG5" s="1304"/>
      <c r="LUH5" s="1304"/>
      <c r="LUI5" s="1304"/>
      <c r="LUJ5" s="1304"/>
      <c r="LUK5" s="1304"/>
      <c r="LUL5" s="1304"/>
      <c r="LUM5" s="1304"/>
      <c r="LUN5" s="1304"/>
      <c r="LUO5" s="1304"/>
      <c r="LUP5" s="1304"/>
      <c r="LUQ5" s="1304"/>
      <c r="LUR5" s="1304"/>
      <c r="LUS5" s="1304"/>
      <c r="LUT5" s="1304"/>
      <c r="LUU5" s="1304"/>
      <c r="LUV5" s="1304"/>
      <c r="LUW5" s="1304"/>
      <c r="LUX5" s="1304"/>
      <c r="LUY5" s="1304"/>
      <c r="LUZ5" s="1304"/>
      <c r="LVA5" s="1304"/>
      <c r="LVB5" s="1304"/>
      <c r="LVC5" s="1304"/>
      <c r="LVD5" s="1304"/>
      <c r="LVE5" s="1304"/>
      <c r="LVF5" s="1304"/>
      <c r="LVG5" s="1304"/>
      <c r="LVH5" s="1304"/>
      <c r="LVI5" s="1304"/>
      <c r="LVJ5" s="1304"/>
      <c r="LVK5" s="1304"/>
      <c r="LVL5" s="1304"/>
      <c r="LVM5" s="1304"/>
      <c r="LVN5" s="1304"/>
      <c r="LVO5" s="1304"/>
      <c r="LVP5" s="1304"/>
      <c r="LVQ5" s="1304"/>
      <c r="LVR5" s="1304"/>
      <c r="LVS5" s="1304"/>
      <c r="LVT5" s="1304"/>
      <c r="LVU5" s="1304"/>
      <c r="LVV5" s="1304"/>
      <c r="LVW5" s="1304"/>
      <c r="LVX5" s="1304"/>
      <c r="LVY5" s="1304"/>
      <c r="LVZ5" s="1304"/>
      <c r="LWA5" s="1304"/>
      <c r="LWB5" s="1304"/>
      <c r="LWC5" s="1304"/>
      <c r="LWD5" s="1304"/>
      <c r="LWE5" s="1304"/>
      <c r="LWF5" s="1304"/>
      <c r="LWG5" s="1304"/>
      <c r="LWH5" s="1304"/>
      <c r="LWI5" s="1304"/>
      <c r="LWJ5" s="1304"/>
      <c r="LWK5" s="1304"/>
      <c r="LWL5" s="1304"/>
      <c r="LWM5" s="1304"/>
      <c r="LWN5" s="1304"/>
      <c r="LWO5" s="1304"/>
      <c r="LWP5" s="1304"/>
      <c r="LWQ5" s="1304"/>
      <c r="LWR5" s="1304"/>
      <c r="LWS5" s="1304"/>
      <c r="LWT5" s="1304"/>
      <c r="LWU5" s="1304"/>
      <c r="LWV5" s="1304"/>
      <c r="LWW5" s="1304"/>
      <c r="LWX5" s="1304"/>
      <c r="LWY5" s="1304"/>
      <c r="LWZ5" s="1304"/>
      <c r="LXA5" s="1304"/>
      <c r="LXB5" s="1304"/>
      <c r="LXC5" s="1304"/>
      <c r="LXD5" s="1304"/>
      <c r="LXE5" s="1304"/>
      <c r="LXF5" s="1304"/>
      <c r="LXG5" s="1304"/>
      <c r="LXH5" s="1304"/>
      <c r="LXI5" s="1304"/>
      <c r="LXJ5" s="1304"/>
      <c r="LXK5" s="1304"/>
      <c r="LXL5" s="1304"/>
      <c r="LXM5" s="1304"/>
      <c r="LXN5" s="1304"/>
      <c r="LXO5" s="1304"/>
      <c r="LXP5" s="1304"/>
      <c r="LXQ5" s="1304"/>
      <c r="LXR5" s="1304"/>
      <c r="LXS5" s="1304"/>
      <c r="LXT5" s="1304"/>
      <c r="LXU5" s="1304"/>
      <c r="LXV5" s="1304"/>
      <c r="LXW5" s="1304"/>
      <c r="LXX5" s="1304"/>
      <c r="LXY5" s="1304"/>
      <c r="LXZ5" s="1304"/>
      <c r="LYA5" s="1304"/>
      <c r="LYB5" s="1304"/>
      <c r="LYC5" s="1304"/>
      <c r="LYD5" s="1304"/>
      <c r="LYE5" s="1304"/>
      <c r="LYF5" s="1304"/>
      <c r="LYG5" s="1304"/>
      <c r="LYH5" s="1304"/>
      <c r="LYI5" s="1304"/>
      <c r="LYJ5" s="1304"/>
      <c r="LYK5" s="1304"/>
      <c r="LYL5" s="1304"/>
      <c r="LYM5" s="1304"/>
      <c r="LYN5" s="1304"/>
      <c r="LYO5" s="1304"/>
      <c r="LYP5" s="1304"/>
      <c r="LYQ5" s="1304"/>
      <c r="LYR5" s="1304"/>
      <c r="LYS5" s="1304"/>
      <c r="LYT5" s="1304"/>
      <c r="LYU5" s="1304"/>
      <c r="LYV5" s="1304"/>
      <c r="LYW5" s="1304"/>
      <c r="LYX5" s="1304"/>
      <c r="LYY5" s="1304"/>
      <c r="LYZ5" s="1304"/>
      <c r="LZA5" s="1304"/>
      <c r="LZB5" s="1304"/>
      <c r="LZC5" s="1304"/>
      <c r="LZD5" s="1304"/>
      <c r="LZE5" s="1304"/>
      <c r="LZF5" s="1304"/>
      <c r="LZG5" s="1304"/>
      <c r="LZH5" s="1304"/>
      <c r="LZI5" s="1304"/>
      <c r="LZJ5" s="1304"/>
      <c r="LZK5" s="1304"/>
      <c r="LZL5" s="1304"/>
      <c r="LZM5" s="1304"/>
      <c r="LZN5" s="1304"/>
      <c r="LZO5" s="1304"/>
      <c r="LZP5" s="1304"/>
      <c r="LZQ5" s="1304"/>
      <c r="LZR5" s="1304"/>
      <c r="LZS5" s="1304"/>
      <c r="LZT5" s="1304"/>
      <c r="LZU5" s="1304"/>
      <c r="LZV5" s="1304"/>
      <c r="LZW5" s="1304"/>
      <c r="LZX5" s="1304"/>
      <c r="LZY5" s="1304"/>
      <c r="LZZ5" s="1304"/>
      <c r="MAA5" s="1304"/>
      <c r="MAB5" s="1304"/>
      <c r="MAC5" s="1304"/>
      <c r="MAD5" s="1304"/>
      <c r="MAE5" s="1304"/>
      <c r="MAF5" s="1304"/>
      <c r="MAG5" s="1304"/>
      <c r="MAH5" s="1304"/>
      <c r="MAI5" s="1304"/>
      <c r="MAJ5" s="1304"/>
      <c r="MAK5" s="1304"/>
      <c r="MAL5" s="1304"/>
      <c r="MAM5" s="1304"/>
      <c r="MAN5" s="1304"/>
      <c r="MAO5" s="1304"/>
      <c r="MAP5" s="1304"/>
      <c r="MAQ5" s="1304"/>
      <c r="MAR5" s="1304"/>
      <c r="MAS5" s="1304"/>
      <c r="MAT5" s="1304"/>
      <c r="MAU5" s="1304"/>
      <c r="MAV5" s="1304"/>
      <c r="MAW5" s="1304"/>
      <c r="MAX5" s="1304"/>
      <c r="MAY5" s="1304"/>
      <c r="MAZ5" s="1304"/>
      <c r="MBA5" s="1304"/>
      <c r="MBB5" s="1304"/>
      <c r="MBC5" s="1304"/>
      <c r="MBD5" s="1304"/>
      <c r="MBE5" s="1304"/>
      <c r="MBF5" s="1304"/>
      <c r="MBG5" s="1304"/>
      <c r="MBH5" s="1304"/>
      <c r="MBI5" s="1304"/>
      <c r="MBJ5" s="1304"/>
      <c r="MBK5" s="1304"/>
      <c r="MBL5" s="1304"/>
      <c r="MBM5" s="1304"/>
      <c r="MBN5" s="1304"/>
      <c r="MBO5" s="1304"/>
      <c r="MBP5" s="1304"/>
      <c r="MBQ5" s="1304"/>
      <c r="MBR5" s="1304"/>
      <c r="MBS5" s="1304"/>
      <c r="MBT5" s="1304"/>
      <c r="MBU5" s="1304"/>
      <c r="MBV5" s="1304"/>
      <c r="MBW5" s="1304"/>
      <c r="MBX5" s="1304"/>
      <c r="MBY5" s="1304"/>
      <c r="MBZ5" s="1304"/>
      <c r="MCA5" s="1304"/>
      <c r="MCB5" s="1304"/>
      <c r="MCC5" s="1304"/>
      <c r="MCD5" s="1304"/>
      <c r="MCE5" s="1304"/>
      <c r="MCF5" s="1304"/>
      <c r="MCG5" s="1304"/>
      <c r="MCH5" s="1304"/>
      <c r="MCI5" s="1304"/>
      <c r="MCJ5" s="1304"/>
      <c r="MCK5" s="1304"/>
      <c r="MCL5" s="1304"/>
      <c r="MCM5" s="1304"/>
      <c r="MCN5" s="1304"/>
      <c r="MCO5" s="1304"/>
      <c r="MCP5" s="1304"/>
      <c r="MCQ5" s="1304"/>
      <c r="MCR5" s="1304"/>
      <c r="MCS5" s="1304"/>
      <c r="MCT5" s="1304"/>
      <c r="MCU5" s="1304"/>
      <c r="MCV5" s="1304"/>
      <c r="MCW5" s="1304"/>
      <c r="MCX5" s="1304"/>
      <c r="MCY5" s="1304"/>
      <c r="MCZ5" s="1304"/>
      <c r="MDA5" s="1304"/>
      <c r="MDB5" s="1304"/>
      <c r="MDC5" s="1304"/>
      <c r="MDD5" s="1304"/>
      <c r="MDE5" s="1304"/>
      <c r="MDF5" s="1304"/>
      <c r="MDG5" s="1304"/>
      <c r="MDH5" s="1304"/>
      <c r="MDI5" s="1304"/>
      <c r="MDJ5" s="1304"/>
      <c r="MDK5" s="1304"/>
      <c r="MDL5" s="1304"/>
      <c r="MDM5" s="1304"/>
      <c r="MDN5" s="1304"/>
      <c r="MDO5" s="1304"/>
      <c r="MDP5" s="1304"/>
      <c r="MDQ5" s="1304"/>
      <c r="MDR5" s="1304"/>
      <c r="MDS5" s="1304"/>
      <c r="MDT5" s="1304"/>
      <c r="MDU5" s="1304"/>
      <c r="MDV5" s="1304"/>
      <c r="MDW5" s="1304"/>
      <c r="MDX5" s="1304"/>
      <c r="MDY5" s="1304"/>
      <c r="MDZ5" s="1304"/>
      <c r="MEA5" s="1304"/>
      <c r="MEB5" s="1304"/>
      <c r="MEC5" s="1304"/>
      <c r="MED5" s="1304"/>
      <c r="MEE5" s="1304"/>
      <c r="MEF5" s="1304"/>
      <c r="MEG5" s="1304"/>
      <c r="MEH5" s="1304"/>
      <c r="MEI5" s="1304"/>
      <c r="MEJ5" s="1304"/>
      <c r="MEK5" s="1304"/>
      <c r="MEL5" s="1304"/>
      <c r="MEM5" s="1304"/>
      <c r="MEN5" s="1304"/>
      <c r="MEO5" s="1304"/>
      <c r="MEP5" s="1304"/>
      <c r="MEQ5" s="1304"/>
      <c r="MER5" s="1304"/>
      <c r="MES5" s="1304"/>
      <c r="MET5" s="1304"/>
      <c r="MEU5" s="1304"/>
      <c r="MEV5" s="1304"/>
      <c r="MEW5" s="1304"/>
      <c r="MEX5" s="1304"/>
      <c r="MEY5" s="1304"/>
      <c r="MEZ5" s="1304"/>
      <c r="MFA5" s="1304"/>
      <c r="MFB5" s="1304"/>
      <c r="MFC5" s="1304"/>
      <c r="MFD5" s="1304"/>
      <c r="MFE5" s="1304"/>
      <c r="MFF5" s="1304"/>
      <c r="MFG5" s="1304"/>
      <c r="MFH5" s="1304"/>
      <c r="MFI5" s="1304"/>
      <c r="MFJ5" s="1304"/>
      <c r="MFK5" s="1304"/>
      <c r="MFL5" s="1304"/>
      <c r="MFM5" s="1304"/>
      <c r="MFN5" s="1304"/>
      <c r="MFO5" s="1304"/>
      <c r="MFP5" s="1304"/>
      <c r="MFQ5" s="1304"/>
      <c r="MFR5" s="1304"/>
      <c r="MFS5" s="1304"/>
      <c r="MFT5" s="1304"/>
      <c r="MFU5" s="1304"/>
      <c r="MFV5" s="1304"/>
      <c r="MFW5" s="1304"/>
      <c r="MFX5" s="1304"/>
      <c r="MFY5" s="1304"/>
      <c r="MFZ5" s="1304"/>
      <c r="MGA5" s="1304"/>
      <c r="MGB5" s="1304"/>
      <c r="MGC5" s="1304"/>
      <c r="MGD5" s="1304"/>
      <c r="MGE5" s="1304"/>
      <c r="MGF5" s="1304"/>
      <c r="MGG5" s="1304"/>
      <c r="MGH5" s="1304"/>
      <c r="MGI5" s="1304"/>
      <c r="MGJ5" s="1304"/>
      <c r="MGK5" s="1304"/>
      <c r="MGL5" s="1304"/>
      <c r="MGM5" s="1304"/>
      <c r="MGN5" s="1304"/>
      <c r="MGO5" s="1304"/>
      <c r="MGP5" s="1304"/>
      <c r="MGQ5" s="1304"/>
      <c r="MGR5" s="1304"/>
      <c r="MGS5" s="1304"/>
      <c r="MGT5" s="1304"/>
      <c r="MGU5" s="1304"/>
      <c r="MGV5" s="1304"/>
      <c r="MGW5" s="1304"/>
      <c r="MGX5" s="1304"/>
      <c r="MGY5" s="1304"/>
      <c r="MGZ5" s="1304"/>
      <c r="MHA5" s="1304"/>
      <c r="MHB5" s="1304"/>
      <c r="MHC5" s="1304"/>
      <c r="MHD5" s="1304"/>
      <c r="MHE5" s="1304"/>
      <c r="MHF5" s="1304"/>
      <c r="MHG5" s="1304"/>
      <c r="MHH5" s="1304"/>
      <c r="MHI5" s="1304"/>
      <c r="MHJ5" s="1304"/>
      <c r="MHK5" s="1304"/>
      <c r="MHL5" s="1304"/>
      <c r="MHM5" s="1304"/>
      <c r="MHN5" s="1304"/>
      <c r="MHO5" s="1304"/>
      <c r="MHP5" s="1304"/>
      <c r="MHQ5" s="1304"/>
      <c r="MHR5" s="1304"/>
      <c r="MHS5" s="1304"/>
      <c r="MHT5" s="1304"/>
      <c r="MHU5" s="1304"/>
      <c r="MHV5" s="1304"/>
      <c r="MHW5" s="1304"/>
      <c r="MHX5" s="1304"/>
      <c r="MHY5" s="1304"/>
      <c r="MHZ5" s="1304"/>
      <c r="MIA5" s="1304"/>
      <c r="MIB5" s="1304"/>
      <c r="MIC5" s="1304"/>
      <c r="MID5" s="1304"/>
      <c r="MIE5" s="1304"/>
      <c r="MIF5" s="1304"/>
      <c r="MIG5" s="1304"/>
      <c r="MIH5" s="1304"/>
      <c r="MII5" s="1304"/>
      <c r="MIJ5" s="1304"/>
      <c r="MIK5" s="1304"/>
      <c r="MIL5" s="1304"/>
      <c r="MIM5" s="1304"/>
      <c r="MIN5" s="1304"/>
      <c r="MIO5" s="1304"/>
      <c r="MIP5" s="1304"/>
      <c r="MIQ5" s="1304"/>
      <c r="MIR5" s="1304"/>
      <c r="MIS5" s="1304"/>
      <c r="MIT5" s="1304"/>
      <c r="MIU5" s="1304"/>
      <c r="MIV5" s="1304"/>
      <c r="MIW5" s="1304"/>
      <c r="MIX5" s="1304"/>
      <c r="MIY5" s="1304"/>
      <c r="MIZ5" s="1304"/>
      <c r="MJA5" s="1304"/>
      <c r="MJB5" s="1304"/>
      <c r="MJC5" s="1304"/>
      <c r="MJD5" s="1304"/>
      <c r="MJE5" s="1304"/>
      <c r="MJF5" s="1304"/>
      <c r="MJG5" s="1304"/>
      <c r="MJH5" s="1304"/>
      <c r="MJI5" s="1304"/>
      <c r="MJJ5" s="1304"/>
      <c r="MJK5" s="1304"/>
      <c r="MJL5" s="1304"/>
      <c r="MJM5" s="1304"/>
      <c r="MJN5" s="1304"/>
      <c r="MJO5" s="1304"/>
      <c r="MJP5" s="1304"/>
      <c r="MJQ5" s="1304"/>
      <c r="MJR5" s="1304"/>
      <c r="MJS5" s="1304"/>
      <c r="MJT5" s="1304"/>
      <c r="MJU5" s="1304"/>
      <c r="MJV5" s="1304"/>
      <c r="MJW5" s="1304"/>
      <c r="MJX5" s="1304"/>
      <c r="MJY5" s="1304"/>
      <c r="MJZ5" s="1304"/>
      <c r="MKA5" s="1304"/>
      <c r="MKB5" s="1304"/>
      <c r="MKC5" s="1304"/>
      <c r="MKD5" s="1304"/>
      <c r="MKE5" s="1304"/>
      <c r="MKF5" s="1304"/>
      <c r="MKG5" s="1304"/>
      <c r="MKH5" s="1304"/>
      <c r="MKI5" s="1304"/>
      <c r="MKJ5" s="1304"/>
      <c r="MKK5" s="1304"/>
      <c r="MKL5" s="1304"/>
      <c r="MKM5" s="1304"/>
      <c r="MKN5" s="1304"/>
      <c r="MKO5" s="1304"/>
      <c r="MKP5" s="1304"/>
      <c r="MKQ5" s="1304"/>
      <c r="MKR5" s="1304"/>
      <c r="MKS5" s="1304"/>
      <c r="MKT5" s="1304"/>
      <c r="MKU5" s="1304"/>
      <c r="MKV5" s="1304"/>
      <c r="MKW5" s="1304"/>
      <c r="MKX5" s="1304"/>
      <c r="MKY5" s="1304"/>
      <c r="MKZ5" s="1304"/>
      <c r="MLA5" s="1304"/>
      <c r="MLB5" s="1304"/>
      <c r="MLC5" s="1304"/>
      <c r="MLD5" s="1304"/>
      <c r="MLE5" s="1304"/>
      <c r="MLF5" s="1304"/>
      <c r="MLG5" s="1304"/>
      <c r="MLH5" s="1304"/>
      <c r="MLI5" s="1304"/>
      <c r="MLJ5" s="1304"/>
      <c r="MLK5" s="1304"/>
      <c r="MLL5" s="1304"/>
      <c r="MLM5" s="1304"/>
      <c r="MLN5" s="1304"/>
      <c r="MLO5" s="1304"/>
      <c r="MLP5" s="1304"/>
      <c r="MLQ5" s="1304"/>
      <c r="MLR5" s="1304"/>
      <c r="MLS5" s="1304"/>
      <c r="MLT5" s="1304"/>
      <c r="MLU5" s="1304"/>
      <c r="MLV5" s="1304"/>
      <c r="MLW5" s="1304"/>
      <c r="MLX5" s="1304"/>
      <c r="MLY5" s="1304"/>
      <c r="MLZ5" s="1304"/>
      <c r="MMA5" s="1304"/>
      <c r="MMB5" s="1304"/>
      <c r="MMC5" s="1304"/>
      <c r="MMD5" s="1304"/>
      <c r="MME5" s="1304"/>
      <c r="MMF5" s="1304"/>
      <c r="MMG5" s="1304"/>
      <c r="MMH5" s="1304"/>
      <c r="MMI5" s="1304"/>
      <c r="MMJ5" s="1304"/>
      <c r="MMK5" s="1304"/>
      <c r="MML5" s="1304"/>
      <c r="MMM5" s="1304"/>
      <c r="MMN5" s="1304"/>
      <c r="MMO5" s="1304"/>
      <c r="MMP5" s="1304"/>
      <c r="MMQ5" s="1304"/>
      <c r="MMR5" s="1304"/>
      <c r="MMS5" s="1304"/>
      <c r="MMT5" s="1304"/>
      <c r="MMU5" s="1304"/>
      <c r="MMV5" s="1304"/>
      <c r="MMW5" s="1304"/>
      <c r="MMX5" s="1304"/>
      <c r="MMY5" s="1304"/>
      <c r="MMZ5" s="1304"/>
      <c r="MNA5" s="1304"/>
      <c r="MNB5" s="1304"/>
      <c r="MNC5" s="1304"/>
      <c r="MND5" s="1304"/>
      <c r="MNE5" s="1304"/>
      <c r="MNF5" s="1304"/>
      <c r="MNG5" s="1304"/>
      <c r="MNH5" s="1304"/>
      <c r="MNI5" s="1304"/>
      <c r="MNJ5" s="1304"/>
      <c r="MNK5" s="1304"/>
      <c r="MNL5" s="1304"/>
      <c r="MNM5" s="1304"/>
      <c r="MNN5" s="1304"/>
      <c r="MNO5" s="1304"/>
      <c r="MNP5" s="1304"/>
      <c r="MNQ5" s="1304"/>
      <c r="MNR5" s="1304"/>
      <c r="MNS5" s="1304"/>
      <c r="MNT5" s="1304"/>
      <c r="MNU5" s="1304"/>
      <c r="MNV5" s="1304"/>
      <c r="MNW5" s="1304"/>
      <c r="MNX5" s="1304"/>
      <c r="MNY5" s="1304"/>
      <c r="MNZ5" s="1304"/>
      <c r="MOA5" s="1304"/>
      <c r="MOB5" s="1304"/>
      <c r="MOC5" s="1304"/>
      <c r="MOD5" s="1304"/>
      <c r="MOE5" s="1304"/>
      <c r="MOF5" s="1304"/>
      <c r="MOG5" s="1304"/>
      <c r="MOH5" s="1304"/>
      <c r="MOI5" s="1304"/>
      <c r="MOJ5" s="1304"/>
      <c r="MOK5" s="1304"/>
      <c r="MOL5" s="1304"/>
      <c r="MOM5" s="1304"/>
      <c r="MON5" s="1304"/>
      <c r="MOO5" s="1304"/>
      <c r="MOP5" s="1304"/>
      <c r="MOQ5" s="1304"/>
      <c r="MOR5" s="1304"/>
      <c r="MOS5" s="1304"/>
      <c r="MOT5" s="1304"/>
      <c r="MOU5" s="1304"/>
      <c r="MOV5" s="1304"/>
      <c r="MOW5" s="1304"/>
      <c r="MOX5" s="1304"/>
      <c r="MOY5" s="1304"/>
      <c r="MOZ5" s="1304"/>
      <c r="MPA5" s="1304"/>
      <c r="MPB5" s="1304"/>
      <c r="MPC5" s="1304"/>
      <c r="MPD5" s="1304"/>
      <c r="MPE5" s="1304"/>
      <c r="MPF5" s="1304"/>
      <c r="MPG5" s="1304"/>
      <c r="MPH5" s="1304"/>
      <c r="MPI5" s="1304"/>
      <c r="MPJ5" s="1304"/>
      <c r="MPK5" s="1304"/>
      <c r="MPL5" s="1304"/>
      <c r="MPM5" s="1304"/>
      <c r="MPN5" s="1304"/>
      <c r="MPO5" s="1304"/>
      <c r="MPP5" s="1304"/>
      <c r="MPQ5" s="1304"/>
      <c r="MPR5" s="1304"/>
      <c r="MPS5" s="1304"/>
      <c r="MPT5" s="1304"/>
      <c r="MPU5" s="1304"/>
      <c r="MPV5" s="1304"/>
      <c r="MPW5" s="1304"/>
      <c r="MPX5" s="1304"/>
      <c r="MPY5" s="1304"/>
      <c r="MPZ5" s="1304"/>
      <c r="MQA5" s="1304"/>
      <c r="MQB5" s="1304"/>
      <c r="MQC5" s="1304"/>
      <c r="MQD5" s="1304"/>
      <c r="MQE5" s="1304"/>
      <c r="MQF5" s="1304"/>
      <c r="MQG5" s="1304"/>
      <c r="MQH5" s="1304"/>
      <c r="MQI5" s="1304"/>
      <c r="MQJ5" s="1304"/>
      <c r="MQK5" s="1304"/>
      <c r="MQL5" s="1304"/>
      <c r="MQM5" s="1304"/>
      <c r="MQN5" s="1304"/>
      <c r="MQO5" s="1304"/>
      <c r="MQP5" s="1304"/>
      <c r="MQQ5" s="1304"/>
      <c r="MQR5" s="1304"/>
      <c r="MQS5" s="1304"/>
      <c r="MQT5" s="1304"/>
      <c r="MQU5" s="1304"/>
      <c r="MQV5" s="1304"/>
      <c r="MQW5" s="1304"/>
      <c r="MQX5" s="1304"/>
      <c r="MQY5" s="1304"/>
      <c r="MQZ5" s="1304"/>
      <c r="MRA5" s="1304"/>
      <c r="MRB5" s="1304"/>
      <c r="MRC5" s="1304"/>
      <c r="MRD5" s="1304"/>
      <c r="MRE5" s="1304"/>
      <c r="MRF5" s="1304"/>
      <c r="MRG5" s="1304"/>
      <c r="MRH5" s="1304"/>
      <c r="MRI5" s="1304"/>
      <c r="MRJ5" s="1304"/>
      <c r="MRK5" s="1304"/>
      <c r="MRL5" s="1304"/>
      <c r="MRM5" s="1304"/>
      <c r="MRN5" s="1304"/>
      <c r="MRO5" s="1304"/>
      <c r="MRP5" s="1304"/>
      <c r="MRQ5" s="1304"/>
      <c r="MRR5" s="1304"/>
      <c r="MRS5" s="1304"/>
      <c r="MRT5" s="1304"/>
      <c r="MRU5" s="1304"/>
      <c r="MRV5" s="1304"/>
      <c r="MRW5" s="1304"/>
      <c r="MRX5" s="1304"/>
      <c r="MRY5" s="1304"/>
      <c r="MRZ5" s="1304"/>
      <c r="MSA5" s="1304"/>
      <c r="MSB5" s="1304"/>
      <c r="MSC5" s="1304"/>
      <c r="MSD5" s="1304"/>
      <c r="MSE5" s="1304"/>
      <c r="MSF5" s="1304"/>
      <c r="MSG5" s="1304"/>
      <c r="MSH5" s="1304"/>
      <c r="MSI5" s="1304"/>
      <c r="MSJ5" s="1304"/>
      <c r="MSK5" s="1304"/>
      <c r="MSL5" s="1304"/>
      <c r="MSM5" s="1304"/>
      <c r="MSN5" s="1304"/>
      <c r="MSO5" s="1304"/>
      <c r="MSP5" s="1304"/>
      <c r="MSQ5" s="1304"/>
      <c r="MSR5" s="1304"/>
      <c r="MSS5" s="1304"/>
      <c r="MST5" s="1304"/>
      <c r="MSU5" s="1304"/>
      <c r="MSV5" s="1304"/>
      <c r="MSW5" s="1304"/>
      <c r="MSX5" s="1304"/>
      <c r="MSY5" s="1304"/>
      <c r="MSZ5" s="1304"/>
      <c r="MTA5" s="1304"/>
      <c r="MTB5" s="1304"/>
      <c r="MTC5" s="1304"/>
      <c r="MTD5" s="1304"/>
      <c r="MTE5" s="1304"/>
      <c r="MTF5" s="1304"/>
      <c r="MTG5" s="1304"/>
      <c r="MTH5" s="1304"/>
      <c r="MTI5" s="1304"/>
      <c r="MTJ5" s="1304"/>
      <c r="MTK5" s="1304"/>
      <c r="MTL5" s="1304"/>
      <c r="MTM5" s="1304"/>
      <c r="MTN5" s="1304"/>
      <c r="MTO5" s="1304"/>
      <c r="MTP5" s="1304"/>
      <c r="MTQ5" s="1304"/>
      <c r="MTR5" s="1304"/>
      <c r="MTS5" s="1304"/>
      <c r="MTT5" s="1304"/>
      <c r="MTU5" s="1304"/>
      <c r="MTV5" s="1304"/>
      <c r="MTW5" s="1304"/>
      <c r="MTX5" s="1304"/>
      <c r="MTY5" s="1304"/>
      <c r="MTZ5" s="1304"/>
      <c r="MUA5" s="1304"/>
      <c r="MUB5" s="1304"/>
      <c r="MUC5" s="1304"/>
      <c r="MUD5" s="1304"/>
      <c r="MUE5" s="1304"/>
      <c r="MUF5" s="1304"/>
      <c r="MUG5" s="1304"/>
      <c r="MUH5" s="1304"/>
      <c r="MUI5" s="1304"/>
      <c r="MUJ5" s="1304"/>
      <c r="MUK5" s="1304"/>
      <c r="MUL5" s="1304"/>
      <c r="MUM5" s="1304"/>
      <c r="MUN5" s="1304"/>
      <c r="MUO5" s="1304"/>
      <c r="MUP5" s="1304"/>
      <c r="MUQ5" s="1304"/>
      <c r="MUR5" s="1304"/>
      <c r="MUS5" s="1304"/>
      <c r="MUT5" s="1304"/>
      <c r="MUU5" s="1304"/>
      <c r="MUV5" s="1304"/>
      <c r="MUW5" s="1304"/>
      <c r="MUX5" s="1304"/>
      <c r="MUY5" s="1304"/>
      <c r="MUZ5" s="1304"/>
      <c r="MVA5" s="1304"/>
      <c r="MVB5" s="1304"/>
      <c r="MVC5" s="1304"/>
      <c r="MVD5" s="1304"/>
      <c r="MVE5" s="1304"/>
      <c r="MVF5" s="1304"/>
      <c r="MVG5" s="1304"/>
      <c r="MVH5" s="1304"/>
      <c r="MVI5" s="1304"/>
      <c r="MVJ5" s="1304"/>
      <c r="MVK5" s="1304"/>
      <c r="MVL5" s="1304"/>
      <c r="MVM5" s="1304"/>
      <c r="MVN5" s="1304"/>
      <c r="MVO5" s="1304"/>
      <c r="MVP5" s="1304"/>
      <c r="MVQ5" s="1304"/>
      <c r="MVR5" s="1304"/>
      <c r="MVS5" s="1304"/>
      <c r="MVT5" s="1304"/>
      <c r="MVU5" s="1304"/>
      <c r="MVV5" s="1304"/>
      <c r="MVW5" s="1304"/>
      <c r="MVX5" s="1304"/>
      <c r="MVY5" s="1304"/>
      <c r="MVZ5" s="1304"/>
      <c r="MWA5" s="1304"/>
      <c r="MWB5" s="1304"/>
      <c r="MWC5" s="1304"/>
      <c r="MWD5" s="1304"/>
      <c r="MWE5" s="1304"/>
      <c r="MWF5" s="1304"/>
      <c r="MWG5" s="1304"/>
      <c r="MWH5" s="1304"/>
      <c r="MWI5" s="1304"/>
      <c r="MWJ5" s="1304"/>
      <c r="MWK5" s="1304"/>
      <c r="MWL5" s="1304"/>
      <c r="MWM5" s="1304"/>
      <c r="MWN5" s="1304"/>
      <c r="MWO5" s="1304"/>
      <c r="MWP5" s="1304"/>
      <c r="MWQ5" s="1304"/>
      <c r="MWR5" s="1304"/>
      <c r="MWS5" s="1304"/>
      <c r="MWT5" s="1304"/>
      <c r="MWU5" s="1304"/>
      <c r="MWV5" s="1304"/>
      <c r="MWW5" s="1304"/>
      <c r="MWX5" s="1304"/>
      <c r="MWY5" s="1304"/>
      <c r="MWZ5" s="1304"/>
      <c r="MXA5" s="1304"/>
      <c r="MXB5" s="1304"/>
      <c r="MXC5" s="1304"/>
      <c r="MXD5" s="1304"/>
      <c r="MXE5" s="1304"/>
      <c r="MXF5" s="1304"/>
      <c r="MXG5" s="1304"/>
      <c r="MXH5" s="1304"/>
      <c r="MXI5" s="1304"/>
      <c r="MXJ5" s="1304"/>
      <c r="MXK5" s="1304"/>
      <c r="MXL5" s="1304"/>
      <c r="MXM5" s="1304"/>
      <c r="MXN5" s="1304"/>
      <c r="MXO5" s="1304"/>
      <c r="MXP5" s="1304"/>
      <c r="MXQ5" s="1304"/>
      <c r="MXR5" s="1304"/>
      <c r="MXS5" s="1304"/>
      <c r="MXT5" s="1304"/>
      <c r="MXU5" s="1304"/>
      <c r="MXV5" s="1304"/>
      <c r="MXW5" s="1304"/>
      <c r="MXX5" s="1304"/>
      <c r="MXY5" s="1304"/>
      <c r="MXZ5" s="1304"/>
      <c r="MYA5" s="1304"/>
      <c r="MYB5" s="1304"/>
      <c r="MYC5" s="1304"/>
      <c r="MYD5" s="1304"/>
      <c r="MYE5" s="1304"/>
      <c r="MYF5" s="1304"/>
      <c r="MYG5" s="1304"/>
      <c r="MYH5" s="1304"/>
      <c r="MYI5" s="1304"/>
      <c r="MYJ5" s="1304"/>
      <c r="MYK5" s="1304"/>
      <c r="MYL5" s="1304"/>
      <c r="MYM5" s="1304"/>
      <c r="MYN5" s="1304"/>
      <c r="MYO5" s="1304"/>
      <c r="MYP5" s="1304"/>
      <c r="MYQ5" s="1304"/>
      <c r="MYR5" s="1304"/>
      <c r="MYS5" s="1304"/>
      <c r="MYT5" s="1304"/>
      <c r="MYU5" s="1304"/>
      <c r="MYV5" s="1304"/>
      <c r="MYW5" s="1304"/>
      <c r="MYX5" s="1304"/>
      <c r="MYY5" s="1304"/>
      <c r="MYZ5" s="1304"/>
      <c r="MZA5" s="1304"/>
      <c r="MZB5" s="1304"/>
      <c r="MZC5" s="1304"/>
      <c r="MZD5" s="1304"/>
      <c r="MZE5" s="1304"/>
      <c r="MZF5" s="1304"/>
      <c r="MZG5" s="1304"/>
      <c r="MZH5" s="1304"/>
      <c r="MZI5" s="1304"/>
      <c r="MZJ5" s="1304"/>
      <c r="MZK5" s="1304"/>
      <c r="MZL5" s="1304"/>
      <c r="MZM5" s="1304"/>
      <c r="MZN5" s="1304"/>
      <c r="MZO5" s="1304"/>
      <c r="MZP5" s="1304"/>
      <c r="MZQ5" s="1304"/>
      <c r="MZR5" s="1304"/>
      <c r="MZS5" s="1304"/>
      <c r="MZT5" s="1304"/>
      <c r="MZU5" s="1304"/>
      <c r="MZV5" s="1304"/>
      <c r="MZW5" s="1304"/>
      <c r="MZX5" s="1304"/>
      <c r="MZY5" s="1304"/>
      <c r="MZZ5" s="1304"/>
      <c r="NAA5" s="1304"/>
      <c r="NAB5" s="1304"/>
      <c r="NAC5" s="1304"/>
      <c r="NAD5" s="1304"/>
      <c r="NAE5" s="1304"/>
      <c r="NAF5" s="1304"/>
      <c r="NAG5" s="1304"/>
      <c r="NAH5" s="1304"/>
      <c r="NAI5" s="1304"/>
      <c r="NAJ5" s="1304"/>
      <c r="NAK5" s="1304"/>
      <c r="NAL5" s="1304"/>
      <c r="NAM5" s="1304"/>
      <c r="NAN5" s="1304"/>
      <c r="NAO5" s="1304"/>
      <c r="NAP5" s="1304"/>
      <c r="NAQ5" s="1304"/>
      <c r="NAR5" s="1304"/>
      <c r="NAS5" s="1304"/>
      <c r="NAT5" s="1304"/>
      <c r="NAU5" s="1304"/>
      <c r="NAV5" s="1304"/>
      <c r="NAW5" s="1304"/>
      <c r="NAX5" s="1304"/>
      <c r="NAY5" s="1304"/>
      <c r="NAZ5" s="1304"/>
      <c r="NBA5" s="1304"/>
      <c r="NBB5" s="1304"/>
      <c r="NBC5" s="1304"/>
      <c r="NBD5" s="1304"/>
      <c r="NBE5" s="1304"/>
      <c r="NBF5" s="1304"/>
      <c r="NBG5" s="1304"/>
      <c r="NBH5" s="1304"/>
      <c r="NBI5" s="1304"/>
      <c r="NBJ5" s="1304"/>
      <c r="NBK5" s="1304"/>
      <c r="NBL5" s="1304"/>
      <c r="NBM5" s="1304"/>
      <c r="NBN5" s="1304"/>
      <c r="NBO5" s="1304"/>
      <c r="NBP5" s="1304"/>
      <c r="NBQ5" s="1304"/>
      <c r="NBR5" s="1304"/>
      <c r="NBS5" s="1304"/>
      <c r="NBT5" s="1304"/>
      <c r="NBU5" s="1304"/>
      <c r="NBV5" s="1304"/>
      <c r="NBW5" s="1304"/>
      <c r="NBX5" s="1304"/>
      <c r="NBY5" s="1304"/>
      <c r="NBZ5" s="1304"/>
      <c r="NCA5" s="1304"/>
      <c r="NCB5" s="1304"/>
      <c r="NCC5" s="1304"/>
      <c r="NCD5" s="1304"/>
      <c r="NCE5" s="1304"/>
      <c r="NCF5" s="1304"/>
      <c r="NCG5" s="1304"/>
      <c r="NCH5" s="1304"/>
      <c r="NCI5" s="1304"/>
      <c r="NCJ5" s="1304"/>
      <c r="NCK5" s="1304"/>
      <c r="NCL5" s="1304"/>
      <c r="NCM5" s="1304"/>
      <c r="NCN5" s="1304"/>
      <c r="NCO5" s="1304"/>
      <c r="NCP5" s="1304"/>
      <c r="NCQ5" s="1304"/>
      <c r="NCR5" s="1304"/>
      <c r="NCS5" s="1304"/>
      <c r="NCT5" s="1304"/>
      <c r="NCU5" s="1304"/>
      <c r="NCV5" s="1304"/>
      <c r="NCW5" s="1304"/>
      <c r="NCX5" s="1304"/>
      <c r="NCY5" s="1304"/>
      <c r="NCZ5" s="1304"/>
      <c r="NDA5" s="1304"/>
      <c r="NDB5" s="1304"/>
      <c r="NDC5" s="1304"/>
      <c r="NDD5" s="1304"/>
      <c r="NDE5" s="1304"/>
      <c r="NDF5" s="1304"/>
      <c r="NDG5" s="1304"/>
      <c r="NDH5" s="1304"/>
      <c r="NDI5" s="1304"/>
      <c r="NDJ5" s="1304"/>
      <c r="NDK5" s="1304"/>
      <c r="NDL5" s="1304"/>
      <c r="NDM5" s="1304"/>
      <c r="NDN5" s="1304"/>
      <c r="NDO5" s="1304"/>
      <c r="NDP5" s="1304"/>
      <c r="NDQ5" s="1304"/>
      <c r="NDR5" s="1304"/>
      <c r="NDS5" s="1304"/>
      <c r="NDT5" s="1304"/>
      <c r="NDU5" s="1304"/>
      <c r="NDV5" s="1304"/>
      <c r="NDW5" s="1304"/>
      <c r="NDX5" s="1304"/>
      <c r="NDY5" s="1304"/>
      <c r="NDZ5" s="1304"/>
      <c r="NEA5" s="1304"/>
      <c r="NEB5" s="1304"/>
      <c r="NEC5" s="1304"/>
      <c r="NED5" s="1304"/>
      <c r="NEE5" s="1304"/>
      <c r="NEF5" s="1304"/>
      <c r="NEG5" s="1304"/>
      <c r="NEH5" s="1304"/>
      <c r="NEI5" s="1304"/>
      <c r="NEJ5" s="1304"/>
      <c r="NEK5" s="1304"/>
      <c r="NEL5" s="1304"/>
      <c r="NEM5" s="1304"/>
      <c r="NEN5" s="1304"/>
      <c r="NEO5" s="1304"/>
      <c r="NEP5" s="1304"/>
      <c r="NEQ5" s="1304"/>
      <c r="NER5" s="1304"/>
      <c r="NES5" s="1304"/>
      <c r="NET5" s="1304"/>
      <c r="NEU5" s="1304"/>
      <c r="NEV5" s="1304"/>
      <c r="NEW5" s="1304"/>
      <c r="NEX5" s="1304"/>
      <c r="NEY5" s="1304"/>
      <c r="NEZ5" s="1304"/>
      <c r="NFA5" s="1304"/>
      <c r="NFB5" s="1304"/>
      <c r="NFC5" s="1304"/>
      <c r="NFD5" s="1304"/>
      <c r="NFE5" s="1304"/>
      <c r="NFF5" s="1304"/>
      <c r="NFG5" s="1304"/>
      <c r="NFH5" s="1304"/>
      <c r="NFI5" s="1304"/>
      <c r="NFJ5" s="1304"/>
      <c r="NFK5" s="1304"/>
      <c r="NFL5" s="1304"/>
      <c r="NFM5" s="1304"/>
      <c r="NFN5" s="1304"/>
      <c r="NFO5" s="1304"/>
      <c r="NFP5" s="1304"/>
      <c r="NFQ5" s="1304"/>
      <c r="NFR5" s="1304"/>
      <c r="NFS5" s="1304"/>
      <c r="NFT5" s="1304"/>
      <c r="NFU5" s="1304"/>
      <c r="NFV5" s="1304"/>
      <c r="NFW5" s="1304"/>
      <c r="NFX5" s="1304"/>
      <c r="NFY5" s="1304"/>
      <c r="NFZ5" s="1304"/>
      <c r="NGA5" s="1304"/>
      <c r="NGB5" s="1304"/>
      <c r="NGC5" s="1304"/>
      <c r="NGD5" s="1304"/>
      <c r="NGE5" s="1304"/>
      <c r="NGF5" s="1304"/>
      <c r="NGG5" s="1304"/>
      <c r="NGH5" s="1304"/>
      <c r="NGI5" s="1304"/>
      <c r="NGJ5" s="1304"/>
      <c r="NGK5" s="1304"/>
      <c r="NGL5" s="1304"/>
      <c r="NGM5" s="1304"/>
      <c r="NGN5" s="1304"/>
      <c r="NGO5" s="1304"/>
      <c r="NGP5" s="1304"/>
      <c r="NGQ5" s="1304"/>
      <c r="NGR5" s="1304"/>
      <c r="NGS5" s="1304"/>
      <c r="NGT5" s="1304"/>
      <c r="NGU5" s="1304"/>
      <c r="NGV5" s="1304"/>
      <c r="NGW5" s="1304"/>
      <c r="NGX5" s="1304"/>
      <c r="NGY5" s="1304"/>
      <c r="NGZ5" s="1304"/>
      <c r="NHA5" s="1304"/>
      <c r="NHB5" s="1304"/>
      <c r="NHC5" s="1304"/>
      <c r="NHD5" s="1304"/>
      <c r="NHE5" s="1304"/>
      <c r="NHF5" s="1304"/>
      <c r="NHG5" s="1304"/>
      <c r="NHH5" s="1304"/>
      <c r="NHI5" s="1304"/>
      <c r="NHJ5" s="1304"/>
      <c r="NHK5" s="1304"/>
      <c r="NHL5" s="1304"/>
      <c r="NHM5" s="1304"/>
      <c r="NHN5" s="1304"/>
      <c r="NHO5" s="1304"/>
      <c r="NHP5" s="1304"/>
      <c r="NHQ5" s="1304"/>
      <c r="NHR5" s="1304"/>
      <c r="NHS5" s="1304"/>
      <c r="NHT5" s="1304"/>
      <c r="NHU5" s="1304"/>
      <c r="NHV5" s="1304"/>
      <c r="NHW5" s="1304"/>
      <c r="NHX5" s="1304"/>
      <c r="NHY5" s="1304"/>
      <c r="NHZ5" s="1304"/>
      <c r="NIA5" s="1304"/>
      <c r="NIB5" s="1304"/>
      <c r="NIC5" s="1304"/>
      <c r="NID5" s="1304"/>
      <c r="NIE5" s="1304"/>
      <c r="NIF5" s="1304"/>
      <c r="NIG5" s="1304"/>
      <c r="NIH5" s="1304"/>
      <c r="NII5" s="1304"/>
      <c r="NIJ5" s="1304"/>
      <c r="NIK5" s="1304"/>
      <c r="NIL5" s="1304"/>
      <c r="NIM5" s="1304"/>
      <c r="NIN5" s="1304"/>
      <c r="NIO5" s="1304"/>
      <c r="NIP5" s="1304"/>
      <c r="NIQ5" s="1304"/>
      <c r="NIR5" s="1304"/>
      <c r="NIS5" s="1304"/>
      <c r="NIT5" s="1304"/>
      <c r="NIU5" s="1304"/>
      <c r="NIV5" s="1304"/>
      <c r="NIW5" s="1304"/>
      <c r="NIX5" s="1304"/>
      <c r="NIY5" s="1304"/>
      <c r="NIZ5" s="1304"/>
      <c r="NJA5" s="1304"/>
      <c r="NJB5" s="1304"/>
      <c r="NJC5" s="1304"/>
      <c r="NJD5" s="1304"/>
      <c r="NJE5" s="1304"/>
      <c r="NJF5" s="1304"/>
      <c r="NJG5" s="1304"/>
      <c r="NJH5" s="1304"/>
      <c r="NJI5" s="1304"/>
      <c r="NJJ5" s="1304"/>
      <c r="NJK5" s="1304"/>
      <c r="NJL5" s="1304"/>
      <c r="NJM5" s="1304"/>
      <c r="NJN5" s="1304"/>
      <c r="NJO5" s="1304"/>
      <c r="NJP5" s="1304"/>
      <c r="NJQ5" s="1304"/>
      <c r="NJR5" s="1304"/>
      <c r="NJS5" s="1304"/>
      <c r="NJT5" s="1304"/>
      <c r="NJU5" s="1304"/>
      <c r="NJV5" s="1304"/>
      <c r="NJW5" s="1304"/>
      <c r="NJX5" s="1304"/>
      <c r="NJY5" s="1304"/>
      <c r="NJZ5" s="1304"/>
      <c r="NKA5" s="1304"/>
      <c r="NKB5" s="1304"/>
      <c r="NKC5" s="1304"/>
      <c r="NKD5" s="1304"/>
      <c r="NKE5" s="1304"/>
      <c r="NKF5" s="1304"/>
      <c r="NKG5" s="1304"/>
      <c r="NKH5" s="1304"/>
      <c r="NKI5" s="1304"/>
      <c r="NKJ5" s="1304"/>
      <c r="NKK5" s="1304"/>
      <c r="NKL5" s="1304"/>
      <c r="NKM5" s="1304"/>
      <c r="NKN5" s="1304"/>
      <c r="NKO5" s="1304"/>
      <c r="NKP5" s="1304"/>
      <c r="NKQ5" s="1304"/>
      <c r="NKR5" s="1304"/>
      <c r="NKS5" s="1304"/>
      <c r="NKT5" s="1304"/>
      <c r="NKU5" s="1304"/>
      <c r="NKV5" s="1304"/>
      <c r="NKW5" s="1304"/>
      <c r="NKX5" s="1304"/>
      <c r="NKY5" s="1304"/>
      <c r="NKZ5" s="1304"/>
      <c r="NLA5" s="1304"/>
      <c r="NLB5" s="1304"/>
      <c r="NLC5" s="1304"/>
      <c r="NLD5" s="1304"/>
      <c r="NLE5" s="1304"/>
      <c r="NLF5" s="1304"/>
      <c r="NLG5" s="1304"/>
      <c r="NLH5" s="1304"/>
      <c r="NLI5" s="1304"/>
      <c r="NLJ5" s="1304"/>
      <c r="NLK5" s="1304"/>
      <c r="NLL5" s="1304"/>
      <c r="NLM5" s="1304"/>
      <c r="NLN5" s="1304"/>
      <c r="NLO5" s="1304"/>
      <c r="NLP5" s="1304"/>
      <c r="NLQ5" s="1304"/>
      <c r="NLR5" s="1304"/>
      <c r="NLS5" s="1304"/>
      <c r="NLT5" s="1304"/>
      <c r="NLU5" s="1304"/>
      <c r="NLV5" s="1304"/>
      <c r="NLW5" s="1304"/>
      <c r="NLX5" s="1304"/>
      <c r="NLY5" s="1304"/>
      <c r="NLZ5" s="1304"/>
      <c r="NMA5" s="1304"/>
      <c r="NMB5" s="1304"/>
      <c r="NMC5" s="1304"/>
      <c r="NMD5" s="1304"/>
      <c r="NME5" s="1304"/>
      <c r="NMF5" s="1304"/>
      <c r="NMG5" s="1304"/>
      <c r="NMH5" s="1304"/>
      <c r="NMI5" s="1304"/>
      <c r="NMJ5" s="1304"/>
      <c r="NMK5" s="1304"/>
      <c r="NML5" s="1304"/>
      <c r="NMM5" s="1304"/>
      <c r="NMN5" s="1304"/>
      <c r="NMO5" s="1304"/>
      <c r="NMP5" s="1304"/>
      <c r="NMQ5" s="1304"/>
      <c r="NMR5" s="1304"/>
      <c r="NMS5" s="1304"/>
      <c r="NMT5" s="1304"/>
      <c r="NMU5" s="1304"/>
      <c r="NMV5" s="1304"/>
      <c r="NMW5" s="1304"/>
      <c r="NMX5" s="1304"/>
      <c r="NMY5" s="1304"/>
      <c r="NMZ5" s="1304"/>
      <c r="NNA5" s="1304"/>
      <c r="NNB5" s="1304"/>
      <c r="NNC5" s="1304"/>
      <c r="NND5" s="1304"/>
      <c r="NNE5" s="1304"/>
      <c r="NNF5" s="1304"/>
      <c r="NNG5" s="1304"/>
      <c r="NNH5" s="1304"/>
      <c r="NNI5" s="1304"/>
      <c r="NNJ5" s="1304"/>
      <c r="NNK5" s="1304"/>
      <c r="NNL5" s="1304"/>
      <c r="NNM5" s="1304"/>
      <c r="NNN5" s="1304"/>
      <c r="NNO5" s="1304"/>
      <c r="NNP5" s="1304"/>
      <c r="NNQ5" s="1304"/>
      <c r="NNR5" s="1304"/>
      <c r="NNS5" s="1304"/>
      <c r="NNT5" s="1304"/>
      <c r="NNU5" s="1304"/>
      <c r="NNV5" s="1304"/>
      <c r="NNW5" s="1304"/>
      <c r="NNX5" s="1304"/>
      <c r="NNY5" s="1304"/>
      <c r="NNZ5" s="1304"/>
      <c r="NOA5" s="1304"/>
      <c r="NOB5" s="1304"/>
      <c r="NOC5" s="1304"/>
      <c r="NOD5" s="1304"/>
      <c r="NOE5" s="1304"/>
      <c r="NOF5" s="1304"/>
      <c r="NOG5" s="1304"/>
      <c r="NOH5" s="1304"/>
      <c r="NOI5" s="1304"/>
      <c r="NOJ5" s="1304"/>
      <c r="NOK5" s="1304"/>
      <c r="NOL5" s="1304"/>
      <c r="NOM5" s="1304"/>
      <c r="NON5" s="1304"/>
      <c r="NOO5" s="1304"/>
      <c r="NOP5" s="1304"/>
      <c r="NOQ5" s="1304"/>
      <c r="NOR5" s="1304"/>
      <c r="NOS5" s="1304"/>
      <c r="NOT5" s="1304"/>
      <c r="NOU5" s="1304"/>
      <c r="NOV5" s="1304"/>
      <c r="NOW5" s="1304"/>
      <c r="NOX5" s="1304"/>
      <c r="NOY5" s="1304"/>
      <c r="NOZ5" s="1304"/>
      <c r="NPA5" s="1304"/>
      <c r="NPB5" s="1304"/>
      <c r="NPC5" s="1304"/>
      <c r="NPD5" s="1304"/>
      <c r="NPE5" s="1304"/>
      <c r="NPF5" s="1304"/>
      <c r="NPG5" s="1304"/>
      <c r="NPH5" s="1304"/>
      <c r="NPI5" s="1304"/>
      <c r="NPJ5" s="1304"/>
      <c r="NPK5" s="1304"/>
      <c r="NPL5" s="1304"/>
      <c r="NPM5" s="1304"/>
      <c r="NPN5" s="1304"/>
      <c r="NPO5" s="1304"/>
      <c r="NPP5" s="1304"/>
      <c r="NPQ5" s="1304"/>
      <c r="NPR5" s="1304"/>
      <c r="NPS5" s="1304"/>
      <c r="NPT5" s="1304"/>
      <c r="NPU5" s="1304"/>
      <c r="NPV5" s="1304"/>
      <c r="NPW5" s="1304"/>
      <c r="NPX5" s="1304"/>
      <c r="NPY5" s="1304"/>
      <c r="NPZ5" s="1304"/>
      <c r="NQA5" s="1304"/>
      <c r="NQB5" s="1304"/>
      <c r="NQC5" s="1304"/>
      <c r="NQD5" s="1304"/>
      <c r="NQE5" s="1304"/>
      <c r="NQF5" s="1304"/>
      <c r="NQG5" s="1304"/>
      <c r="NQH5" s="1304"/>
      <c r="NQI5" s="1304"/>
      <c r="NQJ5" s="1304"/>
      <c r="NQK5" s="1304"/>
      <c r="NQL5" s="1304"/>
      <c r="NQM5" s="1304"/>
      <c r="NQN5" s="1304"/>
      <c r="NQO5" s="1304"/>
      <c r="NQP5" s="1304"/>
      <c r="NQQ5" s="1304"/>
      <c r="NQR5" s="1304"/>
      <c r="NQS5" s="1304"/>
      <c r="NQT5" s="1304"/>
      <c r="NQU5" s="1304"/>
      <c r="NQV5" s="1304"/>
      <c r="NQW5" s="1304"/>
      <c r="NQX5" s="1304"/>
      <c r="NQY5" s="1304"/>
      <c r="NQZ5" s="1304"/>
      <c r="NRA5" s="1304"/>
      <c r="NRB5" s="1304"/>
      <c r="NRC5" s="1304"/>
      <c r="NRD5" s="1304"/>
      <c r="NRE5" s="1304"/>
      <c r="NRF5" s="1304"/>
      <c r="NRG5" s="1304"/>
      <c r="NRH5" s="1304"/>
      <c r="NRI5" s="1304"/>
      <c r="NRJ5" s="1304"/>
      <c r="NRK5" s="1304"/>
      <c r="NRL5" s="1304"/>
      <c r="NRM5" s="1304"/>
      <c r="NRN5" s="1304"/>
      <c r="NRO5" s="1304"/>
      <c r="NRP5" s="1304"/>
      <c r="NRQ5" s="1304"/>
      <c r="NRR5" s="1304"/>
      <c r="NRS5" s="1304"/>
      <c r="NRT5" s="1304"/>
      <c r="NRU5" s="1304"/>
      <c r="NRV5" s="1304"/>
      <c r="NRW5" s="1304"/>
      <c r="NRX5" s="1304"/>
      <c r="NRY5" s="1304"/>
      <c r="NRZ5" s="1304"/>
      <c r="NSA5" s="1304"/>
      <c r="NSB5" s="1304"/>
      <c r="NSC5" s="1304"/>
      <c r="NSD5" s="1304"/>
      <c r="NSE5" s="1304"/>
      <c r="NSF5" s="1304"/>
      <c r="NSG5" s="1304"/>
      <c r="NSH5" s="1304"/>
      <c r="NSI5" s="1304"/>
      <c r="NSJ5" s="1304"/>
      <c r="NSK5" s="1304"/>
      <c r="NSL5" s="1304"/>
      <c r="NSM5" s="1304"/>
      <c r="NSN5" s="1304"/>
      <c r="NSO5" s="1304"/>
      <c r="NSP5" s="1304"/>
      <c r="NSQ5" s="1304"/>
      <c r="NSR5" s="1304"/>
      <c r="NSS5" s="1304"/>
      <c r="NST5" s="1304"/>
      <c r="NSU5" s="1304"/>
      <c r="NSV5" s="1304"/>
      <c r="NSW5" s="1304"/>
      <c r="NSX5" s="1304"/>
      <c r="NSY5" s="1304"/>
      <c r="NSZ5" s="1304"/>
      <c r="NTA5" s="1304"/>
      <c r="NTB5" s="1304"/>
      <c r="NTC5" s="1304"/>
      <c r="NTD5" s="1304"/>
      <c r="NTE5" s="1304"/>
      <c r="NTF5" s="1304"/>
      <c r="NTG5" s="1304"/>
      <c r="NTH5" s="1304"/>
      <c r="NTI5" s="1304"/>
      <c r="NTJ5" s="1304"/>
      <c r="NTK5" s="1304"/>
      <c r="NTL5" s="1304"/>
      <c r="NTM5" s="1304"/>
      <c r="NTN5" s="1304"/>
      <c r="NTO5" s="1304"/>
      <c r="NTP5" s="1304"/>
      <c r="NTQ5" s="1304"/>
      <c r="NTR5" s="1304"/>
      <c r="NTS5" s="1304"/>
      <c r="NTT5" s="1304"/>
      <c r="NTU5" s="1304"/>
      <c r="NTV5" s="1304"/>
      <c r="NTW5" s="1304"/>
      <c r="NTX5" s="1304"/>
      <c r="NTY5" s="1304"/>
      <c r="NTZ5" s="1304"/>
      <c r="NUA5" s="1304"/>
      <c r="NUB5" s="1304"/>
      <c r="NUC5" s="1304"/>
      <c r="NUD5" s="1304"/>
      <c r="NUE5" s="1304"/>
      <c r="NUF5" s="1304"/>
      <c r="NUG5" s="1304"/>
      <c r="NUH5" s="1304"/>
      <c r="NUI5" s="1304"/>
      <c r="NUJ5" s="1304"/>
      <c r="NUK5" s="1304"/>
      <c r="NUL5" s="1304"/>
      <c r="NUM5" s="1304"/>
      <c r="NUN5" s="1304"/>
      <c r="NUO5" s="1304"/>
      <c r="NUP5" s="1304"/>
      <c r="NUQ5" s="1304"/>
      <c r="NUR5" s="1304"/>
      <c r="NUS5" s="1304"/>
      <c r="NUT5" s="1304"/>
      <c r="NUU5" s="1304"/>
      <c r="NUV5" s="1304"/>
      <c r="NUW5" s="1304"/>
      <c r="NUX5" s="1304"/>
      <c r="NUY5" s="1304"/>
      <c r="NUZ5" s="1304"/>
      <c r="NVA5" s="1304"/>
      <c r="NVB5" s="1304"/>
      <c r="NVC5" s="1304"/>
      <c r="NVD5" s="1304"/>
      <c r="NVE5" s="1304"/>
      <c r="NVF5" s="1304"/>
      <c r="NVG5" s="1304"/>
      <c r="NVH5" s="1304"/>
      <c r="NVI5" s="1304"/>
      <c r="NVJ5" s="1304"/>
      <c r="NVK5" s="1304"/>
      <c r="NVL5" s="1304"/>
      <c r="NVM5" s="1304"/>
      <c r="NVN5" s="1304"/>
      <c r="NVO5" s="1304"/>
      <c r="NVP5" s="1304"/>
      <c r="NVQ5" s="1304"/>
      <c r="NVR5" s="1304"/>
      <c r="NVS5" s="1304"/>
      <c r="NVT5" s="1304"/>
      <c r="NVU5" s="1304"/>
      <c r="NVV5" s="1304"/>
      <c r="NVW5" s="1304"/>
      <c r="NVX5" s="1304"/>
      <c r="NVY5" s="1304"/>
      <c r="NVZ5" s="1304"/>
      <c r="NWA5" s="1304"/>
      <c r="NWB5" s="1304"/>
      <c r="NWC5" s="1304"/>
      <c r="NWD5" s="1304"/>
      <c r="NWE5" s="1304"/>
      <c r="NWF5" s="1304"/>
      <c r="NWG5" s="1304"/>
      <c r="NWH5" s="1304"/>
      <c r="NWI5" s="1304"/>
      <c r="NWJ5" s="1304"/>
      <c r="NWK5" s="1304"/>
      <c r="NWL5" s="1304"/>
      <c r="NWM5" s="1304"/>
      <c r="NWN5" s="1304"/>
      <c r="NWO5" s="1304"/>
      <c r="NWP5" s="1304"/>
      <c r="NWQ5" s="1304"/>
      <c r="NWR5" s="1304"/>
      <c r="NWS5" s="1304"/>
      <c r="NWT5" s="1304"/>
      <c r="NWU5" s="1304"/>
      <c r="NWV5" s="1304"/>
      <c r="NWW5" s="1304"/>
      <c r="NWX5" s="1304"/>
      <c r="NWY5" s="1304"/>
      <c r="NWZ5" s="1304"/>
      <c r="NXA5" s="1304"/>
      <c r="NXB5" s="1304"/>
      <c r="NXC5" s="1304"/>
      <c r="NXD5" s="1304"/>
      <c r="NXE5" s="1304"/>
      <c r="NXF5" s="1304"/>
      <c r="NXG5" s="1304"/>
      <c r="NXH5" s="1304"/>
      <c r="NXI5" s="1304"/>
      <c r="NXJ5" s="1304"/>
      <c r="NXK5" s="1304"/>
      <c r="NXL5" s="1304"/>
      <c r="NXM5" s="1304"/>
      <c r="NXN5" s="1304"/>
      <c r="NXO5" s="1304"/>
      <c r="NXP5" s="1304"/>
      <c r="NXQ5" s="1304"/>
      <c r="NXR5" s="1304"/>
      <c r="NXS5" s="1304"/>
      <c r="NXT5" s="1304"/>
      <c r="NXU5" s="1304"/>
      <c r="NXV5" s="1304"/>
      <c r="NXW5" s="1304"/>
      <c r="NXX5" s="1304"/>
      <c r="NXY5" s="1304"/>
      <c r="NXZ5" s="1304"/>
      <c r="NYA5" s="1304"/>
      <c r="NYB5" s="1304"/>
      <c r="NYC5" s="1304"/>
      <c r="NYD5" s="1304"/>
      <c r="NYE5" s="1304"/>
      <c r="NYF5" s="1304"/>
      <c r="NYG5" s="1304"/>
      <c r="NYH5" s="1304"/>
      <c r="NYI5" s="1304"/>
      <c r="NYJ5" s="1304"/>
      <c r="NYK5" s="1304"/>
      <c r="NYL5" s="1304"/>
      <c r="NYM5" s="1304"/>
      <c r="NYN5" s="1304"/>
      <c r="NYO5" s="1304"/>
      <c r="NYP5" s="1304"/>
      <c r="NYQ5" s="1304"/>
      <c r="NYR5" s="1304"/>
      <c r="NYS5" s="1304"/>
      <c r="NYT5" s="1304"/>
      <c r="NYU5" s="1304"/>
      <c r="NYV5" s="1304"/>
      <c r="NYW5" s="1304"/>
      <c r="NYX5" s="1304"/>
      <c r="NYY5" s="1304"/>
      <c r="NYZ5" s="1304"/>
      <c r="NZA5" s="1304"/>
      <c r="NZB5" s="1304"/>
      <c r="NZC5" s="1304"/>
      <c r="NZD5" s="1304"/>
      <c r="NZE5" s="1304"/>
      <c r="NZF5" s="1304"/>
      <c r="NZG5" s="1304"/>
      <c r="NZH5" s="1304"/>
      <c r="NZI5" s="1304"/>
      <c r="NZJ5" s="1304"/>
      <c r="NZK5" s="1304"/>
      <c r="NZL5" s="1304"/>
      <c r="NZM5" s="1304"/>
      <c r="NZN5" s="1304"/>
      <c r="NZO5" s="1304"/>
      <c r="NZP5" s="1304"/>
      <c r="NZQ5" s="1304"/>
      <c r="NZR5" s="1304"/>
      <c r="NZS5" s="1304"/>
      <c r="NZT5" s="1304"/>
      <c r="NZU5" s="1304"/>
      <c r="NZV5" s="1304"/>
      <c r="NZW5" s="1304"/>
      <c r="NZX5" s="1304"/>
      <c r="NZY5" s="1304"/>
      <c r="NZZ5" s="1304"/>
      <c r="OAA5" s="1304"/>
      <c r="OAB5" s="1304"/>
      <c r="OAC5" s="1304"/>
      <c r="OAD5" s="1304"/>
      <c r="OAE5" s="1304"/>
      <c r="OAF5" s="1304"/>
      <c r="OAG5" s="1304"/>
      <c r="OAH5" s="1304"/>
      <c r="OAI5" s="1304"/>
      <c r="OAJ5" s="1304"/>
      <c r="OAK5" s="1304"/>
      <c r="OAL5" s="1304"/>
      <c r="OAM5" s="1304"/>
      <c r="OAN5" s="1304"/>
      <c r="OAO5" s="1304"/>
      <c r="OAP5" s="1304"/>
      <c r="OAQ5" s="1304"/>
      <c r="OAR5" s="1304"/>
      <c r="OAS5" s="1304"/>
      <c r="OAT5" s="1304"/>
      <c r="OAU5" s="1304"/>
      <c r="OAV5" s="1304"/>
      <c r="OAW5" s="1304"/>
      <c r="OAX5" s="1304"/>
      <c r="OAY5" s="1304"/>
      <c r="OAZ5" s="1304"/>
      <c r="OBA5" s="1304"/>
      <c r="OBB5" s="1304"/>
      <c r="OBC5" s="1304"/>
      <c r="OBD5" s="1304"/>
      <c r="OBE5" s="1304"/>
      <c r="OBF5" s="1304"/>
      <c r="OBG5" s="1304"/>
      <c r="OBH5" s="1304"/>
      <c r="OBI5" s="1304"/>
      <c r="OBJ5" s="1304"/>
      <c r="OBK5" s="1304"/>
      <c r="OBL5" s="1304"/>
      <c r="OBM5" s="1304"/>
      <c r="OBN5" s="1304"/>
      <c r="OBO5" s="1304"/>
      <c r="OBP5" s="1304"/>
      <c r="OBQ5" s="1304"/>
      <c r="OBR5" s="1304"/>
      <c r="OBS5" s="1304"/>
      <c r="OBT5" s="1304"/>
      <c r="OBU5" s="1304"/>
      <c r="OBV5" s="1304"/>
      <c r="OBW5" s="1304"/>
      <c r="OBX5" s="1304"/>
      <c r="OBY5" s="1304"/>
      <c r="OBZ5" s="1304"/>
      <c r="OCA5" s="1304"/>
      <c r="OCB5" s="1304"/>
      <c r="OCC5" s="1304"/>
      <c r="OCD5" s="1304"/>
      <c r="OCE5" s="1304"/>
      <c r="OCF5" s="1304"/>
      <c r="OCG5" s="1304"/>
      <c r="OCH5" s="1304"/>
      <c r="OCI5" s="1304"/>
      <c r="OCJ5" s="1304"/>
      <c r="OCK5" s="1304"/>
      <c r="OCL5" s="1304"/>
      <c r="OCM5" s="1304"/>
      <c r="OCN5" s="1304"/>
      <c r="OCO5" s="1304"/>
      <c r="OCP5" s="1304"/>
      <c r="OCQ5" s="1304"/>
      <c r="OCR5" s="1304"/>
      <c r="OCS5" s="1304"/>
      <c r="OCT5" s="1304"/>
      <c r="OCU5" s="1304"/>
      <c r="OCV5" s="1304"/>
      <c r="OCW5" s="1304"/>
      <c r="OCX5" s="1304"/>
      <c r="OCY5" s="1304"/>
      <c r="OCZ5" s="1304"/>
      <c r="ODA5" s="1304"/>
      <c r="ODB5" s="1304"/>
      <c r="ODC5" s="1304"/>
      <c r="ODD5" s="1304"/>
      <c r="ODE5" s="1304"/>
      <c r="ODF5" s="1304"/>
      <c r="ODG5" s="1304"/>
      <c r="ODH5" s="1304"/>
      <c r="ODI5" s="1304"/>
      <c r="ODJ5" s="1304"/>
      <c r="ODK5" s="1304"/>
      <c r="ODL5" s="1304"/>
      <c r="ODM5" s="1304"/>
      <c r="ODN5" s="1304"/>
      <c r="ODO5" s="1304"/>
      <c r="ODP5" s="1304"/>
      <c r="ODQ5" s="1304"/>
      <c r="ODR5" s="1304"/>
      <c r="ODS5" s="1304"/>
      <c r="ODT5" s="1304"/>
      <c r="ODU5" s="1304"/>
      <c r="ODV5" s="1304"/>
      <c r="ODW5" s="1304"/>
      <c r="ODX5" s="1304"/>
      <c r="ODY5" s="1304"/>
      <c r="ODZ5" s="1304"/>
      <c r="OEA5" s="1304"/>
      <c r="OEB5" s="1304"/>
      <c r="OEC5" s="1304"/>
      <c r="OED5" s="1304"/>
      <c r="OEE5" s="1304"/>
      <c r="OEF5" s="1304"/>
      <c r="OEG5" s="1304"/>
      <c r="OEH5" s="1304"/>
      <c r="OEI5" s="1304"/>
      <c r="OEJ5" s="1304"/>
      <c r="OEK5" s="1304"/>
      <c r="OEL5" s="1304"/>
      <c r="OEM5" s="1304"/>
      <c r="OEN5" s="1304"/>
      <c r="OEO5" s="1304"/>
      <c r="OEP5" s="1304"/>
      <c r="OEQ5" s="1304"/>
      <c r="OER5" s="1304"/>
      <c r="OES5" s="1304"/>
      <c r="OET5" s="1304"/>
      <c r="OEU5" s="1304"/>
      <c r="OEV5" s="1304"/>
      <c r="OEW5" s="1304"/>
      <c r="OEX5" s="1304"/>
      <c r="OEY5" s="1304"/>
      <c r="OEZ5" s="1304"/>
      <c r="OFA5" s="1304"/>
      <c r="OFB5" s="1304"/>
      <c r="OFC5" s="1304"/>
      <c r="OFD5" s="1304"/>
      <c r="OFE5" s="1304"/>
      <c r="OFF5" s="1304"/>
      <c r="OFG5" s="1304"/>
      <c r="OFH5" s="1304"/>
      <c r="OFI5" s="1304"/>
      <c r="OFJ5" s="1304"/>
      <c r="OFK5" s="1304"/>
      <c r="OFL5" s="1304"/>
      <c r="OFM5" s="1304"/>
      <c r="OFN5" s="1304"/>
      <c r="OFO5" s="1304"/>
      <c r="OFP5" s="1304"/>
      <c r="OFQ5" s="1304"/>
      <c r="OFR5" s="1304"/>
      <c r="OFS5" s="1304"/>
      <c r="OFT5" s="1304"/>
      <c r="OFU5" s="1304"/>
      <c r="OFV5" s="1304"/>
      <c r="OFW5" s="1304"/>
      <c r="OFX5" s="1304"/>
      <c r="OFY5" s="1304"/>
      <c r="OFZ5" s="1304"/>
      <c r="OGA5" s="1304"/>
      <c r="OGB5" s="1304"/>
      <c r="OGC5" s="1304"/>
      <c r="OGD5" s="1304"/>
      <c r="OGE5" s="1304"/>
      <c r="OGF5" s="1304"/>
      <c r="OGG5" s="1304"/>
      <c r="OGH5" s="1304"/>
      <c r="OGI5" s="1304"/>
      <c r="OGJ5" s="1304"/>
      <c r="OGK5" s="1304"/>
      <c r="OGL5" s="1304"/>
      <c r="OGM5" s="1304"/>
      <c r="OGN5" s="1304"/>
      <c r="OGO5" s="1304"/>
      <c r="OGP5" s="1304"/>
      <c r="OGQ5" s="1304"/>
      <c r="OGR5" s="1304"/>
      <c r="OGS5" s="1304"/>
      <c r="OGT5" s="1304"/>
      <c r="OGU5" s="1304"/>
      <c r="OGV5" s="1304"/>
      <c r="OGW5" s="1304"/>
      <c r="OGX5" s="1304"/>
      <c r="OGY5" s="1304"/>
      <c r="OGZ5" s="1304"/>
      <c r="OHA5" s="1304"/>
      <c r="OHB5" s="1304"/>
      <c r="OHC5" s="1304"/>
      <c r="OHD5" s="1304"/>
      <c r="OHE5" s="1304"/>
      <c r="OHF5" s="1304"/>
      <c r="OHG5" s="1304"/>
      <c r="OHH5" s="1304"/>
      <c r="OHI5" s="1304"/>
      <c r="OHJ5" s="1304"/>
      <c r="OHK5" s="1304"/>
      <c r="OHL5" s="1304"/>
      <c r="OHM5" s="1304"/>
      <c r="OHN5" s="1304"/>
      <c r="OHO5" s="1304"/>
      <c r="OHP5" s="1304"/>
      <c r="OHQ5" s="1304"/>
      <c r="OHR5" s="1304"/>
      <c r="OHS5" s="1304"/>
      <c r="OHT5" s="1304"/>
      <c r="OHU5" s="1304"/>
      <c r="OHV5" s="1304"/>
      <c r="OHW5" s="1304"/>
      <c r="OHX5" s="1304"/>
      <c r="OHY5" s="1304"/>
      <c r="OHZ5" s="1304"/>
      <c r="OIA5" s="1304"/>
      <c r="OIB5" s="1304"/>
      <c r="OIC5" s="1304"/>
      <c r="OID5" s="1304"/>
      <c r="OIE5" s="1304"/>
      <c r="OIF5" s="1304"/>
      <c r="OIG5" s="1304"/>
      <c r="OIH5" s="1304"/>
      <c r="OII5" s="1304"/>
      <c r="OIJ5" s="1304"/>
      <c r="OIK5" s="1304"/>
      <c r="OIL5" s="1304"/>
      <c r="OIM5" s="1304"/>
      <c r="OIN5" s="1304"/>
      <c r="OIO5" s="1304"/>
      <c r="OIP5" s="1304"/>
      <c r="OIQ5" s="1304"/>
      <c r="OIR5" s="1304"/>
      <c r="OIS5" s="1304"/>
      <c r="OIT5" s="1304"/>
      <c r="OIU5" s="1304"/>
      <c r="OIV5" s="1304"/>
      <c r="OIW5" s="1304"/>
      <c r="OIX5" s="1304"/>
      <c r="OIY5" s="1304"/>
      <c r="OIZ5" s="1304"/>
      <c r="OJA5" s="1304"/>
      <c r="OJB5" s="1304"/>
      <c r="OJC5" s="1304"/>
      <c r="OJD5" s="1304"/>
      <c r="OJE5" s="1304"/>
      <c r="OJF5" s="1304"/>
      <c r="OJG5" s="1304"/>
      <c r="OJH5" s="1304"/>
      <c r="OJI5" s="1304"/>
      <c r="OJJ5" s="1304"/>
      <c r="OJK5" s="1304"/>
      <c r="OJL5" s="1304"/>
      <c r="OJM5" s="1304"/>
      <c r="OJN5" s="1304"/>
      <c r="OJO5" s="1304"/>
      <c r="OJP5" s="1304"/>
      <c r="OJQ5" s="1304"/>
      <c r="OJR5" s="1304"/>
      <c r="OJS5" s="1304"/>
      <c r="OJT5" s="1304"/>
      <c r="OJU5" s="1304"/>
      <c r="OJV5" s="1304"/>
      <c r="OJW5" s="1304"/>
      <c r="OJX5" s="1304"/>
      <c r="OJY5" s="1304"/>
      <c r="OJZ5" s="1304"/>
      <c r="OKA5" s="1304"/>
      <c r="OKB5" s="1304"/>
      <c r="OKC5" s="1304"/>
      <c r="OKD5" s="1304"/>
      <c r="OKE5" s="1304"/>
      <c r="OKF5" s="1304"/>
      <c r="OKG5" s="1304"/>
      <c r="OKH5" s="1304"/>
      <c r="OKI5" s="1304"/>
      <c r="OKJ5" s="1304"/>
      <c r="OKK5" s="1304"/>
      <c r="OKL5" s="1304"/>
      <c r="OKM5" s="1304"/>
      <c r="OKN5" s="1304"/>
      <c r="OKO5" s="1304"/>
      <c r="OKP5" s="1304"/>
      <c r="OKQ5" s="1304"/>
      <c r="OKR5" s="1304"/>
      <c r="OKS5" s="1304"/>
      <c r="OKT5" s="1304"/>
      <c r="OKU5" s="1304"/>
      <c r="OKV5" s="1304"/>
      <c r="OKW5" s="1304"/>
      <c r="OKX5" s="1304"/>
      <c r="OKY5" s="1304"/>
      <c r="OKZ5" s="1304"/>
      <c r="OLA5" s="1304"/>
      <c r="OLB5" s="1304"/>
      <c r="OLC5" s="1304"/>
      <c r="OLD5" s="1304"/>
      <c r="OLE5" s="1304"/>
      <c r="OLF5" s="1304"/>
      <c r="OLG5" s="1304"/>
      <c r="OLH5" s="1304"/>
      <c r="OLI5" s="1304"/>
      <c r="OLJ5" s="1304"/>
      <c r="OLK5" s="1304"/>
      <c r="OLL5" s="1304"/>
      <c r="OLM5" s="1304"/>
      <c r="OLN5" s="1304"/>
      <c r="OLO5" s="1304"/>
      <c r="OLP5" s="1304"/>
      <c r="OLQ5" s="1304"/>
      <c r="OLR5" s="1304"/>
      <c r="OLS5" s="1304"/>
      <c r="OLT5" s="1304"/>
      <c r="OLU5" s="1304"/>
      <c r="OLV5" s="1304"/>
      <c r="OLW5" s="1304"/>
      <c r="OLX5" s="1304"/>
      <c r="OLY5" s="1304"/>
      <c r="OLZ5" s="1304"/>
      <c r="OMA5" s="1304"/>
      <c r="OMB5" s="1304"/>
      <c r="OMC5" s="1304"/>
      <c r="OMD5" s="1304"/>
      <c r="OME5" s="1304"/>
      <c r="OMF5" s="1304"/>
      <c r="OMG5" s="1304"/>
      <c r="OMH5" s="1304"/>
      <c r="OMI5" s="1304"/>
      <c r="OMJ5" s="1304"/>
      <c r="OMK5" s="1304"/>
      <c r="OML5" s="1304"/>
      <c r="OMM5" s="1304"/>
      <c r="OMN5" s="1304"/>
      <c r="OMO5" s="1304"/>
      <c r="OMP5" s="1304"/>
      <c r="OMQ5" s="1304"/>
      <c r="OMR5" s="1304"/>
      <c r="OMS5" s="1304"/>
      <c r="OMT5" s="1304"/>
      <c r="OMU5" s="1304"/>
      <c r="OMV5" s="1304"/>
      <c r="OMW5" s="1304"/>
      <c r="OMX5" s="1304"/>
      <c r="OMY5" s="1304"/>
      <c r="OMZ5" s="1304"/>
      <c r="ONA5" s="1304"/>
      <c r="ONB5" s="1304"/>
      <c r="ONC5" s="1304"/>
      <c r="OND5" s="1304"/>
      <c r="ONE5" s="1304"/>
      <c r="ONF5" s="1304"/>
      <c r="ONG5" s="1304"/>
      <c r="ONH5" s="1304"/>
      <c r="ONI5" s="1304"/>
      <c r="ONJ5" s="1304"/>
      <c r="ONK5" s="1304"/>
      <c r="ONL5" s="1304"/>
      <c r="ONM5" s="1304"/>
      <c r="ONN5" s="1304"/>
      <c r="ONO5" s="1304"/>
      <c r="ONP5" s="1304"/>
      <c r="ONQ5" s="1304"/>
      <c r="ONR5" s="1304"/>
      <c r="ONS5" s="1304"/>
      <c r="ONT5" s="1304"/>
      <c r="ONU5" s="1304"/>
      <c r="ONV5" s="1304"/>
      <c r="ONW5" s="1304"/>
      <c r="ONX5" s="1304"/>
      <c r="ONY5" s="1304"/>
      <c r="ONZ5" s="1304"/>
      <c r="OOA5" s="1304"/>
      <c r="OOB5" s="1304"/>
      <c r="OOC5" s="1304"/>
      <c r="OOD5" s="1304"/>
      <c r="OOE5" s="1304"/>
      <c r="OOF5" s="1304"/>
      <c r="OOG5" s="1304"/>
      <c r="OOH5" s="1304"/>
      <c r="OOI5" s="1304"/>
      <c r="OOJ5" s="1304"/>
      <c r="OOK5" s="1304"/>
      <c r="OOL5" s="1304"/>
      <c r="OOM5" s="1304"/>
      <c r="OON5" s="1304"/>
      <c r="OOO5" s="1304"/>
      <c r="OOP5" s="1304"/>
      <c r="OOQ5" s="1304"/>
      <c r="OOR5" s="1304"/>
      <c r="OOS5" s="1304"/>
      <c r="OOT5" s="1304"/>
      <c r="OOU5" s="1304"/>
      <c r="OOV5" s="1304"/>
      <c r="OOW5" s="1304"/>
      <c r="OOX5" s="1304"/>
      <c r="OOY5" s="1304"/>
      <c r="OOZ5" s="1304"/>
      <c r="OPA5" s="1304"/>
      <c r="OPB5" s="1304"/>
      <c r="OPC5" s="1304"/>
      <c r="OPD5" s="1304"/>
      <c r="OPE5" s="1304"/>
      <c r="OPF5" s="1304"/>
      <c r="OPG5" s="1304"/>
      <c r="OPH5" s="1304"/>
      <c r="OPI5" s="1304"/>
      <c r="OPJ5" s="1304"/>
      <c r="OPK5" s="1304"/>
      <c r="OPL5" s="1304"/>
      <c r="OPM5" s="1304"/>
      <c r="OPN5" s="1304"/>
      <c r="OPO5" s="1304"/>
      <c r="OPP5" s="1304"/>
      <c r="OPQ5" s="1304"/>
      <c r="OPR5" s="1304"/>
      <c r="OPS5" s="1304"/>
      <c r="OPT5" s="1304"/>
      <c r="OPU5" s="1304"/>
      <c r="OPV5" s="1304"/>
      <c r="OPW5" s="1304"/>
      <c r="OPX5" s="1304"/>
      <c r="OPY5" s="1304"/>
      <c r="OPZ5" s="1304"/>
      <c r="OQA5" s="1304"/>
      <c r="OQB5" s="1304"/>
      <c r="OQC5" s="1304"/>
      <c r="OQD5" s="1304"/>
      <c r="OQE5" s="1304"/>
      <c r="OQF5" s="1304"/>
      <c r="OQG5" s="1304"/>
      <c r="OQH5" s="1304"/>
      <c r="OQI5" s="1304"/>
      <c r="OQJ5" s="1304"/>
      <c r="OQK5" s="1304"/>
      <c r="OQL5" s="1304"/>
      <c r="OQM5" s="1304"/>
      <c r="OQN5" s="1304"/>
      <c r="OQO5" s="1304"/>
      <c r="OQP5" s="1304"/>
      <c r="OQQ5" s="1304"/>
      <c r="OQR5" s="1304"/>
      <c r="OQS5" s="1304"/>
      <c r="OQT5" s="1304"/>
      <c r="OQU5" s="1304"/>
      <c r="OQV5" s="1304"/>
      <c r="OQW5" s="1304"/>
      <c r="OQX5" s="1304"/>
      <c r="OQY5" s="1304"/>
      <c r="OQZ5" s="1304"/>
      <c r="ORA5" s="1304"/>
      <c r="ORB5" s="1304"/>
      <c r="ORC5" s="1304"/>
      <c r="ORD5" s="1304"/>
      <c r="ORE5" s="1304"/>
      <c r="ORF5" s="1304"/>
      <c r="ORG5" s="1304"/>
      <c r="ORH5" s="1304"/>
      <c r="ORI5" s="1304"/>
      <c r="ORJ5" s="1304"/>
      <c r="ORK5" s="1304"/>
      <c r="ORL5" s="1304"/>
      <c r="ORM5" s="1304"/>
      <c r="ORN5" s="1304"/>
      <c r="ORO5" s="1304"/>
      <c r="ORP5" s="1304"/>
      <c r="ORQ5" s="1304"/>
      <c r="ORR5" s="1304"/>
      <c r="ORS5" s="1304"/>
      <c r="ORT5" s="1304"/>
      <c r="ORU5" s="1304"/>
      <c r="ORV5" s="1304"/>
      <c r="ORW5" s="1304"/>
      <c r="ORX5" s="1304"/>
      <c r="ORY5" s="1304"/>
      <c r="ORZ5" s="1304"/>
      <c r="OSA5" s="1304"/>
      <c r="OSB5" s="1304"/>
      <c r="OSC5" s="1304"/>
      <c r="OSD5" s="1304"/>
      <c r="OSE5" s="1304"/>
      <c r="OSF5" s="1304"/>
      <c r="OSG5" s="1304"/>
      <c r="OSH5" s="1304"/>
      <c r="OSI5" s="1304"/>
      <c r="OSJ5" s="1304"/>
      <c r="OSK5" s="1304"/>
      <c r="OSL5" s="1304"/>
      <c r="OSM5" s="1304"/>
      <c r="OSN5" s="1304"/>
      <c r="OSO5" s="1304"/>
      <c r="OSP5" s="1304"/>
      <c r="OSQ5" s="1304"/>
      <c r="OSR5" s="1304"/>
      <c r="OSS5" s="1304"/>
      <c r="OST5" s="1304"/>
      <c r="OSU5" s="1304"/>
      <c r="OSV5" s="1304"/>
      <c r="OSW5" s="1304"/>
      <c r="OSX5" s="1304"/>
      <c r="OSY5" s="1304"/>
      <c r="OSZ5" s="1304"/>
      <c r="OTA5" s="1304"/>
      <c r="OTB5" s="1304"/>
      <c r="OTC5" s="1304"/>
      <c r="OTD5" s="1304"/>
      <c r="OTE5" s="1304"/>
      <c r="OTF5" s="1304"/>
      <c r="OTG5" s="1304"/>
      <c r="OTH5" s="1304"/>
      <c r="OTI5" s="1304"/>
      <c r="OTJ5" s="1304"/>
      <c r="OTK5" s="1304"/>
      <c r="OTL5" s="1304"/>
      <c r="OTM5" s="1304"/>
      <c r="OTN5" s="1304"/>
      <c r="OTO5" s="1304"/>
      <c r="OTP5" s="1304"/>
      <c r="OTQ5" s="1304"/>
      <c r="OTR5" s="1304"/>
      <c r="OTS5" s="1304"/>
      <c r="OTT5" s="1304"/>
      <c r="OTU5" s="1304"/>
      <c r="OTV5" s="1304"/>
      <c r="OTW5" s="1304"/>
      <c r="OTX5" s="1304"/>
      <c r="OTY5" s="1304"/>
      <c r="OTZ5" s="1304"/>
      <c r="OUA5" s="1304"/>
      <c r="OUB5" s="1304"/>
      <c r="OUC5" s="1304"/>
      <c r="OUD5" s="1304"/>
      <c r="OUE5" s="1304"/>
      <c r="OUF5" s="1304"/>
      <c r="OUG5" s="1304"/>
      <c r="OUH5" s="1304"/>
      <c r="OUI5" s="1304"/>
      <c r="OUJ5" s="1304"/>
      <c r="OUK5" s="1304"/>
      <c r="OUL5" s="1304"/>
      <c r="OUM5" s="1304"/>
      <c r="OUN5" s="1304"/>
      <c r="OUO5" s="1304"/>
      <c r="OUP5" s="1304"/>
      <c r="OUQ5" s="1304"/>
      <c r="OUR5" s="1304"/>
      <c r="OUS5" s="1304"/>
      <c r="OUT5" s="1304"/>
      <c r="OUU5" s="1304"/>
      <c r="OUV5" s="1304"/>
      <c r="OUW5" s="1304"/>
      <c r="OUX5" s="1304"/>
      <c r="OUY5" s="1304"/>
      <c r="OUZ5" s="1304"/>
      <c r="OVA5" s="1304"/>
      <c r="OVB5" s="1304"/>
      <c r="OVC5" s="1304"/>
      <c r="OVD5" s="1304"/>
      <c r="OVE5" s="1304"/>
      <c r="OVF5" s="1304"/>
      <c r="OVG5" s="1304"/>
      <c r="OVH5" s="1304"/>
      <c r="OVI5" s="1304"/>
      <c r="OVJ5" s="1304"/>
      <c r="OVK5" s="1304"/>
      <c r="OVL5" s="1304"/>
      <c r="OVM5" s="1304"/>
      <c r="OVN5" s="1304"/>
      <c r="OVO5" s="1304"/>
      <c r="OVP5" s="1304"/>
      <c r="OVQ5" s="1304"/>
      <c r="OVR5" s="1304"/>
      <c r="OVS5" s="1304"/>
      <c r="OVT5" s="1304"/>
      <c r="OVU5" s="1304"/>
      <c r="OVV5" s="1304"/>
      <c r="OVW5" s="1304"/>
      <c r="OVX5" s="1304"/>
      <c r="OVY5" s="1304"/>
      <c r="OVZ5" s="1304"/>
      <c r="OWA5" s="1304"/>
      <c r="OWB5" s="1304"/>
      <c r="OWC5" s="1304"/>
      <c r="OWD5" s="1304"/>
      <c r="OWE5" s="1304"/>
      <c r="OWF5" s="1304"/>
      <c r="OWG5" s="1304"/>
      <c r="OWH5" s="1304"/>
      <c r="OWI5" s="1304"/>
      <c r="OWJ5" s="1304"/>
      <c r="OWK5" s="1304"/>
      <c r="OWL5" s="1304"/>
      <c r="OWM5" s="1304"/>
      <c r="OWN5" s="1304"/>
      <c r="OWO5" s="1304"/>
      <c r="OWP5" s="1304"/>
      <c r="OWQ5" s="1304"/>
      <c r="OWR5" s="1304"/>
      <c r="OWS5" s="1304"/>
      <c r="OWT5" s="1304"/>
      <c r="OWU5" s="1304"/>
      <c r="OWV5" s="1304"/>
      <c r="OWW5" s="1304"/>
      <c r="OWX5" s="1304"/>
      <c r="OWY5" s="1304"/>
      <c r="OWZ5" s="1304"/>
      <c r="OXA5" s="1304"/>
      <c r="OXB5" s="1304"/>
      <c r="OXC5" s="1304"/>
      <c r="OXD5" s="1304"/>
      <c r="OXE5" s="1304"/>
      <c r="OXF5" s="1304"/>
      <c r="OXG5" s="1304"/>
      <c r="OXH5" s="1304"/>
      <c r="OXI5" s="1304"/>
      <c r="OXJ5" s="1304"/>
      <c r="OXK5" s="1304"/>
      <c r="OXL5" s="1304"/>
      <c r="OXM5" s="1304"/>
      <c r="OXN5" s="1304"/>
      <c r="OXO5" s="1304"/>
      <c r="OXP5" s="1304"/>
      <c r="OXQ5" s="1304"/>
      <c r="OXR5" s="1304"/>
      <c r="OXS5" s="1304"/>
      <c r="OXT5" s="1304"/>
      <c r="OXU5" s="1304"/>
      <c r="OXV5" s="1304"/>
      <c r="OXW5" s="1304"/>
      <c r="OXX5" s="1304"/>
      <c r="OXY5" s="1304"/>
      <c r="OXZ5" s="1304"/>
      <c r="OYA5" s="1304"/>
      <c r="OYB5" s="1304"/>
      <c r="OYC5" s="1304"/>
      <c r="OYD5" s="1304"/>
      <c r="OYE5" s="1304"/>
      <c r="OYF5" s="1304"/>
      <c r="OYG5" s="1304"/>
      <c r="OYH5" s="1304"/>
      <c r="OYI5" s="1304"/>
      <c r="OYJ5" s="1304"/>
      <c r="OYK5" s="1304"/>
      <c r="OYL5" s="1304"/>
      <c r="OYM5" s="1304"/>
      <c r="OYN5" s="1304"/>
      <c r="OYO5" s="1304"/>
      <c r="OYP5" s="1304"/>
      <c r="OYQ5" s="1304"/>
      <c r="OYR5" s="1304"/>
      <c r="OYS5" s="1304"/>
      <c r="OYT5" s="1304"/>
      <c r="OYU5" s="1304"/>
      <c r="OYV5" s="1304"/>
      <c r="OYW5" s="1304"/>
      <c r="OYX5" s="1304"/>
      <c r="OYY5" s="1304"/>
      <c r="OYZ5" s="1304"/>
      <c r="OZA5" s="1304"/>
      <c r="OZB5" s="1304"/>
      <c r="OZC5" s="1304"/>
      <c r="OZD5" s="1304"/>
      <c r="OZE5" s="1304"/>
      <c r="OZF5" s="1304"/>
      <c r="OZG5" s="1304"/>
      <c r="OZH5" s="1304"/>
      <c r="OZI5" s="1304"/>
      <c r="OZJ5" s="1304"/>
      <c r="OZK5" s="1304"/>
      <c r="OZL5" s="1304"/>
      <c r="OZM5" s="1304"/>
      <c r="OZN5" s="1304"/>
      <c r="OZO5" s="1304"/>
      <c r="OZP5" s="1304"/>
      <c r="OZQ5" s="1304"/>
      <c r="OZR5" s="1304"/>
      <c r="OZS5" s="1304"/>
      <c r="OZT5" s="1304"/>
      <c r="OZU5" s="1304"/>
      <c r="OZV5" s="1304"/>
      <c r="OZW5" s="1304"/>
      <c r="OZX5" s="1304"/>
      <c r="OZY5" s="1304"/>
      <c r="OZZ5" s="1304"/>
      <c r="PAA5" s="1304"/>
      <c r="PAB5" s="1304"/>
      <c r="PAC5" s="1304"/>
      <c r="PAD5" s="1304"/>
      <c r="PAE5" s="1304"/>
      <c r="PAF5" s="1304"/>
      <c r="PAG5" s="1304"/>
      <c r="PAH5" s="1304"/>
      <c r="PAI5" s="1304"/>
      <c r="PAJ5" s="1304"/>
      <c r="PAK5" s="1304"/>
      <c r="PAL5" s="1304"/>
      <c r="PAM5" s="1304"/>
      <c r="PAN5" s="1304"/>
      <c r="PAO5" s="1304"/>
      <c r="PAP5" s="1304"/>
      <c r="PAQ5" s="1304"/>
      <c r="PAR5" s="1304"/>
      <c r="PAS5" s="1304"/>
      <c r="PAT5" s="1304"/>
      <c r="PAU5" s="1304"/>
      <c r="PAV5" s="1304"/>
      <c r="PAW5" s="1304"/>
      <c r="PAX5" s="1304"/>
      <c r="PAY5" s="1304"/>
      <c r="PAZ5" s="1304"/>
      <c r="PBA5" s="1304"/>
      <c r="PBB5" s="1304"/>
      <c r="PBC5" s="1304"/>
      <c r="PBD5" s="1304"/>
      <c r="PBE5" s="1304"/>
      <c r="PBF5" s="1304"/>
      <c r="PBG5" s="1304"/>
      <c r="PBH5" s="1304"/>
      <c r="PBI5" s="1304"/>
      <c r="PBJ5" s="1304"/>
      <c r="PBK5" s="1304"/>
      <c r="PBL5" s="1304"/>
      <c r="PBM5" s="1304"/>
      <c r="PBN5" s="1304"/>
      <c r="PBO5" s="1304"/>
      <c r="PBP5" s="1304"/>
      <c r="PBQ5" s="1304"/>
      <c r="PBR5" s="1304"/>
      <c r="PBS5" s="1304"/>
      <c r="PBT5" s="1304"/>
      <c r="PBU5" s="1304"/>
      <c r="PBV5" s="1304"/>
      <c r="PBW5" s="1304"/>
      <c r="PBX5" s="1304"/>
      <c r="PBY5" s="1304"/>
      <c r="PBZ5" s="1304"/>
      <c r="PCA5" s="1304"/>
      <c r="PCB5" s="1304"/>
      <c r="PCC5" s="1304"/>
      <c r="PCD5" s="1304"/>
      <c r="PCE5" s="1304"/>
      <c r="PCF5" s="1304"/>
      <c r="PCG5" s="1304"/>
      <c r="PCH5" s="1304"/>
      <c r="PCI5" s="1304"/>
      <c r="PCJ5" s="1304"/>
      <c r="PCK5" s="1304"/>
      <c r="PCL5" s="1304"/>
      <c r="PCM5" s="1304"/>
      <c r="PCN5" s="1304"/>
      <c r="PCO5" s="1304"/>
      <c r="PCP5" s="1304"/>
      <c r="PCQ5" s="1304"/>
      <c r="PCR5" s="1304"/>
      <c r="PCS5" s="1304"/>
      <c r="PCT5" s="1304"/>
      <c r="PCU5" s="1304"/>
      <c r="PCV5" s="1304"/>
      <c r="PCW5" s="1304"/>
      <c r="PCX5" s="1304"/>
      <c r="PCY5" s="1304"/>
      <c r="PCZ5" s="1304"/>
      <c r="PDA5" s="1304"/>
      <c r="PDB5" s="1304"/>
      <c r="PDC5" s="1304"/>
      <c r="PDD5" s="1304"/>
      <c r="PDE5" s="1304"/>
      <c r="PDF5" s="1304"/>
      <c r="PDG5" s="1304"/>
      <c r="PDH5" s="1304"/>
      <c r="PDI5" s="1304"/>
      <c r="PDJ5" s="1304"/>
      <c r="PDK5" s="1304"/>
      <c r="PDL5" s="1304"/>
      <c r="PDM5" s="1304"/>
      <c r="PDN5" s="1304"/>
      <c r="PDO5" s="1304"/>
      <c r="PDP5" s="1304"/>
      <c r="PDQ5" s="1304"/>
      <c r="PDR5" s="1304"/>
      <c r="PDS5" s="1304"/>
      <c r="PDT5" s="1304"/>
      <c r="PDU5" s="1304"/>
      <c r="PDV5" s="1304"/>
      <c r="PDW5" s="1304"/>
      <c r="PDX5" s="1304"/>
      <c r="PDY5" s="1304"/>
      <c r="PDZ5" s="1304"/>
      <c r="PEA5" s="1304"/>
      <c r="PEB5" s="1304"/>
      <c r="PEC5" s="1304"/>
      <c r="PED5" s="1304"/>
      <c r="PEE5" s="1304"/>
      <c r="PEF5" s="1304"/>
      <c r="PEG5" s="1304"/>
      <c r="PEH5" s="1304"/>
      <c r="PEI5" s="1304"/>
      <c r="PEJ5" s="1304"/>
      <c r="PEK5" s="1304"/>
      <c r="PEL5" s="1304"/>
      <c r="PEM5" s="1304"/>
      <c r="PEN5" s="1304"/>
      <c r="PEO5" s="1304"/>
      <c r="PEP5" s="1304"/>
      <c r="PEQ5" s="1304"/>
      <c r="PER5" s="1304"/>
      <c r="PES5" s="1304"/>
      <c r="PET5" s="1304"/>
      <c r="PEU5" s="1304"/>
      <c r="PEV5" s="1304"/>
      <c r="PEW5" s="1304"/>
      <c r="PEX5" s="1304"/>
      <c r="PEY5" s="1304"/>
      <c r="PEZ5" s="1304"/>
      <c r="PFA5" s="1304"/>
      <c r="PFB5" s="1304"/>
      <c r="PFC5" s="1304"/>
      <c r="PFD5" s="1304"/>
      <c r="PFE5" s="1304"/>
      <c r="PFF5" s="1304"/>
      <c r="PFG5" s="1304"/>
      <c r="PFH5" s="1304"/>
      <c r="PFI5" s="1304"/>
      <c r="PFJ5" s="1304"/>
      <c r="PFK5" s="1304"/>
      <c r="PFL5" s="1304"/>
      <c r="PFM5" s="1304"/>
      <c r="PFN5" s="1304"/>
      <c r="PFO5" s="1304"/>
      <c r="PFP5" s="1304"/>
      <c r="PFQ5" s="1304"/>
      <c r="PFR5" s="1304"/>
      <c r="PFS5" s="1304"/>
      <c r="PFT5" s="1304"/>
      <c r="PFU5" s="1304"/>
      <c r="PFV5" s="1304"/>
      <c r="PFW5" s="1304"/>
      <c r="PFX5" s="1304"/>
      <c r="PFY5" s="1304"/>
      <c r="PFZ5" s="1304"/>
      <c r="PGA5" s="1304"/>
      <c r="PGB5" s="1304"/>
      <c r="PGC5" s="1304"/>
      <c r="PGD5" s="1304"/>
      <c r="PGE5" s="1304"/>
      <c r="PGF5" s="1304"/>
      <c r="PGG5" s="1304"/>
      <c r="PGH5" s="1304"/>
      <c r="PGI5" s="1304"/>
      <c r="PGJ5" s="1304"/>
      <c r="PGK5" s="1304"/>
      <c r="PGL5" s="1304"/>
      <c r="PGM5" s="1304"/>
      <c r="PGN5" s="1304"/>
      <c r="PGO5" s="1304"/>
      <c r="PGP5" s="1304"/>
      <c r="PGQ5" s="1304"/>
      <c r="PGR5" s="1304"/>
      <c r="PGS5" s="1304"/>
      <c r="PGT5" s="1304"/>
      <c r="PGU5" s="1304"/>
      <c r="PGV5" s="1304"/>
      <c r="PGW5" s="1304"/>
      <c r="PGX5" s="1304"/>
      <c r="PGY5" s="1304"/>
      <c r="PGZ5" s="1304"/>
      <c r="PHA5" s="1304"/>
      <c r="PHB5" s="1304"/>
      <c r="PHC5" s="1304"/>
      <c r="PHD5" s="1304"/>
      <c r="PHE5" s="1304"/>
      <c r="PHF5" s="1304"/>
      <c r="PHG5" s="1304"/>
      <c r="PHH5" s="1304"/>
      <c r="PHI5" s="1304"/>
      <c r="PHJ5" s="1304"/>
      <c r="PHK5" s="1304"/>
      <c r="PHL5" s="1304"/>
      <c r="PHM5" s="1304"/>
      <c r="PHN5" s="1304"/>
      <c r="PHO5" s="1304"/>
      <c r="PHP5" s="1304"/>
      <c r="PHQ5" s="1304"/>
      <c r="PHR5" s="1304"/>
      <c r="PHS5" s="1304"/>
      <c r="PHT5" s="1304"/>
      <c r="PHU5" s="1304"/>
      <c r="PHV5" s="1304"/>
      <c r="PHW5" s="1304"/>
      <c r="PHX5" s="1304"/>
      <c r="PHY5" s="1304"/>
      <c r="PHZ5" s="1304"/>
      <c r="PIA5" s="1304"/>
      <c r="PIB5" s="1304"/>
      <c r="PIC5" s="1304"/>
      <c r="PID5" s="1304"/>
      <c r="PIE5" s="1304"/>
      <c r="PIF5" s="1304"/>
      <c r="PIG5" s="1304"/>
      <c r="PIH5" s="1304"/>
      <c r="PII5" s="1304"/>
      <c r="PIJ5" s="1304"/>
      <c r="PIK5" s="1304"/>
      <c r="PIL5" s="1304"/>
      <c r="PIM5" s="1304"/>
      <c r="PIN5" s="1304"/>
      <c r="PIO5" s="1304"/>
      <c r="PIP5" s="1304"/>
      <c r="PIQ5" s="1304"/>
      <c r="PIR5" s="1304"/>
      <c r="PIS5" s="1304"/>
      <c r="PIT5" s="1304"/>
      <c r="PIU5" s="1304"/>
      <c r="PIV5" s="1304"/>
      <c r="PIW5" s="1304"/>
      <c r="PIX5" s="1304"/>
      <c r="PIY5" s="1304"/>
      <c r="PIZ5" s="1304"/>
      <c r="PJA5" s="1304"/>
      <c r="PJB5" s="1304"/>
      <c r="PJC5" s="1304"/>
      <c r="PJD5" s="1304"/>
      <c r="PJE5" s="1304"/>
      <c r="PJF5" s="1304"/>
      <c r="PJG5" s="1304"/>
      <c r="PJH5" s="1304"/>
      <c r="PJI5" s="1304"/>
      <c r="PJJ5" s="1304"/>
      <c r="PJK5" s="1304"/>
      <c r="PJL5" s="1304"/>
      <c r="PJM5" s="1304"/>
      <c r="PJN5" s="1304"/>
      <c r="PJO5" s="1304"/>
      <c r="PJP5" s="1304"/>
      <c r="PJQ5" s="1304"/>
      <c r="PJR5" s="1304"/>
      <c r="PJS5" s="1304"/>
      <c r="PJT5" s="1304"/>
      <c r="PJU5" s="1304"/>
      <c r="PJV5" s="1304"/>
      <c r="PJW5" s="1304"/>
      <c r="PJX5" s="1304"/>
      <c r="PJY5" s="1304"/>
      <c r="PJZ5" s="1304"/>
      <c r="PKA5" s="1304"/>
      <c r="PKB5" s="1304"/>
      <c r="PKC5" s="1304"/>
      <c r="PKD5" s="1304"/>
      <c r="PKE5" s="1304"/>
      <c r="PKF5" s="1304"/>
      <c r="PKG5" s="1304"/>
      <c r="PKH5" s="1304"/>
      <c r="PKI5" s="1304"/>
      <c r="PKJ5" s="1304"/>
      <c r="PKK5" s="1304"/>
      <c r="PKL5" s="1304"/>
      <c r="PKM5" s="1304"/>
      <c r="PKN5" s="1304"/>
      <c r="PKO5" s="1304"/>
      <c r="PKP5" s="1304"/>
      <c r="PKQ5" s="1304"/>
      <c r="PKR5" s="1304"/>
      <c r="PKS5" s="1304"/>
      <c r="PKT5" s="1304"/>
      <c r="PKU5" s="1304"/>
      <c r="PKV5" s="1304"/>
      <c r="PKW5" s="1304"/>
      <c r="PKX5" s="1304"/>
      <c r="PKY5" s="1304"/>
      <c r="PKZ5" s="1304"/>
      <c r="PLA5" s="1304"/>
      <c r="PLB5" s="1304"/>
      <c r="PLC5" s="1304"/>
      <c r="PLD5" s="1304"/>
      <c r="PLE5" s="1304"/>
      <c r="PLF5" s="1304"/>
      <c r="PLG5" s="1304"/>
      <c r="PLH5" s="1304"/>
      <c r="PLI5" s="1304"/>
      <c r="PLJ5" s="1304"/>
      <c r="PLK5" s="1304"/>
      <c r="PLL5" s="1304"/>
      <c r="PLM5" s="1304"/>
      <c r="PLN5" s="1304"/>
      <c r="PLO5" s="1304"/>
      <c r="PLP5" s="1304"/>
      <c r="PLQ5" s="1304"/>
      <c r="PLR5" s="1304"/>
      <c r="PLS5" s="1304"/>
      <c r="PLT5" s="1304"/>
      <c r="PLU5" s="1304"/>
      <c r="PLV5" s="1304"/>
      <c r="PLW5" s="1304"/>
      <c r="PLX5" s="1304"/>
      <c r="PLY5" s="1304"/>
      <c r="PLZ5" s="1304"/>
      <c r="PMA5" s="1304"/>
      <c r="PMB5" s="1304"/>
      <c r="PMC5" s="1304"/>
      <c r="PMD5" s="1304"/>
      <c r="PME5" s="1304"/>
      <c r="PMF5" s="1304"/>
      <c r="PMG5" s="1304"/>
      <c r="PMH5" s="1304"/>
      <c r="PMI5" s="1304"/>
      <c r="PMJ5" s="1304"/>
      <c r="PMK5" s="1304"/>
      <c r="PML5" s="1304"/>
      <c r="PMM5" s="1304"/>
      <c r="PMN5" s="1304"/>
      <c r="PMO5" s="1304"/>
      <c r="PMP5" s="1304"/>
      <c r="PMQ5" s="1304"/>
      <c r="PMR5" s="1304"/>
      <c r="PMS5" s="1304"/>
      <c r="PMT5" s="1304"/>
      <c r="PMU5" s="1304"/>
      <c r="PMV5" s="1304"/>
      <c r="PMW5" s="1304"/>
      <c r="PMX5" s="1304"/>
      <c r="PMY5" s="1304"/>
      <c r="PMZ5" s="1304"/>
      <c r="PNA5" s="1304"/>
      <c r="PNB5" s="1304"/>
      <c r="PNC5" s="1304"/>
      <c r="PND5" s="1304"/>
      <c r="PNE5" s="1304"/>
      <c r="PNF5" s="1304"/>
      <c r="PNG5" s="1304"/>
      <c r="PNH5" s="1304"/>
      <c r="PNI5" s="1304"/>
      <c r="PNJ5" s="1304"/>
      <c r="PNK5" s="1304"/>
      <c r="PNL5" s="1304"/>
      <c r="PNM5" s="1304"/>
      <c r="PNN5" s="1304"/>
      <c r="PNO5" s="1304"/>
      <c r="PNP5" s="1304"/>
      <c r="PNQ5" s="1304"/>
      <c r="PNR5" s="1304"/>
      <c r="PNS5" s="1304"/>
      <c r="PNT5" s="1304"/>
      <c r="PNU5" s="1304"/>
      <c r="PNV5" s="1304"/>
      <c r="PNW5" s="1304"/>
      <c r="PNX5" s="1304"/>
      <c r="PNY5" s="1304"/>
      <c r="PNZ5" s="1304"/>
      <c r="POA5" s="1304"/>
      <c r="POB5" s="1304"/>
      <c r="POC5" s="1304"/>
      <c r="POD5" s="1304"/>
      <c r="POE5" s="1304"/>
      <c r="POF5" s="1304"/>
      <c r="POG5" s="1304"/>
      <c r="POH5" s="1304"/>
      <c r="POI5" s="1304"/>
      <c r="POJ5" s="1304"/>
      <c r="POK5" s="1304"/>
      <c r="POL5" s="1304"/>
      <c r="POM5" s="1304"/>
      <c r="PON5" s="1304"/>
      <c r="POO5" s="1304"/>
      <c r="POP5" s="1304"/>
      <c r="POQ5" s="1304"/>
      <c r="POR5" s="1304"/>
      <c r="POS5" s="1304"/>
      <c r="POT5" s="1304"/>
      <c r="POU5" s="1304"/>
      <c r="POV5" s="1304"/>
      <c r="POW5" s="1304"/>
      <c r="POX5" s="1304"/>
      <c r="POY5" s="1304"/>
      <c r="POZ5" s="1304"/>
      <c r="PPA5" s="1304"/>
      <c r="PPB5" s="1304"/>
      <c r="PPC5" s="1304"/>
      <c r="PPD5" s="1304"/>
      <c r="PPE5" s="1304"/>
      <c r="PPF5" s="1304"/>
      <c r="PPG5" s="1304"/>
      <c r="PPH5" s="1304"/>
      <c r="PPI5" s="1304"/>
      <c r="PPJ5" s="1304"/>
      <c r="PPK5" s="1304"/>
      <c r="PPL5" s="1304"/>
      <c r="PPM5" s="1304"/>
      <c r="PPN5" s="1304"/>
      <c r="PPO5" s="1304"/>
      <c r="PPP5" s="1304"/>
      <c r="PPQ5" s="1304"/>
      <c r="PPR5" s="1304"/>
      <c r="PPS5" s="1304"/>
      <c r="PPT5" s="1304"/>
      <c r="PPU5" s="1304"/>
      <c r="PPV5" s="1304"/>
      <c r="PPW5" s="1304"/>
      <c r="PPX5" s="1304"/>
      <c r="PPY5" s="1304"/>
      <c r="PPZ5" s="1304"/>
      <c r="PQA5" s="1304"/>
      <c r="PQB5" s="1304"/>
      <c r="PQC5" s="1304"/>
      <c r="PQD5" s="1304"/>
      <c r="PQE5" s="1304"/>
      <c r="PQF5" s="1304"/>
      <c r="PQG5" s="1304"/>
      <c r="PQH5" s="1304"/>
      <c r="PQI5" s="1304"/>
      <c r="PQJ5" s="1304"/>
      <c r="PQK5" s="1304"/>
      <c r="PQL5" s="1304"/>
      <c r="PQM5" s="1304"/>
      <c r="PQN5" s="1304"/>
      <c r="PQO5" s="1304"/>
      <c r="PQP5" s="1304"/>
      <c r="PQQ5" s="1304"/>
      <c r="PQR5" s="1304"/>
      <c r="PQS5" s="1304"/>
      <c r="PQT5" s="1304"/>
      <c r="PQU5" s="1304"/>
      <c r="PQV5" s="1304"/>
      <c r="PQW5" s="1304"/>
      <c r="PQX5" s="1304"/>
      <c r="PQY5" s="1304"/>
      <c r="PQZ5" s="1304"/>
      <c r="PRA5" s="1304"/>
      <c r="PRB5" s="1304"/>
      <c r="PRC5" s="1304"/>
      <c r="PRD5" s="1304"/>
      <c r="PRE5" s="1304"/>
      <c r="PRF5" s="1304"/>
      <c r="PRG5" s="1304"/>
      <c r="PRH5" s="1304"/>
      <c r="PRI5" s="1304"/>
      <c r="PRJ5" s="1304"/>
      <c r="PRK5" s="1304"/>
      <c r="PRL5" s="1304"/>
      <c r="PRM5" s="1304"/>
      <c r="PRN5" s="1304"/>
      <c r="PRO5" s="1304"/>
      <c r="PRP5" s="1304"/>
      <c r="PRQ5" s="1304"/>
      <c r="PRR5" s="1304"/>
      <c r="PRS5" s="1304"/>
      <c r="PRT5" s="1304"/>
      <c r="PRU5" s="1304"/>
      <c r="PRV5" s="1304"/>
      <c r="PRW5" s="1304"/>
      <c r="PRX5" s="1304"/>
      <c r="PRY5" s="1304"/>
      <c r="PRZ5" s="1304"/>
      <c r="PSA5" s="1304"/>
      <c r="PSB5" s="1304"/>
      <c r="PSC5" s="1304"/>
      <c r="PSD5" s="1304"/>
      <c r="PSE5" s="1304"/>
      <c r="PSF5" s="1304"/>
      <c r="PSG5" s="1304"/>
      <c r="PSH5" s="1304"/>
      <c r="PSI5" s="1304"/>
      <c r="PSJ5" s="1304"/>
      <c r="PSK5" s="1304"/>
      <c r="PSL5" s="1304"/>
      <c r="PSM5" s="1304"/>
      <c r="PSN5" s="1304"/>
      <c r="PSO5" s="1304"/>
      <c r="PSP5" s="1304"/>
      <c r="PSQ5" s="1304"/>
      <c r="PSR5" s="1304"/>
      <c r="PSS5" s="1304"/>
      <c r="PST5" s="1304"/>
      <c r="PSU5" s="1304"/>
      <c r="PSV5" s="1304"/>
      <c r="PSW5" s="1304"/>
      <c r="PSX5" s="1304"/>
      <c r="PSY5" s="1304"/>
      <c r="PSZ5" s="1304"/>
      <c r="PTA5" s="1304"/>
      <c r="PTB5" s="1304"/>
      <c r="PTC5" s="1304"/>
      <c r="PTD5" s="1304"/>
      <c r="PTE5" s="1304"/>
      <c r="PTF5" s="1304"/>
      <c r="PTG5" s="1304"/>
      <c r="PTH5" s="1304"/>
      <c r="PTI5" s="1304"/>
      <c r="PTJ5" s="1304"/>
      <c r="PTK5" s="1304"/>
      <c r="PTL5" s="1304"/>
      <c r="PTM5" s="1304"/>
      <c r="PTN5" s="1304"/>
      <c r="PTO5" s="1304"/>
      <c r="PTP5" s="1304"/>
      <c r="PTQ5" s="1304"/>
      <c r="PTR5" s="1304"/>
      <c r="PTS5" s="1304"/>
      <c r="PTT5" s="1304"/>
      <c r="PTU5" s="1304"/>
      <c r="PTV5" s="1304"/>
      <c r="PTW5" s="1304"/>
      <c r="PTX5" s="1304"/>
      <c r="PTY5" s="1304"/>
      <c r="PTZ5" s="1304"/>
      <c r="PUA5" s="1304"/>
      <c r="PUB5" s="1304"/>
      <c r="PUC5" s="1304"/>
      <c r="PUD5" s="1304"/>
      <c r="PUE5" s="1304"/>
      <c r="PUF5" s="1304"/>
      <c r="PUG5" s="1304"/>
      <c r="PUH5" s="1304"/>
      <c r="PUI5" s="1304"/>
      <c r="PUJ5" s="1304"/>
      <c r="PUK5" s="1304"/>
      <c r="PUL5" s="1304"/>
      <c r="PUM5" s="1304"/>
      <c r="PUN5" s="1304"/>
      <c r="PUO5" s="1304"/>
      <c r="PUP5" s="1304"/>
      <c r="PUQ5" s="1304"/>
      <c r="PUR5" s="1304"/>
      <c r="PUS5" s="1304"/>
      <c r="PUT5" s="1304"/>
      <c r="PUU5" s="1304"/>
      <c r="PUV5" s="1304"/>
      <c r="PUW5" s="1304"/>
      <c r="PUX5" s="1304"/>
      <c r="PUY5" s="1304"/>
      <c r="PUZ5" s="1304"/>
      <c r="PVA5" s="1304"/>
      <c r="PVB5" s="1304"/>
      <c r="PVC5" s="1304"/>
      <c r="PVD5" s="1304"/>
      <c r="PVE5" s="1304"/>
      <c r="PVF5" s="1304"/>
      <c r="PVG5" s="1304"/>
      <c r="PVH5" s="1304"/>
      <c r="PVI5" s="1304"/>
      <c r="PVJ5" s="1304"/>
      <c r="PVK5" s="1304"/>
      <c r="PVL5" s="1304"/>
      <c r="PVM5" s="1304"/>
      <c r="PVN5" s="1304"/>
      <c r="PVO5" s="1304"/>
      <c r="PVP5" s="1304"/>
      <c r="PVQ5" s="1304"/>
      <c r="PVR5" s="1304"/>
      <c r="PVS5" s="1304"/>
      <c r="PVT5" s="1304"/>
      <c r="PVU5" s="1304"/>
      <c r="PVV5" s="1304"/>
      <c r="PVW5" s="1304"/>
      <c r="PVX5" s="1304"/>
      <c r="PVY5" s="1304"/>
      <c r="PVZ5" s="1304"/>
      <c r="PWA5" s="1304"/>
      <c r="PWB5" s="1304"/>
      <c r="PWC5" s="1304"/>
      <c r="PWD5" s="1304"/>
      <c r="PWE5" s="1304"/>
      <c r="PWF5" s="1304"/>
      <c r="PWG5" s="1304"/>
      <c r="PWH5" s="1304"/>
      <c r="PWI5" s="1304"/>
      <c r="PWJ5" s="1304"/>
      <c r="PWK5" s="1304"/>
      <c r="PWL5" s="1304"/>
      <c r="PWM5" s="1304"/>
      <c r="PWN5" s="1304"/>
      <c r="PWO5" s="1304"/>
      <c r="PWP5" s="1304"/>
      <c r="PWQ5" s="1304"/>
      <c r="PWR5" s="1304"/>
      <c r="PWS5" s="1304"/>
      <c r="PWT5" s="1304"/>
      <c r="PWU5" s="1304"/>
      <c r="PWV5" s="1304"/>
      <c r="PWW5" s="1304"/>
      <c r="PWX5" s="1304"/>
      <c r="PWY5" s="1304"/>
      <c r="PWZ5" s="1304"/>
      <c r="PXA5" s="1304"/>
      <c r="PXB5" s="1304"/>
      <c r="PXC5" s="1304"/>
      <c r="PXD5" s="1304"/>
      <c r="PXE5" s="1304"/>
      <c r="PXF5" s="1304"/>
      <c r="PXG5" s="1304"/>
      <c r="PXH5" s="1304"/>
      <c r="PXI5" s="1304"/>
      <c r="PXJ5" s="1304"/>
      <c r="PXK5" s="1304"/>
      <c r="PXL5" s="1304"/>
      <c r="PXM5" s="1304"/>
      <c r="PXN5" s="1304"/>
      <c r="PXO5" s="1304"/>
      <c r="PXP5" s="1304"/>
      <c r="PXQ5" s="1304"/>
      <c r="PXR5" s="1304"/>
      <c r="PXS5" s="1304"/>
      <c r="PXT5" s="1304"/>
      <c r="PXU5" s="1304"/>
      <c r="PXV5" s="1304"/>
      <c r="PXW5" s="1304"/>
      <c r="PXX5" s="1304"/>
      <c r="PXY5" s="1304"/>
      <c r="PXZ5" s="1304"/>
      <c r="PYA5" s="1304"/>
      <c r="PYB5" s="1304"/>
      <c r="PYC5" s="1304"/>
      <c r="PYD5" s="1304"/>
      <c r="PYE5" s="1304"/>
      <c r="PYF5" s="1304"/>
      <c r="PYG5" s="1304"/>
      <c r="PYH5" s="1304"/>
      <c r="PYI5" s="1304"/>
      <c r="PYJ5" s="1304"/>
      <c r="PYK5" s="1304"/>
      <c r="PYL5" s="1304"/>
      <c r="PYM5" s="1304"/>
      <c r="PYN5" s="1304"/>
      <c r="PYO5" s="1304"/>
      <c r="PYP5" s="1304"/>
      <c r="PYQ5" s="1304"/>
      <c r="PYR5" s="1304"/>
      <c r="PYS5" s="1304"/>
      <c r="PYT5" s="1304"/>
      <c r="PYU5" s="1304"/>
      <c r="PYV5" s="1304"/>
      <c r="PYW5" s="1304"/>
      <c r="PYX5" s="1304"/>
      <c r="PYY5" s="1304"/>
      <c r="PYZ5" s="1304"/>
      <c r="PZA5" s="1304"/>
      <c r="PZB5" s="1304"/>
      <c r="PZC5" s="1304"/>
      <c r="PZD5" s="1304"/>
      <c r="PZE5" s="1304"/>
      <c r="PZF5" s="1304"/>
      <c r="PZG5" s="1304"/>
      <c r="PZH5" s="1304"/>
      <c r="PZI5" s="1304"/>
      <c r="PZJ5" s="1304"/>
      <c r="PZK5" s="1304"/>
      <c r="PZL5" s="1304"/>
      <c r="PZM5" s="1304"/>
      <c r="PZN5" s="1304"/>
      <c r="PZO5" s="1304"/>
      <c r="PZP5" s="1304"/>
      <c r="PZQ5" s="1304"/>
      <c r="PZR5" s="1304"/>
      <c r="PZS5" s="1304"/>
      <c r="PZT5" s="1304"/>
      <c r="PZU5" s="1304"/>
      <c r="PZV5" s="1304"/>
      <c r="PZW5" s="1304"/>
      <c r="PZX5" s="1304"/>
      <c r="PZY5" s="1304"/>
      <c r="PZZ5" s="1304"/>
      <c r="QAA5" s="1304"/>
      <c r="QAB5" s="1304"/>
      <c r="QAC5" s="1304"/>
      <c r="QAD5" s="1304"/>
      <c r="QAE5" s="1304"/>
      <c r="QAF5" s="1304"/>
      <c r="QAG5" s="1304"/>
      <c r="QAH5" s="1304"/>
      <c r="QAI5" s="1304"/>
      <c r="QAJ5" s="1304"/>
      <c r="QAK5" s="1304"/>
      <c r="QAL5" s="1304"/>
      <c r="QAM5" s="1304"/>
      <c r="QAN5" s="1304"/>
      <c r="QAO5" s="1304"/>
      <c r="QAP5" s="1304"/>
      <c r="QAQ5" s="1304"/>
      <c r="QAR5" s="1304"/>
      <c r="QAS5" s="1304"/>
      <c r="QAT5" s="1304"/>
      <c r="QAU5" s="1304"/>
      <c r="QAV5" s="1304"/>
      <c r="QAW5" s="1304"/>
      <c r="QAX5" s="1304"/>
      <c r="QAY5" s="1304"/>
      <c r="QAZ5" s="1304"/>
      <c r="QBA5" s="1304"/>
      <c r="QBB5" s="1304"/>
      <c r="QBC5" s="1304"/>
      <c r="QBD5" s="1304"/>
      <c r="QBE5" s="1304"/>
      <c r="QBF5" s="1304"/>
      <c r="QBG5" s="1304"/>
      <c r="QBH5" s="1304"/>
      <c r="QBI5" s="1304"/>
      <c r="QBJ5" s="1304"/>
      <c r="QBK5" s="1304"/>
      <c r="QBL5" s="1304"/>
      <c r="QBM5" s="1304"/>
      <c r="QBN5" s="1304"/>
      <c r="QBO5" s="1304"/>
      <c r="QBP5" s="1304"/>
      <c r="QBQ5" s="1304"/>
      <c r="QBR5" s="1304"/>
      <c r="QBS5" s="1304"/>
      <c r="QBT5" s="1304"/>
      <c r="QBU5" s="1304"/>
      <c r="QBV5" s="1304"/>
      <c r="QBW5" s="1304"/>
      <c r="QBX5" s="1304"/>
      <c r="QBY5" s="1304"/>
      <c r="QBZ5" s="1304"/>
      <c r="QCA5" s="1304"/>
      <c r="QCB5" s="1304"/>
      <c r="QCC5" s="1304"/>
      <c r="QCD5" s="1304"/>
      <c r="QCE5" s="1304"/>
      <c r="QCF5" s="1304"/>
      <c r="QCG5" s="1304"/>
      <c r="QCH5" s="1304"/>
      <c r="QCI5" s="1304"/>
      <c r="QCJ5" s="1304"/>
      <c r="QCK5" s="1304"/>
      <c r="QCL5" s="1304"/>
      <c r="QCM5" s="1304"/>
      <c r="QCN5" s="1304"/>
      <c r="QCO5" s="1304"/>
      <c r="QCP5" s="1304"/>
      <c r="QCQ5" s="1304"/>
      <c r="QCR5" s="1304"/>
      <c r="QCS5" s="1304"/>
      <c r="QCT5" s="1304"/>
      <c r="QCU5" s="1304"/>
      <c r="QCV5" s="1304"/>
      <c r="QCW5" s="1304"/>
      <c r="QCX5" s="1304"/>
      <c r="QCY5" s="1304"/>
      <c r="QCZ5" s="1304"/>
      <c r="QDA5" s="1304"/>
      <c r="QDB5" s="1304"/>
      <c r="QDC5" s="1304"/>
      <c r="QDD5" s="1304"/>
      <c r="QDE5" s="1304"/>
      <c r="QDF5" s="1304"/>
      <c r="QDG5" s="1304"/>
      <c r="QDH5" s="1304"/>
      <c r="QDI5" s="1304"/>
      <c r="QDJ5" s="1304"/>
      <c r="QDK5" s="1304"/>
      <c r="QDL5" s="1304"/>
      <c r="QDM5" s="1304"/>
      <c r="QDN5" s="1304"/>
      <c r="QDO5" s="1304"/>
      <c r="QDP5" s="1304"/>
      <c r="QDQ5" s="1304"/>
      <c r="QDR5" s="1304"/>
      <c r="QDS5" s="1304"/>
      <c r="QDT5" s="1304"/>
      <c r="QDU5" s="1304"/>
      <c r="QDV5" s="1304"/>
      <c r="QDW5" s="1304"/>
      <c r="QDX5" s="1304"/>
      <c r="QDY5" s="1304"/>
      <c r="QDZ5" s="1304"/>
      <c r="QEA5" s="1304"/>
      <c r="QEB5" s="1304"/>
      <c r="QEC5" s="1304"/>
      <c r="QED5" s="1304"/>
      <c r="QEE5" s="1304"/>
      <c r="QEF5" s="1304"/>
      <c r="QEG5" s="1304"/>
      <c r="QEH5" s="1304"/>
      <c r="QEI5" s="1304"/>
      <c r="QEJ5" s="1304"/>
      <c r="QEK5" s="1304"/>
      <c r="QEL5" s="1304"/>
      <c r="QEM5" s="1304"/>
      <c r="QEN5" s="1304"/>
      <c r="QEO5" s="1304"/>
      <c r="QEP5" s="1304"/>
      <c r="QEQ5" s="1304"/>
      <c r="QER5" s="1304"/>
      <c r="QES5" s="1304"/>
      <c r="QET5" s="1304"/>
      <c r="QEU5" s="1304"/>
      <c r="QEV5" s="1304"/>
      <c r="QEW5" s="1304"/>
      <c r="QEX5" s="1304"/>
      <c r="QEY5" s="1304"/>
      <c r="QEZ5" s="1304"/>
      <c r="QFA5" s="1304"/>
      <c r="QFB5" s="1304"/>
      <c r="QFC5" s="1304"/>
      <c r="QFD5" s="1304"/>
      <c r="QFE5" s="1304"/>
      <c r="QFF5" s="1304"/>
      <c r="QFG5" s="1304"/>
      <c r="QFH5" s="1304"/>
      <c r="QFI5" s="1304"/>
      <c r="QFJ5" s="1304"/>
      <c r="QFK5" s="1304"/>
      <c r="QFL5" s="1304"/>
      <c r="QFM5" s="1304"/>
      <c r="QFN5" s="1304"/>
      <c r="QFO5" s="1304"/>
      <c r="QFP5" s="1304"/>
      <c r="QFQ5" s="1304"/>
      <c r="QFR5" s="1304"/>
      <c r="QFS5" s="1304"/>
      <c r="QFT5" s="1304"/>
      <c r="QFU5" s="1304"/>
      <c r="QFV5" s="1304"/>
      <c r="QFW5" s="1304"/>
      <c r="QFX5" s="1304"/>
      <c r="QFY5" s="1304"/>
      <c r="QFZ5" s="1304"/>
      <c r="QGA5" s="1304"/>
      <c r="QGB5" s="1304"/>
      <c r="QGC5" s="1304"/>
      <c r="QGD5" s="1304"/>
      <c r="QGE5" s="1304"/>
      <c r="QGF5" s="1304"/>
      <c r="QGG5" s="1304"/>
      <c r="QGH5" s="1304"/>
      <c r="QGI5" s="1304"/>
      <c r="QGJ5" s="1304"/>
      <c r="QGK5" s="1304"/>
      <c r="QGL5" s="1304"/>
      <c r="QGM5" s="1304"/>
      <c r="QGN5" s="1304"/>
      <c r="QGO5" s="1304"/>
      <c r="QGP5" s="1304"/>
      <c r="QGQ5" s="1304"/>
      <c r="QGR5" s="1304"/>
      <c r="QGS5" s="1304"/>
      <c r="QGT5" s="1304"/>
      <c r="QGU5" s="1304"/>
      <c r="QGV5" s="1304"/>
      <c r="QGW5" s="1304"/>
      <c r="QGX5" s="1304"/>
      <c r="QGY5" s="1304"/>
      <c r="QGZ5" s="1304"/>
      <c r="QHA5" s="1304"/>
      <c r="QHB5" s="1304"/>
      <c r="QHC5" s="1304"/>
      <c r="QHD5" s="1304"/>
      <c r="QHE5" s="1304"/>
      <c r="QHF5" s="1304"/>
      <c r="QHG5" s="1304"/>
      <c r="QHH5" s="1304"/>
      <c r="QHI5" s="1304"/>
      <c r="QHJ5" s="1304"/>
      <c r="QHK5" s="1304"/>
      <c r="QHL5" s="1304"/>
      <c r="QHM5" s="1304"/>
      <c r="QHN5" s="1304"/>
      <c r="QHO5" s="1304"/>
      <c r="QHP5" s="1304"/>
      <c r="QHQ5" s="1304"/>
      <c r="QHR5" s="1304"/>
      <c r="QHS5" s="1304"/>
      <c r="QHT5" s="1304"/>
      <c r="QHU5" s="1304"/>
      <c r="QHV5" s="1304"/>
      <c r="QHW5" s="1304"/>
      <c r="QHX5" s="1304"/>
      <c r="QHY5" s="1304"/>
      <c r="QHZ5" s="1304"/>
      <c r="QIA5" s="1304"/>
      <c r="QIB5" s="1304"/>
      <c r="QIC5" s="1304"/>
      <c r="QID5" s="1304"/>
      <c r="QIE5" s="1304"/>
      <c r="QIF5" s="1304"/>
      <c r="QIG5" s="1304"/>
      <c r="QIH5" s="1304"/>
      <c r="QII5" s="1304"/>
      <c r="QIJ5" s="1304"/>
      <c r="QIK5" s="1304"/>
      <c r="QIL5" s="1304"/>
      <c r="QIM5" s="1304"/>
      <c r="QIN5" s="1304"/>
      <c r="QIO5" s="1304"/>
      <c r="QIP5" s="1304"/>
      <c r="QIQ5" s="1304"/>
      <c r="QIR5" s="1304"/>
      <c r="QIS5" s="1304"/>
      <c r="QIT5" s="1304"/>
      <c r="QIU5" s="1304"/>
      <c r="QIV5" s="1304"/>
      <c r="QIW5" s="1304"/>
      <c r="QIX5" s="1304"/>
      <c r="QIY5" s="1304"/>
      <c r="QIZ5" s="1304"/>
      <c r="QJA5" s="1304"/>
      <c r="QJB5" s="1304"/>
      <c r="QJC5" s="1304"/>
      <c r="QJD5" s="1304"/>
      <c r="QJE5" s="1304"/>
      <c r="QJF5" s="1304"/>
      <c r="QJG5" s="1304"/>
      <c r="QJH5" s="1304"/>
      <c r="QJI5" s="1304"/>
      <c r="QJJ5" s="1304"/>
      <c r="QJK5" s="1304"/>
      <c r="QJL5" s="1304"/>
      <c r="QJM5" s="1304"/>
      <c r="QJN5" s="1304"/>
      <c r="QJO5" s="1304"/>
      <c r="QJP5" s="1304"/>
      <c r="QJQ5" s="1304"/>
      <c r="QJR5" s="1304"/>
      <c r="QJS5" s="1304"/>
      <c r="QJT5" s="1304"/>
      <c r="QJU5" s="1304"/>
      <c r="QJV5" s="1304"/>
      <c r="QJW5" s="1304"/>
      <c r="QJX5" s="1304"/>
      <c r="QJY5" s="1304"/>
      <c r="QJZ5" s="1304"/>
      <c r="QKA5" s="1304"/>
      <c r="QKB5" s="1304"/>
      <c r="QKC5" s="1304"/>
      <c r="QKD5" s="1304"/>
      <c r="QKE5" s="1304"/>
      <c r="QKF5" s="1304"/>
      <c r="QKG5" s="1304"/>
      <c r="QKH5" s="1304"/>
      <c r="QKI5" s="1304"/>
      <c r="QKJ5" s="1304"/>
      <c r="QKK5" s="1304"/>
      <c r="QKL5" s="1304"/>
      <c r="QKM5" s="1304"/>
      <c r="QKN5" s="1304"/>
      <c r="QKO5" s="1304"/>
      <c r="QKP5" s="1304"/>
      <c r="QKQ5" s="1304"/>
      <c r="QKR5" s="1304"/>
      <c r="QKS5" s="1304"/>
      <c r="QKT5" s="1304"/>
      <c r="QKU5" s="1304"/>
      <c r="QKV5" s="1304"/>
      <c r="QKW5" s="1304"/>
      <c r="QKX5" s="1304"/>
      <c r="QKY5" s="1304"/>
      <c r="QKZ5" s="1304"/>
      <c r="QLA5" s="1304"/>
      <c r="QLB5" s="1304"/>
      <c r="QLC5" s="1304"/>
      <c r="QLD5" s="1304"/>
      <c r="QLE5" s="1304"/>
      <c r="QLF5" s="1304"/>
      <c r="QLG5" s="1304"/>
      <c r="QLH5" s="1304"/>
      <c r="QLI5" s="1304"/>
      <c r="QLJ5" s="1304"/>
      <c r="QLK5" s="1304"/>
      <c r="QLL5" s="1304"/>
      <c r="QLM5" s="1304"/>
      <c r="QLN5" s="1304"/>
      <c r="QLO5" s="1304"/>
      <c r="QLP5" s="1304"/>
      <c r="QLQ5" s="1304"/>
      <c r="QLR5" s="1304"/>
      <c r="QLS5" s="1304"/>
      <c r="QLT5" s="1304"/>
      <c r="QLU5" s="1304"/>
      <c r="QLV5" s="1304"/>
      <c r="QLW5" s="1304"/>
      <c r="QLX5" s="1304"/>
      <c r="QLY5" s="1304"/>
      <c r="QLZ5" s="1304"/>
      <c r="QMA5" s="1304"/>
      <c r="QMB5" s="1304"/>
      <c r="QMC5" s="1304"/>
      <c r="QMD5" s="1304"/>
      <c r="QME5" s="1304"/>
      <c r="QMF5" s="1304"/>
      <c r="QMG5" s="1304"/>
      <c r="QMH5" s="1304"/>
      <c r="QMI5" s="1304"/>
      <c r="QMJ5" s="1304"/>
      <c r="QMK5" s="1304"/>
      <c r="QML5" s="1304"/>
      <c r="QMM5" s="1304"/>
      <c r="QMN5" s="1304"/>
      <c r="QMO5" s="1304"/>
      <c r="QMP5" s="1304"/>
      <c r="QMQ5" s="1304"/>
      <c r="QMR5" s="1304"/>
      <c r="QMS5" s="1304"/>
      <c r="QMT5" s="1304"/>
      <c r="QMU5" s="1304"/>
      <c r="QMV5" s="1304"/>
      <c r="QMW5" s="1304"/>
      <c r="QMX5" s="1304"/>
      <c r="QMY5" s="1304"/>
      <c r="QMZ5" s="1304"/>
      <c r="QNA5" s="1304"/>
      <c r="QNB5" s="1304"/>
      <c r="QNC5" s="1304"/>
      <c r="QND5" s="1304"/>
      <c r="QNE5" s="1304"/>
      <c r="QNF5" s="1304"/>
      <c r="QNG5" s="1304"/>
      <c r="QNH5" s="1304"/>
      <c r="QNI5" s="1304"/>
      <c r="QNJ5" s="1304"/>
      <c r="QNK5" s="1304"/>
      <c r="QNL5" s="1304"/>
      <c r="QNM5" s="1304"/>
      <c r="QNN5" s="1304"/>
      <c r="QNO5" s="1304"/>
      <c r="QNP5" s="1304"/>
      <c r="QNQ5" s="1304"/>
      <c r="QNR5" s="1304"/>
      <c r="QNS5" s="1304"/>
      <c r="QNT5" s="1304"/>
      <c r="QNU5" s="1304"/>
      <c r="QNV5" s="1304"/>
      <c r="QNW5" s="1304"/>
      <c r="QNX5" s="1304"/>
      <c r="QNY5" s="1304"/>
      <c r="QNZ5" s="1304"/>
      <c r="QOA5" s="1304"/>
      <c r="QOB5" s="1304"/>
      <c r="QOC5" s="1304"/>
      <c r="QOD5" s="1304"/>
      <c r="QOE5" s="1304"/>
      <c r="QOF5" s="1304"/>
      <c r="QOG5" s="1304"/>
      <c r="QOH5" s="1304"/>
      <c r="QOI5" s="1304"/>
      <c r="QOJ5" s="1304"/>
      <c r="QOK5" s="1304"/>
      <c r="QOL5" s="1304"/>
      <c r="QOM5" s="1304"/>
      <c r="QON5" s="1304"/>
      <c r="QOO5" s="1304"/>
      <c r="QOP5" s="1304"/>
      <c r="QOQ5" s="1304"/>
      <c r="QOR5" s="1304"/>
      <c r="QOS5" s="1304"/>
      <c r="QOT5" s="1304"/>
      <c r="QOU5" s="1304"/>
      <c r="QOV5" s="1304"/>
      <c r="QOW5" s="1304"/>
      <c r="QOX5" s="1304"/>
      <c r="QOY5" s="1304"/>
      <c r="QOZ5" s="1304"/>
      <c r="QPA5" s="1304"/>
      <c r="QPB5" s="1304"/>
      <c r="QPC5" s="1304"/>
      <c r="QPD5" s="1304"/>
      <c r="QPE5" s="1304"/>
      <c r="QPF5" s="1304"/>
      <c r="QPG5" s="1304"/>
      <c r="QPH5" s="1304"/>
      <c r="QPI5" s="1304"/>
      <c r="QPJ5" s="1304"/>
      <c r="QPK5" s="1304"/>
      <c r="QPL5" s="1304"/>
      <c r="QPM5" s="1304"/>
      <c r="QPN5" s="1304"/>
      <c r="QPO5" s="1304"/>
      <c r="QPP5" s="1304"/>
      <c r="QPQ5" s="1304"/>
      <c r="QPR5" s="1304"/>
      <c r="QPS5" s="1304"/>
      <c r="QPT5" s="1304"/>
      <c r="QPU5" s="1304"/>
      <c r="QPV5" s="1304"/>
      <c r="QPW5" s="1304"/>
      <c r="QPX5" s="1304"/>
      <c r="QPY5" s="1304"/>
      <c r="QPZ5" s="1304"/>
      <c r="QQA5" s="1304"/>
      <c r="QQB5" s="1304"/>
      <c r="QQC5" s="1304"/>
      <c r="QQD5" s="1304"/>
      <c r="QQE5" s="1304"/>
      <c r="QQF5" s="1304"/>
      <c r="QQG5" s="1304"/>
      <c r="QQH5" s="1304"/>
      <c r="QQI5" s="1304"/>
      <c r="QQJ5" s="1304"/>
      <c r="QQK5" s="1304"/>
      <c r="QQL5" s="1304"/>
      <c r="QQM5" s="1304"/>
      <c r="QQN5" s="1304"/>
      <c r="QQO5" s="1304"/>
      <c r="QQP5" s="1304"/>
      <c r="QQQ5" s="1304"/>
      <c r="QQR5" s="1304"/>
      <c r="QQS5" s="1304"/>
      <c r="QQT5" s="1304"/>
      <c r="QQU5" s="1304"/>
      <c r="QQV5" s="1304"/>
      <c r="QQW5" s="1304"/>
      <c r="QQX5" s="1304"/>
      <c r="QQY5" s="1304"/>
      <c r="QQZ5" s="1304"/>
      <c r="QRA5" s="1304"/>
      <c r="QRB5" s="1304"/>
      <c r="QRC5" s="1304"/>
      <c r="QRD5" s="1304"/>
      <c r="QRE5" s="1304"/>
      <c r="QRF5" s="1304"/>
      <c r="QRG5" s="1304"/>
      <c r="QRH5" s="1304"/>
      <c r="QRI5" s="1304"/>
      <c r="QRJ5" s="1304"/>
      <c r="QRK5" s="1304"/>
      <c r="QRL5" s="1304"/>
      <c r="QRM5" s="1304"/>
      <c r="QRN5" s="1304"/>
      <c r="QRO5" s="1304"/>
      <c r="QRP5" s="1304"/>
      <c r="QRQ5" s="1304"/>
      <c r="QRR5" s="1304"/>
      <c r="QRS5" s="1304"/>
      <c r="QRT5" s="1304"/>
      <c r="QRU5" s="1304"/>
      <c r="QRV5" s="1304"/>
      <c r="QRW5" s="1304"/>
      <c r="QRX5" s="1304"/>
      <c r="QRY5" s="1304"/>
      <c r="QRZ5" s="1304"/>
      <c r="QSA5" s="1304"/>
      <c r="QSB5" s="1304"/>
      <c r="QSC5" s="1304"/>
      <c r="QSD5" s="1304"/>
      <c r="QSE5" s="1304"/>
      <c r="QSF5" s="1304"/>
      <c r="QSG5" s="1304"/>
      <c r="QSH5" s="1304"/>
      <c r="QSI5" s="1304"/>
      <c r="QSJ5" s="1304"/>
      <c r="QSK5" s="1304"/>
      <c r="QSL5" s="1304"/>
      <c r="QSM5" s="1304"/>
      <c r="QSN5" s="1304"/>
      <c r="QSO5" s="1304"/>
      <c r="QSP5" s="1304"/>
      <c r="QSQ5" s="1304"/>
      <c r="QSR5" s="1304"/>
      <c r="QSS5" s="1304"/>
      <c r="QST5" s="1304"/>
      <c r="QSU5" s="1304"/>
      <c r="QSV5" s="1304"/>
      <c r="QSW5" s="1304"/>
      <c r="QSX5" s="1304"/>
      <c r="QSY5" s="1304"/>
      <c r="QSZ5" s="1304"/>
      <c r="QTA5" s="1304"/>
      <c r="QTB5" s="1304"/>
      <c r="QTC5" s="1304"/>
      <c r="QTD5" s="1304"/>
      <c r="QTE5" s="1304"/>
      <c r="QTF5" s="1304"/>
      <c r="QTG5" s="1304"/>
      <c r="QTH5" s="1304"/>
      <c r="QTI5" s="1304"/>
      <c r="QTJ5" s="1304"/>
      <c r="QTK5" s="1304"/>
      <c r="QTL5" s="1304"/>
      <c r="QTM5" s="1304"/>
      <c r="QTN5" s="1304"/>
      <c r="QTO5" s="1304"/>
      <c r="QTP5" s="1304"/>
      <c r="QTQ5" s="1304"/>
      <c r="QTR5" s="1304"/>
      <c r="QTS5" s="1304"/>
      <c r="QTT5" s="1304"/>
      <c r="QTU5" s="1304"/>
      <c r="QTV5" s="1304"/>
      <c r="QTW5" s="1304"/>
      <c r="QTX5" s="1304"/>
      <c r="QTY5" s="1304"/>
      <c r="QTZ5" s="1304"/>
      <c r="QUA5" s="1304"/>
      <c r="QUB5" s="1304"/>
      <c r="QUC5" s="1304"/>
      <c r="QUD5" s="1304"/>
      <c r="QUE5" s="1304"/>
      <c r="QUF5" s="1304"/>
      <c r="QUG5" s="1304"/>
      <c r="QUH5" s="1304"/>
      <c r="QUI5" s="1304"/>
      <c r="QUJ5" s="1304"/>
      <c r="QUK5" s="1304"/>
      <c r="QUL5" s="1304"/>
      <c r="QUM5" s="1304"/>
      <c r="QUN5" s="1304"/>
      <c r="QUO5" s="1304"/>
      <c r="QUP5" s="1304"/>
      <c r="QUQ5" s="1304"/>
      <c r="QUR5" s="1304"/>
      <c r="QUS5" s="1304"/>
      <c r="QUT5" s="1304"/>
      <c r="QUU5" s="1304"/>
      <c r="QUV5" s="1304"/>
      <c r="QUW5" s="1304"/>
      <c r="QUX5" s="1304"/>
      <c r="QUY5" s="1304"/>
      <c r="QUZ5" s="1304"/>
      <c r="QVA5" s="1304"/>
      <c r="QVB5" s="1304"/>
      <c r="QVC5" s="1304"/>
      <c r="QVD5" s="1304"/>
      <c r="QVE5" s="1304"/>
      <c r="QVF5" s="1304"/>
      <c r="QVG5" s="1304"/>
      <c r="QVH5" s="1304"/>
      <c r="QVI5" s="1304"/>
      <c r="QVJ5" s="1304"/>
      <c r="QVK5" s="1304"/>
      <c r="QVL5" s="1304"/>
      <c r="QVM5" s="1304"/>
      <c r="QVN5" s="1304"/>
      <c r="QVO5" s="1304"/>
      <c r="QVP5" s="1304"/>
      <c r="QVQ5" s="1304"/>
      <c r="QVR5" s="1304"/>
      <c r="QVS5" s="1304"/>
      <c r="QVT5" s="1304"/>
      <c r="QVU5" s="1304"/>
      <c r="QVV5" s="1304"/>
      <c r="QVW5" s="1304"/>
      <c r="QVX5" s="1304"/>
      <c r="QVY5" s="1304"/>
      <c r="QVZ5" s="1304"/>
      <c r="QWA5" s="1304"/>
      <c r="QWB5" s="1304"/>
      <c r="QWC5" s="1304"/>
      <c r="QWD5" s="1304"/>
      <c r="QWE5" s="1304"/>
      <c r="QWF5" s="1304"/>
      <c r="QWG5" s="1304"/>
      <c r="QWH5" s="1304"/>
      <c r="QWI5" s="1304"/>
      <c r="QWJ5" s="1304"/>
      <c r="QWK5" s="1304"/>
      <c r="QWL5" s="1304"/>
      <c r="QWM5" s="1304"/>
      <c r="QWN5" s="1304"/>
      <c r="QWO5" s="1304"/>
      <c r="QWP5" s="1304"/>
      <c r="QWQ5" s="1304"/>
      <c r="QWR5" s="1304"/>
      <c r="QWS5" s="1304"/>
      <c r="QWT5" s="1304"/>
      <c r="QWU5" s="1304"/>
      <c r="QWV5" s="1304"/>
      <c r="QWW5" s="1304"/>
      <c r="QWX5" s="1304"/>
      <c r="QWY5" s="1304"/>
      <c r="QWZ5" s="1304"/>
      <c r="QXA5" s="1304"/>
      <c r="QXB5" s="1304"/>
      <c r="QXC5" s="1304"/>
      <c r="QXD5" s="1304"/>
      <c r="QXE5" s="1304"/>
      <c r="QXF5" s="1304"/>
      <c r="QXG5" s="1304"/>
      <c r="QXH5" s="1304"/>
      <c r="QXI5" s="1304"/>
      <c r="QXJ5" s="1304"/>
      <c r="QXK5" s="1304"/>
      <c r="QXL5" s="1304"/>
      <c r="QXM5" s="1304"/>
      <c r="QXN5" s="1304"/>
      <c r="QXO5" s="1304"/>
      <c r="QXP5" s="1304"/>
      <c r="QXQ5" s="1304"/>
      <c r="QXR5" s="1304"/>
      <c r="QXS5" s="1304"/>
      <c r="QXT5" s="1304"/>
      <c r="QXU5" s="1304"/>
      <c r="QXV5" s="1304"/>
      <c r="QXW5" s="1304"/>
      <c r="QXX5" s="1304"/>
      <c r="QXY5" s="1304"/>
      <c r="QXZ5" s="1304"/>
      <c r="QYA5" s="1304"/>
      <c r="QYB5" s="1304"/>
      <c r="QYC5" s="1304"/>
      <c r="QYD5" s="1304"/>
      <c r="QYE5" s="1304"/>
      <c r="QYF5" s="1304"/>
      <c r="QYG5" s="1304"/>
      <c r="QYH5" s="1304"/>
      <c r="QYI5" s="1304"/>
      <c r="QYJ5" s="1304"/>
      <c r="QYK5" s="1304"/>
      <c r="QYL5" s="1304"/>
      <c r="QYM5" s="1304"/>
      <c r="QYN5" s="1304"/>
      <c r="QYO5" s="1304"/>
      <c r="QYP5" s="1304"/>
      <c r="QYQ5" s="1304"/>
      <c r="QYR5" s="1304"/>
      <c r="QYS5" s="1304"/>
      <c r="QYT5" s="1304"/>
      <c r="QYU5" s="1304"/>
      <c r="QYV5" s="1304"/>
      <c r="QYW5" s="1304"/>
      <c r="QYX5" s="1304"/>
      <c r="QYY5" s="1304"/>
      <c r="QYZ5" s="1304"/>
      <c r="QZA5" s="1304"/>
      <c r="QZB5" s="1304"/>
      <c r="QZC5" s="1304"/>
      <c r="QZD5" s="1304"/>
      <c r="QZE5" s="1304"/>
      <c r="QZF5" s="1304"/>
      <c r="QZG5" s="1304"/>
      <c r="QZH5" s="1304"/>
      <c r="QZI5" s="1304"/>
      <c r="QZJ5" s="1304"/>
      <c r="QZK5" s="1304"/>
      <c r="QZL5" s="1304"/>
      <c r="QZM5" s="1304"/>
      <c r="QZN5" s="1304"/>
      <c r="QZO5" s="1304"/>
      <c r="QZP5" s="1304"/>
      <c r="QZQ5" s="1304"/>
      <c r="QZR5" s="1304"/>
      <c r="QZS5" s="1304"/>
      <c r="QZT5" s="1304"/>
      <c r="QZU5" s="1304"/>
      <c r="QZV5" s="1304"/>
      <c r="QZW5" s="1304"/>
      <c r="QZX5" s="1304"/>
      <c r="QZY5" s="1304"/>
      <c r="QZZ5" s="1304"/>
      <c r="RAA5" s="1304"/>
      <c r="RAB5" s="1304"/>
      <c r="RAC5" s="1304"/>
      <c r="RAD5" s="1304"/>
      <c r="RAE5" s="1304"/>
      <c r="RAF5" s="1304"/>
      <c r="RAG5" s="1304"/>
      <c r="RAH5" s="1304"/>
      <c r="RAI5" s="1304"/>
      <c r="RAJ5" s="1304"/>
      <c r="RAK5" s="1304"/>
      <c r="RAL5" s="1304"/>
      <c r="RAM5" s="1304"/>
      <c r="RAN5" s="1304"/>
      <c r="RAO5" s="1304"/>
      <c r="RAP5" s="1304"/>
      <c r="RAQ5" s="1304"/>
      <c r="RAR5" s="1304"/>
      <c r="RAS5" s="1304"/>
      <c r="RAT5" s="1304"/>
      <c r="RAU5" s="1304"/>
      <c r="RAV5" s="1304"/>
      <c r="RAW5" s="1304"/>
      <c r="RAX5" s="1304"/>
      <c r="RAY5" s="1304"/>
      <c r="RAZ5" s="1304"/>
      <c r="RBA5" s="1304"/>
      <c r="RBB5" s="1304"/>
      <c r="RBC5" s="1304"/>
      <c r="RBD5" s="1304"/>
      <c r="RBE5" s="1304"/>
      <c r="RBF5" s="1304"/>
      <c r="RBG5" s="1304"/>
      <c r="RBH5" s="1304"/>
      <c r="RBI5" s="1304"/>
      <c r="RBJ5" s="1304"/>
      <c r="RBK5" s="1304"/>
      <c r="RBL5" s="1304"/>
      <c r="RBM5" s="1304"/>
      <c r="RBN5" s="1304"/>
      <c r="RBO5" s="1304"/>
      <c r="RBP5" s="1304"/>
      <c r="RBQ5" s="1304"/>
      <c r="RBR5" s="1304"/>
      <c r="RBS5" s="1304"/>
      <c r="RBT5" s="1304"/>
      <c r="RBU5" s="1304"/>
      <c r="RBV5" s="1304"/>
      <c r="RBW5" s="1304"/>
      <c r="RBX5" s="1304"/>
      <c r="RBY5" s="1304"/>
      <c r="RBZ5" s="1304"/>
      <c r="RCA5" s="1304"/>
      <c r="RCB5" s="1304"/>
      <c r="RCC5" s="1304"/>
      <c r="RCD5" s="1304"/>
      <c r="RCE5" s="1304"/>
      <c r="RCF5" s="1304"/>
      <c r="RCG5" s="1304"/>
      <c r="RCH5" s="1304"/>
      <c r="RCI5" s="1304"/>
      <c r="RCJ5" s="1304"/>
      <c r="RCK5" s="1304"/>
      <c r="RCL5" s="1304"/>
      <c r="RCM5" s="1304"/>
      <c r="RCN5" s="1304"/>
      <c r="RCO5" s="1304"/>
      <c r="RCP5" s="1304"/>
      <c r="RCQ5" s="1304"/>
      <c r="RCR5" s="1304"/>
      <c r="RCS5" s="1304"/>
      <c r="RCT5" s="1304"/>
      <c r="RCU5" s="1304"/>
      <c r="RCV5" s="1304"/>
      <c r="RCW5" s="1304"/>
      <c r="RCX5" s="1304"/>
      <c r="RCY5" s="1304"/>
      <c r="RCZ5" s="1304"/>
      <c r="RDA5" s="1304"/>
      <c r="RDB5" s="1304"/>
      <c r="RDC5" s="1304"/>
      <c r="RDD5" s="1304"/>
      <c r="RDE5" s="1304"/>
      <c r="RDF5" s="1304"/>
      <c r="RDG5" s="1304"/>
      <c r="RDH5" s="1304"/>
      <c r="RDI5" s="1304"/>
      <c r="RDJ5" s="1304"/>
      <c r="RDK5" s="1304"/>
      <c r="RDL5" s="1304"/>
      <c r="RDM5" s="1304"/>
      <c r="RDN5" s="1304"/>
      <c r="RDO5" s="1304"/>
      <c r="RDP5" s="1304"/>
      <c r="RDQ5" s="1304"/>
      <c r="RDR5" s="1304"/>
      <c r="RDS5" s="1304"/>
      <c r="RDT5" s="1304"/>
      <c r="RDU5" s="1304"/>
      <c r="RDV5" s="1304"/>
      <c r="RDW5" s="1304"/>
      <c r="RDX5" s="1304"/>
      <c r="RDY5" s="1304"/>
      <c r="RDZ5" s="1304"/>
      <c r="REA5" s="1304"/>
      <c r="REB5" s="1304"/>
      <c r="REC5" s="1304"/>
      <c r="RED5" s="1304"/>
      <c r="REE5" s="1304"/>
      <c r="REF5" s="1304"/>
      <c r="REG5" s="1304"/>
      <c r="REH5" s="1304"/>
      <c r="REI5" s="1304"/>
      <c r="REJ5" s="1304"/>
      <c r="REK5" s="1304"/>
      <c r="REL5" s="1304"/>
      <c r="REM5" s="1304"/>
      <c r="REN5" s="1304"/>
      <c r="REO5" s="1304"/>
      <c r="REP5" s="1304"/>
      <c r="REQ5" s="1304"/>
      <c r="RER5" s="1304"/>
      <c r="RES5" s="1304"/>
      <c r="RET5" s="1304"/>
      <c r="REU5" s="1304"/>
      <c r="REV5" s="1304"/>
      <c r="REW5" s="1304"/>
      <c r="REX5" s="1304"/>
      <c r="REY5" s="1304"/>
      <c r="REZ5" s="1304"/>
      <c r="RFA5" s="1304"/>
      <c r="RFB5" s="1304"/>
      <c r="RFC5" s="1304"/>
      <c r="RFD5" s="1304"/>
      <c r="RFE5" s="1304"/>
      <c r="RFF5" s="1304"/>
      <c r="RFG5" s="1304"/>
      <c r="RFH5" s="1304"/>
      <c r="RFI5" s="1304"/>
      <c r="RFJ5" s="1304"/>
      <c r="RFK5" s="1304"/>
      <c r="RFL5" s="1304"/>
      <c r="RFM5" s="1304"/>
      <c r="RFN5" s="1304"/>
      <c r="RFO5" s="1304"/>
      <c r="RFP5" s="1304"/>
      <c r="RFQ5" s="1304"/>
      <c r="RFR5" s="1304"/>
      <c r="RFS5" s="1304"/>
      <c r="RFT5" s="1304"/>
      <c r="RFU5" s="1304"/>
      <c r="RFV5" s="1304"/>
      <c r="RFW5" s="1304"/>
      <c r="RFX5" s="1304"/>
      <c r="RFY5" s="1304"/>
      <c r="RFZ5" s="1304"/>
      <c r="RGA5" s="1304"/>
      <c r="RGB5" s="1304"/>
      <c r="RGC5" s="1304"/>
      <c r="RGD5" s="1304"/>
      <c r="RGE5" s="1304"/>
      <c r="RGF5" s="1304"/>
      <c r="RGG5" s="1304"/>
      <c r="RGH5" s="1304"/>
      <c r="RGI5" s="1304"/>
      <c r="RGJ5" s="1304"/>
      <c r="RGK5" s="1304"/>
      <c r="RGL5" s="1304"/>
      <c r="RGM5" s="1304"/>
      <c r="RGN5" s="1304"/>
      <c r="RGO5" s="1304"/>
      <c r="RGP5" s="1304"/>
      <c r="RGQ5" s="1304"/>
      <c r="RGR5" s="1304"/>
      <c r="RGS5" s="1304"/>
      <c r="RGT5" s="1304"/>
      <c r="RGU5" s="1304"/>
      <c r="RGV5" s="1304"/>
      <c r="RGW5" s="1304"/>
      <c r="RGX5" s="1304"/>
      <c r="RGY5" s="1304"/>
      <c r="RGZ5" s="1304"/>
      <c r="RHA5" s="1304"/>
      <c r="RHB5" s="1304"/>
      <c r="RHC5" s="1304"/>
      <c r="RHD5" s="1304"/>
      <c r="RHE5" s="1304"/>
      <c r="RHF5" s="1304"/>
      <c r="RHG5" s="1304"/>
      <c r="RHH5" s="1304"/>
      <c r="RHI5" s="1304"/>
      <c r="RHJ5" s="1304"/>
      <c r="RHK5" s="1304"/>
      <c r="RHL5" s="1304"/>
      <c r="RHM5" s="1304"/>
      <c r="RHN5" s="1304"/>
      <c r="RHO5" s="1304"/>
      <c r="RHP5" s="1304"/>
      <c r="RHQ5" s="1304"/>
      <c r="RHR5" s="1304"/>
      <c r="RHS5" s="1304"/>
      <c r="RHT5" s="1304"/>
      <c r="RHU5" s="1304"/>
      <c r="RHV5" s="1304"/>
      <c r="RHW5" s="1304"/>
      <c r="RHX5" s="1304"/>
      <c r="RHY5" s="1304"/>
      <c r="RHZ5" s="1304"/>
      <c r="RIA5" s="1304"/>
      <c r="RIB5" s="1304"/>
      <c r="RIC5" s="1304"/>
      <c r="RID5" s="1304"/>
      <c r="RIE5" s="1304"/>
      <c r="RIF5" s="1304"/>
      <c r="RIG5" s="1304"/>
      <c r="RIH5" s="1304"/>
      <c r="RII5" s="1304"/>
      <c r="RIJ5" s="1304"/>
      <c r="RIK5" s="1304"/>
      <c r="RIL5" s="1304"/>
      <c r="RIM5" s="1304"/>
      <c r="RIN5" s="1304"/>
      <c r="RIO5" s="1304"/>
      <c r="RIP5" s="1304"/>
      <c r="RIQ5" s="1304"/>
      <c r="RIR5" s="1304"/>
      <c r="RIS5" s="1304"/>
      <c r="RIT5" s="1304"/>
      <c r="RIU5" s="1304"/>
      <c r="RIV5" s="1304"/>
      <c r="RIW5" s="1304"/>
      <c r="RIX5" s="1304"/>
      <c r="RIY5" s="1304"/>
      <c r="RIZ5" s="1304"/>
      <c r="RJA5" s="1304"/>
      <c r="RJB5" s="1304"/>
      <c r="RJC5" s="1304"/>
      <c r="RJD5" s="1304"/>
      <c r="RJE5" s="1304"/>
      <c r="RJF5" s="1304"/>
      <c r="RJG5" s="1304"/>
      <c r="RJH5" s="1304"/>
      <c r="RJI5" s="1304"/>
      <c r="RJJ5" s="1304"/>
      <c r="RJK5" s="1304"/>
      <c r="RJL5" s="1304"/>
      <c r="RJM5" s="1304"/>
      <c r="RJN5" s="1304"/>
      <c r="RJO5" s="1304"/>
      <c r="RJP5" s="1304"/>
      <c r="RJQ5" s="1304"/>
      <c r="RJR5" s="1304"/>
      <c r="RJS5" s="1304"/>
      <c r="RJT5" s="1304"/>
      <c r="RJU5" s="1304"/>
      <c r="RJV5" s="1304"/>
      <c r="RJW5" s="1304"/>
      <c r="RJX5" s="1304"/>
      <c r="RJY5" s="1304"/>
      <c r="RJZ5" s="1304"/>
      <c r="RKA5" s="1304"/>
      <c r="RKB5" s="1304"/>
      <c r="RKC5" s="1304"/>
      <c r="RKD5" s="1304"/>
      <c r="RKE5" s="1304"/>
      <c r="RKF5" s="1304"/>
      <c r="RKG5" s="1304"/>
      <c r="RKH5" s="1304"/>
      <c r="RKI5" s="1304"/>
      <c r="RKJ5" s="1304"/>
      <c r="RKK5" s="1304"/>
      <c r="RKL5" s="1304"/>
      <c r="RKM5" s="1304"/>
      <c r="RKN5" s="1304"/>
      <c r="RKO5" s="1304"/>
      <c r="RKP5" s="1304"/>
      <c r="RKQ5" s="1304"/>
      <c r="RKR5" s="1304"/>
      <c r="RKS5" s="1304"/>
      <c r="RKT5" s="1304"/>
      <c r="RKU5" s="1304"/>
      <c r="RKV5" s="1304"/>
      <c r="RKW5" s="1304"/>
      <c r="RKX5" s="1304"/>
      <c r="RKY5" s="1304"/>
      <c r="RKZ5" s="1304"/>
      <c r="RLA5" s="1304"/>
      <c r="RLB5" s="1304"/>
      <c r="RLC5" s="1304"/>
      <c r="RLD5" s="1304"/>
      <c r="RLE5" s="1304"/>
      <c r="RLF5" s="1304"/>
      <c r="RLG5" s="1304"/>
      <c r="RLH5" s="1304"/>
      <c r="RLI5" s="1304"/>
      <c r="RLJ5" s="1304"/>
      <c r="RLK5" s="1304"/>
      <c r="RLL5" s="1304"/>
      <c r="RLM5" s="1304"/>
      <c r="RLN5" s="1304"/>
      <c r="RLO5" s="1304"/>
      <c r="RLP5" s="1304"/>
      <c r="RLQ5" s="1304"/>
      <c r="RLR5" s="1304"/>
      <c r="RLS5" s="1304"/>
      <c r="RLT5" s="1304"/>
      <c r="RLU5" s="1304"/>
      <c r="RLV5" s="1304"/>
      <c r="RLW5" s="1304"/>
      <c r="RLX5" s="1304"/>
      <c r="RLY5" s="1304"/>
      <c r="RLZ5" s="1304"/>
      <c r="RMA5" s="1304"/>
      <c r="RMB5" s="1304"/>
      <c r="RMC5" s="1304"/>
      <c r="RMD5" s="1304"/>
      <c r="RME5" s="1304"/>
      <c r="RMF5" s="1304"/>
      <c r="RMG5" s="1304"/>
      <c r="RMH5" s="1304"/>
      <c r="RMI5" s="1304"/>
      <c r="RMJ5" s="1304"/>
      <c r="RMK5" s="1304"/>
      <c r="RML5" s="1304"/>
      <c r="RMM5" s="1304"/>
      <c r="RMN5" s="1304"/>
      <c r="RMO5" s="1304"/>
      <c r="RMP5" s="1304"/>
      <c r="RMQ5" s="1304"/>
      <c r="RMR5" s="1304"/>
      <c r="RMS5" s="1304"/>
      <c r="RMT5" s="1304"/>
      <c r="RMU5" s="1304"/>
      <c r="RMV5" s="1304"/>
      <c r="RMW5" s="1304"/>
      <c r="RMX5" s="1304"/>
      <c r="RMY5" s="1304"/>
      <c r="RMZ5" s="1304"/>
      <c r="RNA5" s="1304"/>
      <c r="RNB5" s="1304"/>
      <c r="RNC5" s="1304"/>
      <c r="RND5" s="1304"/>
      <c r="RNE5" s="1304"/>
      <c r="RNF5" s="1304"/>
      <c r="RNG5" s="1304"/>
      <c r="RNH5" s="1304"/>
      <c r="RNI5" s="1304"/>
      <c r="RNJ5" s="1304"/>
      <c r="RNK5" s="1304"/>
      <c r="RNL5" s="1304"/>
      <c r="RNM5" s="1304"/>
      <c r="RNN5" s="1304"/>
      <c r="RNO5" s="1304"/>
      <c r="RNP5" s="1304"/>
      <c r="RNQ5" s="1304"/>
      <c r="RNR5" s="1304"/>
      <c r="RNS5" s="1304"/>
      <c r="RNT5" s="1304"/>
      <c r="RNU5" s="1304"/>
      <c r="RNV5" s="1304"/>
      <c r="RNW5" s="1304"/>
      <c r="RNX5" s="1304"/>
      <c r="RNY5" s="1304"/>
      <c r="RNZ5" s="1304"/>
      <c r="ROA5" s="1304"/>
      <c r="ROB5" s="1304"/>
      <c r="ROC5" s="1304"/>
      <c r="ROD5" s="1304"/>
      <c r="ROE5" s="1304"/>
      <c r="ROF5" s="1304"/>
      <c r="ROG5" s="1304"/>
      <c r="ROH5" s="1304"/>
      <c r="ROI5" s="1304"/>
      <c r="ROJ5" s="1304"/>
      <c r="ROK5" s="1304"/>
      <c r="ROL5" s="1304"/>
      <c r="ROM5" s="1304"/>
      <c r="RON5" s="1304"/>
      <c r="ROO5" s="1304"/>
      <c r="ROP5" s="1304"/>
      <c r="ROQ5" s="1304"/>
      <c r="ROR5" s="1304"/>
      <c r="ROS5" s="1304"/>
      <c r="ROT5" s="1304"/>
      <c r="ROU5" s="1304"/>
      <c r="ROV5" s="1304"/>
      <c r="ROW5" s="1304"/>
      <c r="ROX5" s="1304"/>
      <c r="ROY5" s="1304"/>
      <c r="ROZ5" s="1304"/>
      <c r="RPA5" s="1304"/>
      <c r="RPB5" s="1304"/>
      <c r="RPC5" s="1304"/>
      <c r="RPD5" s="1304"/>
      <c r="RPE5" s="1304"/>
      <c r="RPF5" s="1304"/>
      <c r="RPG5" s="1304"/>
      <c r="RPH5" s="1304"/>
      <c r="RPI5" s="1304"/>
      <c r="RPJ5" s="1304"/>
      <c r="RPK5" s="1304"/>
      <c r="RPL5" s="1304"/>
      <c r="RPM5" s="1304"/>
      <c r="RPN5" s="1304"/>
      <c r="RPO5" s="1304"/>
      <c r="RPP5" s="1304"/>
      <c r="RPQ5" s="1304"/>
      <c r="RPR5" s="1304"/>
      <c r="RPS5" s="1304"/>
      <c r="RPT5" s="1304"/>
      <c r="RPU5" s="1304"/>
      <c r="RPV5" s="1304"/>
      <c r="RPW5" s="1304"/>
      <c r="RPX5" s="1304"/>
      <c r="RPY5" s="1304"/>
      <c r="RPZ5" s="1304"/>
      <c r="RQA5" s="1304"/>
      <c r="RQB5" s="1304"/>
      <c r="RQC5" s="1304"/>
      <c r="RQD5" s="1304"/>
      <c r="RQE5" s="1304"/>
      <c r="RQF5" s="1304"/>
      <c r="RQG5" s="1304"/>
      <c r="RQH5" s="1304"/>
      <c r="RQI5" s="1304"/>
      <c r="RQJ5" s="1304"/>
      <c r="RQK5" s="1304"/>
      <c r="RQL5" s="1304"/>
      <c r="RQM5" s="1304"/>
      <c r="RQN5" s="1304"/>
      <c r="RQO5" s="1304"/>
      <c r="RQP5" s="1304"/>
      <c r="RQQ5" s="1304"/>
      <c r="RQR5" s="1304"/>
      <c r="RQS5" s="1304"/>
      <c r="RQT5" s="1304"/>
      <c r="RQU5" s="1304"/>
      <c r="RQV5" s="1304"/>
      <c r="RQW5" s="1304"/>
      <c r="RQX5" s="1304"/>
      <c r="RQY5" s="1304"/>
      <c r="RQZ5" s="1304"/>
      <c r="RRA5" s="1304"/>
      <c r="RRB5" s="1304"/>
      <c r="RRC5" s="1304"/>
      <c r="RRD5" s="1304"/>
      <c r="RRE5" s="1304"/>
      <c r="RRF5" s="1304"/>
      <c r="RRG5" s="1304"/>
      <c r="RRH5" s="1304"/>
      <c r="RRI5" s="1304"/>
      <c r="RRJ5" s="1304"/>
      <c r="RRK5" s="1304"/>
      <c r="RRL5" s="1304"/>
      <c r="RRM5" s="1304"/>
      <c r="RRN5" s="1304"/>
      <c r="RRO5" s="1304"/>
      <c r="RRP5" s="1304"/>
      <c r="RRQ5" s="1304"/>
      <c r="RRR5" s="1304"/>
      <c r="RRS5" s="1304"/>
      <c r="RRT5" s="1304"/>
      <c r="RRU5" s="1304"/>
      <c r="RRV5" s="1304"/>
      <c r="RRW5" s="1304"/>
      <c r="RRX5" s="1304"/>
      <c r="RRY5" s="1304"/>
      <c r="RRZ5" s="1304"/>
      <c r="RSA5" s="1304"/>
      <c r="RSB5" s="1304"/>
      <c r="RSC5" s="1304"/>
      <c r="RSD5" s="1304"/>
      <c r="RSE5" s="1304"/>
      <c r="RSF5" s="1304"/>
      <c r="RSG5" s="1304"/>
      <c r="RSH5" s="1304"/>
      <c r="RSI5" s="1304"/>
      <c r="RSJ5" s="1304"/>
      <c r="RSK5" s="1304"/>
      <c r="RSL5" s="1304"/>
      <c r="RSM5" s="1304"/>
      <c r="RSN5" s="1304"/>
      <c r="RSO5" s="1304"/>
      <c r="RSP5" s="1304"/>
      <c r="RSQ5" s="1304"/>
      <c r="RSR5" s="1304"/>
      <c r="RSS5" s="1304"/>
      <c r="RST5" s="1304"/>
      <c r="RSU5" s="1304"/>
      <c r="RSV5" s="1304"/>
      <c r="RSW5" s="1304"/>
      <c r="RSX5" s="1304"/>
      <c r="RSY5" s="1304"/>
      <c r="RSZ5" s="1304"/>
      <c r="RTA5" s="1304"/>
      <c r="RTB5" s="1304"/>
      <c r="RTC5" s="1304"/>
      <c r="RTD5" s="1304"/>
      <c r="RTE5" s="1304"/>
      <c r="RTF5" s="1304"/>
      <c r="RTG5" s="1304"/>
      <c r="RTH5" s="1304"/>
      <c r="RTI5" s="1304"/>
      <c r="RTJ5" s="1304"/>
      <c r="RTK5" s="1304"/>
      <c r="RTL5" s="1304"/>
      <c r="RTM5" s="1304"/>
      <c r="RTN5" s="1304"/>
      <c r="RTO5" s="1304"/>
      <c r="RTP5" s="1304"/>
      <c r="RTQ5" s="1304"/>
      <c r="RTR5" s="1304"/>
      <c r="RTS5" s="1304"/>
      <c r="RTT5" s="1304"/>
      <c r="RTU5" s="1304"/>
      <c r="RTV5" s="1304"/>
      <c r="RTW5" s="1304"/>
      <c r="RTX5" s="1304"/>
      <c r="RTY5" s="1304"/>
      <c r="RTZ5" s="1304"/>
      <c r="RUA5" s="1304"/>
      <c r="RUB5" s="1304"/>
      <c r="RUC5" s="1304"/>
      <c r="RUD5" s="1304"/>
      <c r="RUE5" s="1304"/>
      <c r="RUF5" s="1304"/>
      <c r="RUG5" s="1304"/>
      <c r="RUH5" s="1304"/>
      <c r="RUI5" s="1304"/>
      <c r="RUJ5" s="1304"/>
      <c r="RUK5" s="1304"/>
      <c r="RUL5" s="1304"/>
      <c r="RUM5" s="1304"/>
      <c r="RUN5" s="1304"/>
      <c r="RUO5" s="1304"/>
      <c r="RUP5" s="1304"/>
      <c r="RUQ5" s="1304"/>
      <c r="RUR5" s="1304"/>
      <c r="RUS5" s="1304"/>
      <c r="RUT5" s="1304"/>
      <c r="RUU5" s="1304"/>
      <c r="RUV5" s="1304"/>
      <c r="RUW5" s="1304"/>
      <c r="RUX5" s="1304"/>
      <c r="RUY5" s="1304"/>
      <c r="RUZ5" s="1304"/>
      <c r="RVA5" s="1304"/>
      <c r="RVB5" s="1304"/>
      <c r="RVC5" s="1304"/>
      <c r="RVD5" s="1304"/>
      <c r="RVE5" s="1304"/>
      <c r="RVF5" s="1304"/>
      <c r="RVG5" s="1304"/>
      <c r="RVH5" s="1304"/>
      <c r="RVI5" s="1304"/>
      <c r="RVJ5" s="1304"/>
      <c r="RVK5" s="1304"/>
      <c r="RVL5" s="1304"/>
      <c r="RVM5" s="1304"/>
      <c r="RVN5" s="1304"/>
      <c r="RVO5" s="1304"/>
      <c r="RVP5" s="1304"/>
      <c r="RVQ5" s="1304"/>
      <c r="RVR5" s="1304"/>
      <c r="RVS5" s="1304"/>
      <c r="RVT5" s="1304"/>
      <c r="RVU5" s="1304"/>
      <c r="RVV5" s="1304"/>
      <c r="RVW5" s="1304"/>
      <c r="RVX5" s="1304"/>
      <c r="RVY5" s="1304"/>
      <c r="RVZ5" s="1304"/>
      <c r="RWA5" s="1304"/>
      <c r="RWB5" s="1304"/>
      <c r="RWC5" s="1304"/>
      <c r="RWD5" s="1304"/>
      <c r="RWE5" s="1304"/>
      <c r="RWF5" s="1304"/>
      <c r="RWG5" s="1304"/>
      <c r="RWH5" s="1304"/>
      <c r="RWI5" s="1304"/>
      <c r="RWJ5" s="1304"/>
      <c r="RWK5" s="1304"/>
      <c r="RWL5" s="1304"/>
      <c r="RWM5" s="1304"/>
      <c r="RWN5" s="1304"/>
      <c r="RWO5" s="1304"/>
      <c r="RWP5" s="1304"/>
      <c r="RWQ5" s="1304"/>
      <c r="RWR5" s="1304"/>
      <c r="RWS5" s="1304"/>
      <c r="RWT5" s="1304"/>
      <c r="RWU5" s="1304"/>
      <c r="RWV5" s="1304"/>
      <c r="RWW5" s="1304"/>
      <c r="RWX5" s="1304"/>
      <c r="RWY5" s="1304"/>
      <c r="RWZ5" s="1304"/>
      <c r="RXA5" s="1304"/>
      <c r="RXB5" s="1304"/>
      <c r="RXC5" s="1304"/>
      <c r="RXD5" s="1304"/>
      <c r="RXE5" s="1304"/>
      <c r="RXF5" s="1304"/>
      <c r="RXG5" s="1304"/>
      <c r="RXH5" s="1304"/>
      <c r="RXI5" s="1304"/>
      <c r="RXJ5" s="1304"/>
      <c r="RXK5" s="1304"/>
      <c r="RXL5" s="1304"/>
      <c r="RXM5" s="1304"/>
      <c r="RXN5" s="1304"/>
      <c r="RXO5" s="1304"/>
      <c r="RXP5" s="1304"/>
      <c r="RXQ5" s="1304"/>
      <c r="RXR5" s="1304"/>
      <c r="RXS5" s="1304"/>
      <c r="RXT5" s="1304"/>
      <c r="RXU5" s="1304"/>
      <c r="RXV5" s="1304"/>
      <c r="RXW5" s="1304"/>
      <c r="RXX5" s="1304"/>
      <c r="RXY5" s="1304"/>
      <c r="RXZ5" s="1304"/>
      <c r="RYA5" s="1304"/>
      <c r="RYB5" s="1304"/>
      <c r="RYC5" s="1304"/>
      <c r="RYD5" s="1304"/>
      <c r="RYE5" s="1304"/>
      <c r="RYF5" s="1304"/>
      <c r="RYG5" s="1304"/>
      <c r="RYH5" s="1304"/>
      <c r="RYI5" s="1304"/>
      <c r="RYJ5" s="1304"/>
      <c r="RYK5" s="1304"/>
      <c r="RYL5" s="1304"/>
      <c r="RYM5" s="1304"/>
      <c r="RYN5" s="1304"/>
      <c r="RYO5" s="1304"/>
      <c r="RYP5" s="1304"/>
      <c r="RYQ5" s="1304"/>
      <c r="RYR5" s="1304"/>
      <c r="RYS5" s="1304"/>
      <c r="RYT5" s="1304"/>
      <c r="RYU5" s="1304"/>
      <c r="RYV5" s="1304"/>
      <c r="RYW5" s="1304"/>
      <c r="RYX5" s="1304"/>
      <c r="RYY5" s="1304"/>
      <c r="RYZ5" s="1304"/>
      <c r="RZA5" s="1304"/>
      <c r="RZB5" s="1304"/>
      <c r="RZC5" s="1304"/>
      <c r="RZD5" s="1304"/>
      <c r="RZE5" s="1304"/>
      <c r="RZF5" s="1304"/>
      <c r="RZG5" s="1304"/>
      <c r="RZH5" s="1304"/>
      <c r="RZI5" s="1304"/>
      <c r="RZJ5" s="1304"/>
      <c r="RZK5" s="1304"/>
      <c r="RZL5" s="1304"/>
      <c r="RZM5" s="1304"/>
      <c r="RZN5" s="1304"/>
      <c r="RZO5" s="1304"/>
      <c r="RZP5" s="1304"/>
      <c r="RZQ5" s="1304"/>
      <c r="RZR5" s="1304"/>
      <c r="RZS5" s="1304"/>
      <c r="RZT5" s="1304"/>
      <c r="RZU5" s="1304"/>
      <c r="RZV5" s="1304"/>
      <c r="RZW5" s="1304"/>
      <c r="RZX5" s="1304"/>
      <c r="RZY5" s="1304"/>
      <c r="RZZ5" s="1304"/>
      <c r="SAA5" s="1304"/>
      <c r="SAB5" s="1304"/>
      <c r="SAC5" s="1304"/>
      <c r="SAD5" s="1304"/>
      <c r="SAE5" s="1304"/>
      <c r="SAF5" s="1304"/>
      <c r="SAG5" s="1304"/>
      <c r="SAH5" s="1304"/>
      <c r="SAI5" s="1304"/>
      <c r="SAJ5" s="1304"/>
      <c r="SAK5" s="1304"/>
      <c r="SAL5" s="1304"/>
      <c r="SAM5" s="1304"/>
      <c r="SAN5" s="1304"/>
      <c r="SAO5" s="1304"/>
      <c r="SAP5" s="1304"/>
      <c r="SAQ5" s="1304"/>
      <c r="SAR5" s="1304"/>
      <c r="SAS5" s="1304"/>
      <c r="SAT5" s="1304"/>
      <c r="SAU5" s="1304"/>
      <c r="SAV5" s="1304"/>
      <c r="SAW5" s="1304"/>
      <c r="SAX5" s="1304"/>
      <c r="SAY5" s="1304"/>
      <c r="SAZ5" s="1304"/>
      <c r="SBA5" s="1304"/>
      <c r="SBB5" s="1304"/>
      <c r="SBC5" s="1304"/>
      <c r="SBD5" s="1304"/>
      <c r="SBE5" s="1304"/>
      <c r="SBF5" s="1304"/>
      <c r="SBG5" s="1304"/>
      <c r="SBH5" s="1304"/>
      <c r="SBI5" s="1304"/>
      <c r="SBJ5" s="1304"/>
      <c r="SBK5" s="1304"/>
      <c r="SBL5" s="1304"/>
      <c r="SBM5" s="1304"/>
      <c r="SBN5" s="1304"/>
      <c r="SBO5" s="1304"/>
      <c r="SBP5" s="1304"/>
      <c r="SBQ5" s="1304"/>
      <c r="SBR5" s="1304"/>
      <c r="SBS5" s="1304"/>
      <c r="SBT5" s="1304"/>
      <c r="SBU5" s="1304"/>
      <c r="SBV5" s="1304"/>
      <c r="SBW5" s="1304"/>
      <c r="SBX5" s="1304"/>
      <c r="SBY5" s="1304"/>
      <c r="SBZ5" s="1304"/>
      <c r="SCA5" s="1304"/>
      <c r="SCB5" s="1304"/>
      <c r="SCC5" s="1304"/>
      <c r="SCD5" s="1304"/>
      <c r="SCE5" s="1304"/>
      <c r="SCF5" s="1304"/>
      <c r="SCG5" s="1304"/>
      <c r="SCH5" s="1304"/>
      <c r="SCI5" s="1304"/>
      <c r="SCJ5" s="1304"/>
      <c r="SCK5" s="1304"/>
      <c r="SCL5" s="1304"/>
      <c r="SCM5" s="1304"/>
      <c r="SCN5" s="1304"/>
      <c r="SCO5" s="1304"/>
      <c r="SCP5" s="1304"/>
      <c r="SCQ5" s="1304"/>
      <c r="SCR5" s="1304"/>
      <c r="SCS5" s="1304"/>
      <c r="SCT5" s="1304"/>
      <c r="SCU5" s="1304"/>
      <c r="SCV5" s="1304"/>
      <c r="SCW5" s="1304"/>
      <c r="SCX5" s="1304"/>
      <c r="SCY5" s="1304"/>
      <c r="SCZ5" s="1304"/>
      <c r="SDA5" s="1304"/>
      <c r="SDB5" s="1304"/>
      <c r="SDC5" s="1304"/>
      <c r="SDD5" s="1304"/>
      <c r="SDE5" s="1304"/>
      <c r="SDF5" s="1304"/>
      <c r="SDG5" s="1304"/>
      <c r="SDH5" s="1304"/>
      <c r="SDI5" s="1304"/>
      <c r="SDJ5" s="1304"/>
      <c r="SDK5" s="1304"/>
      <c r="SDL5" s="1304"/>
      <c r="SDM5" s="1304"/>
      <c r="SDN5" s="1304"/>
      <c r="SDO5" s="1304"/>
      <c r="SDP5" s="1304"/>
      <c r="SDQ5" s="1304"/>
      <c r="SDR5" s="1304"/>
      <c r="SDS5" s="1304"/>
      <c r="SDT5" s="1304"/>
      <c r="SDU5" s="1304"/>
      <c r="SDV5" s="1304"/>
      <c r="SDW5" s="1304"/>
      <c r="SDX5" s="1304"/>
      <c r="SDY5" s="1304"/>
      <c r="SDZ5" s="1304"/>
      <c r="SEA5" s="1304"/>
      <c r="SEB5" s="1304"/>
      <c r="SEC5" s="1304"/>
      <c r="SED5" s="1304"/>
      <c r="SEE5" s="1304"/>
      <c r="SEF5" s="1304"/>
      <c r="SEG5" s="1304"/>
      <c r="SEH5" s="1304"/>
      <c r="SEI5" s="1304"/>
      <c r="SEJ5" s="1304"/>
      <c r="SEK5" s="1304"/>
      <c r="SEL5" s="1304"/>
      <c r="SEM5" s="1304"/>
      <c r="SEN5" s="1304"/>
      <c r="SEO5" s="1304"/>
      <c r="SEP5" s="1304"/>
      <c r="SEQ5" s="1304"/>
      <c r="SER5" s="1304"/>
      <c r="SES5" s="1304"/>
      <c r="SET5" s="1304"/>
      <c r="SEU5" s="1304"/>
      <c r="SEV5" s="1304"/>
      <c r="SEW5" s="1304"/>
      <c r="SEX5" s="1304"/>
      <c r="SEY5" s="1304"/>
      <c r="SEZ5" s="1304"/>
      <c r="SFA5" s="1304"/>
      <c r="SFB5" s="1304"/>
      <c r="SFC5" s="1304"/>
      <c r="SFD5" s="1304"/>
      <c r="SFE5" s="1304"/>
      <c r="SFF5" s="1304"/>
      <c r="SFG5" s="1304"/>
      <c r="SFH5" s="1304"/>
      <c r="SFI5" s="1304"/>
      <c r="SFJ5" s="1304"/>
      <c r="SFK5" s="1304"/>
      <c r="SFL5" s="1304"/>
      <c r="SFM5" s="1304"/>
      <c r="SFN5" s="1304"/>
      <c r="SFO5" s="1304"/>
      <c r="SFP5" s="1304"/>
      <c r="SFQ5" s="1304"/>
      <c r="SFR5" s="1304"/>
      <c r="SFS5" s="1304"/>
      <c r="SFT5" s="1304"/>
      <c r="SFU5" s="1304"/>
      <c r="SFV5" s="1304"/>
      <c r="SFW5" s="1304"/>
      <c r="SFX5" s="1304"/>
      <c r="SFY5" s="1304"/>
      <c r="SFZ5" s="1304"/>
      <c r="SGA5" s="1304"/>
      <c r="SGB5" s="1304"/>
      <c r="SGC5" s="1304"/>
      <c r="SGD5" s="1304"/>
      <c r="SGE5" s="1304"/>
      <c r="SGF5" s="1304"/>
      <c r="SGG5" s="1304"/>
      <c r="SGH5" s="1304"/>
      <c r="SGI5" s="1304"/>
      <c r="SGJ5" s="1304"/>
      <c r="SGK5" s="1304"/>
      <c r="SGL5" s="1304"/>
      <c r="SGM5" s="1304"/>
      <c r="SGN5" s="1304"/>
      <c r="SGO5" s="1304"/>
      <c r="SGP5" s="1304"/>
      <c r="SGQ5" s="1304"/>
      <c r="SGR5" s="1304"/>
      <c r="SGS5" s="1304"/>
      <c r="SGT5" s="1304"/>
      <c r="SGU5" s="1304"/>
      <c r="SGV5" s="1304"/>
      <c r="SGW5" s="1304"/>
      <c r="SGX5" s="1304"/>
      <c r="SGY5" s="1304"/>
      <c r="SGZ5" s="1304"/>
      <c r="SHA5" s="1304"/>
      <c r="SHB5" s="1304"/>
      <c r="SHC5" s="1304"/>
      <c r="SHD5" s="1304"/>
      <c r="SHE5" s="1304"/>
      <c r="SHF5" s="1304"/>
      <c r="SHG5" s="1304"/>
      <c r="SHH5" s="1304"/>
      <c r="SHI5" s="1304"/>
      <c r="SHJ5" s="1304"/>
      <c r="SHK5" s="1304"/>
      <c r="SHL5" s="1304"/>
      <c r="SHM5" s="1304"/>
      <c r="SHN5" s="1304"/>
      <c r="SHO5" s="1304"/>
      <c r="SHP5" s="1304"/>
      <c r="SHQ5" s="1304"/>
      <c r="SHR5" s="1304"/>
      <c r="SHS5" s="1304"/>
      <c r="SHT5" s="1304"/>
      <c r="SHU5" s="1304"/>
      <c r="SHV5" s="1304"/>
      <c r="SHW5" s="1304"/>
      <c r="SHX5" s="1304"/>
      <c r="SHY5" s="1304"/>
      <c r="SHZ5" s="1304"/>
      <c r="SIA5" s="1304"/>
      <c r="SIB5" s="1304"/>
      <c r="SIC5" s="1304"/>
      <c r="SID5" s="1304"/>
      <c r="SIE5" s="1304"/>
      <c r="SIF5" s="1304"/>
      <c r="SIG5" s="1304"/>
      <c r="SIH5" s="1304"/>
      <c r="SII5" s="1304"/>
      <c r="SIJ5" s="1304"/>
      <c r="SIK5" s="1304"/>
      <c r="SIL5" s="1304"/>
      <c r="SIM5" s="1304"/>
      <c r="SIN5" s="1304"/>
      <c r="SIO5" s="1304"/>
      <c r="SIP5" s="1304"/>
      <c r="SIQ5" s="1304"/>
      <c r="SIR5" s="1304"/>
      <c r="SIS5" s="1304"/>
      <c r="SIT5" s="1304"/>
      <c r="SIU5" s="1304"/>
      <c r="SIV5" s="1304"/>
      <c r="SIW5" s="1304"/>
      <c r="SIX5" s="1304"/>
      <c r="SIY5" s="1304"/>
      <c r="SIZ5" s="1304"/>
      <c r="SJA5" s="1304"/>
      <c r="SJB5" s="1304"/>
      <c r="SJC5" s="1304"/>
      <c r="SJD5" s="1304"/>
      <c r="SJE5" s="1304"/>
      <c r="SJF5" s="1304"/>
      <c r="SJG5" s="1304"/>
      <c r="SJH5" s="1304"/>
      <c r="SJI5" s="1304"/>
      <c r="SJJ5" s="1304"/>
      <c r="SJK5" s="1304"/>
      <c r="SJL5" s="1304"/>
      <c r="SJM5" s="1304"/>
      <c r="SJN5" s="1304"/>
      <c r="SJO5" s="1304"/>
      <c r="SJP5" s="1304"/>
      <c r="SJQ5" s="1304"/>
      <c r="SJR5" s="1304"/>
      <c r="SJS5" s="1304"/>
      <c r="SJT5" s="1304"/>
      <c r="SJU5" s="1304"/>
      <c r="SJV5" s="1304"/>
      <c r="SJW5" s="1304"/>
      <c r="SJX5" s="1304"/>
      <c r="SJY5" s="1304"/>
      <c r="SJZ5" s="1304"/>
      <c r="SKA5" s="1304"/>
      <c r="SKB5" s="1304"/>
      <c r="SKC5" s="1304"/>
      <c r="SKD5" s="1304"/>
      <c r="SKE5" s="1304"/>
      <c r="SKF5" s="1304"/>
      <c r="SKG5" s="1304"/>
      <c r="SKH5" s="1304"/>
      <c r="SKI5" s="1304"/>
      <c r="SKJ5" s="1304"/>
      <c r="SKK5" s="1304"/>
      <c r="SKL5" s="1304"/>
      <c r="SKM5" s="1304"/>
      <c r="SKN5" s="1304"/>
      <c r="SKO5" s="1304"/>
      <c r="SKP5" s="1304"/>
      <c r="SKQ5" s="1304"/>
      <c r="SKR5" s="1304"/>
      <c r="SKS5" s="1304"/>
      <c r="SKT5" s="1304"/>
      <c r="SKU5" s="1304"/>
      <c r="SKV5" s="1304"/>
      <c r="SKW5" s="1304"/>
      <c r="SKX5" s="1304"/>
      <c r="SKY5" s="1304"/>
      <c r="SKZ5" s="1304"/>
      <c r="SLA5" s="1304"/>
      <c r="SLB5" s="1304"/>
      <c r="SLC5" s="1304"/>
      <c r="SLD5" s="1304"/>
      <c r="SLE5" s="1304"/>
      <c r="SLF5" s="1304"/>
      <c r="SLG5" s="1304"/>
      <c r="SLH5" s="1304"/>
      <c r="SLI5" s="1304"/>
      <c r="SLJ5" s="1304"/>
      <c r="SLK5" s="1304"/>
      <c r="SLL5" s="1304"/>
      <c r="SLM5" s="1304"/>
      <c r="SLN5" s="1304"/>
      <c r="SLO5" s="1304"/>
      <c r="SLP5" s="1304"/>
      <c r="SLQ5" s="1304"/>
      <c r="SLR5" s="1304"/>
      <c r="SLS5" s="1304"/>
      <c r="SLT5" s="1304"/>
      <c r="SLU5" s="1304"/>
      <c r="SLV5" s="1304"/>
      <c r="SLW5" s="1304"/>
      <c r="SLX5" s="1304"/>
      <c r="SLY5" s="1304"/>
      <c r="SLZ5" s="1304"/>
      <c r="SMA5" s="1304"/>
      <c r="SMB5" s="1304"/>
      <c r="SMC5" s="1304"/>
      <c r="SMD5" s="1304"/>
      <c r="SME5" s="1304"/>
      <c r="SMF5" s="1304"/>
      <c r="SMG5" s="1304"/>
      <c r="SMH5" s="1304"/>
      <c r="SMI5" s="1304"/>
      <c r="SMJ5" s="1304"/>
      <c r="SMK5" s="1304"/>
      <c r="SML5" s="1304"/>
      <c r="SMM5" s="1304"/>
      <c r="SMN5" s="1304"/>
      <c r="SMO5" s="1304"/>
      <c r="SMP5" s="1304"/>
      <c r="SMQ5" s="1304"/>
      <c r="SMR5" s="1304"/>
      <c r="SMS5" s="1304"/>
      <c r="SMT5" s="1304"/>
      <c r="SMU5" s="1304"/>
      <c r="SMV5" s="1304"/>
      <c r="SMW5" s="1304"/>
      <c r="SMX5" s="1304"/>
      <c r="SMY5" s="1304"/>
      <c r="SMZ5" s="1304"/>
      <c r="SNA5" s="1304"/>
      <c r="SNB5" s="1304"/>
      <c r="SNC5" s="1304"/>
      <c r="SND5" s="1304"/>
      <c r="SNE5" s="1304"/>
      <c r="SNF5" s="1304"/>
      <c r="SNG5" s="1304"/>
      <c r="SNH5" s="1304"/>
      <c r="SNI5" s="1304"/>
      <c r="SNJ5" s="1304"/>
      <c r="SNK5" s="1304"/>
      <c r="SNL5" s="1304"/>
      <c r="SNM5" s="1304"/>
      <c r="SNN5" s="1304"/>
      <c r="SNO5" s="1304"/>
      <c r="SNP5" s="1304"/>
      <c r="SNQ5" s="1304"/>
      <c r="SNR5" s="1304"/>
      <c r="SNS5" s="1304"/>
      <c r="SNT5" s="1304"/>
      <c r="SNU5" s="1304"/>
      <c r="SNV5" s="1304"/>
      <c r="SNW5" s="1304"/>
      <c r="SNX5" s="1304"/>
      <c r="SNY5" s="1304"/>
      <c r="SNZ5" s="1304"/>
      <c r="SOA5" s="1304"/>
      <c r="SOB5" s="1304"/>
      <c r="SOC5" s="1304"/>
      <c r="SOD5" s="1304"/>
      <c r="SOE5" s="1304"/>
      <c r="SOF5" s="1304"/>
      <c r="SOG5" s="1304"/>
      <c r="SOH5" s="1304"/>
      <c r="SOI5" s="1304"/>
      <c r="SOJ5" s="1304"/>
      <c r="SOK5" s="1304"/>
      <c r="SOL5" s="1304"/>
      <c r="SOM5" s="1304"/>
      <c r="SON5" s="1304"/>
      <c r="SOO5" s="1304"/>
      <c r="SOP5" s="1304"/>
      <c r="SOQ5" s="1304"/>
      <c r="SOR5" s="1304"/>
      <c r="SOS5" s="1304"/>
      <c r="SOT5" s="1304"/>
      <c r="SOU5" s="1304"/>
      <c r="SOV5" s="1304"/>
      <c r="SOW5" s="1304"/>
      <c r="SOX5" s="1304"/>
      <c r="SOY5" s="1304"/>
      <c r="SOZ5" s="1304"/>
      <c r="SPA5" s="1304"/>
      <c r="SPB5" s="1304"/>
      <c r="SPC5" s="1304"/>
      <c r="SPD5" s="1304"/>
      <c r="SPE5" s="1304"/>
      <c r="SPF5" s="1304"/>
      <c r="SPG5" s="1304"/>
      <c r="SPH5" s="1304"/>
      <c r="SPI5" s="1304"/>
      <c r="SPJ5" s="1304"/>
      <c r="SPK5" s="1304"/>
      <c r="SPL5" s="1304"/>
      <c r="SPM5" s="1304"/>
      <c r="SPN5" s="1304"/>
      <c r="SPO5" s="1304"/>
      <c r="SPP5" s="1304"/>
      <c r="SPQ5" s="1304"/>
      <c r="SPR5" s="1304"/>
      <c r="SPS5" s="1304"/>
      <c r="SPT5" s="1304"/>
      <c r="SPU5" s="1304"/>
      <c r="SPV5" s="1304"/>
      <c r="SPW5" s="1304"/>
      <c r="SPX5" s="1304"/>
      <c r="SPY5" s="1304"/>
      <c r="SPZ5" s="1304"/>
      <c r="SQA5" s="1304"/>
      <c r="SQB5" s="1304"/>
      <c r="SQC5" s="1304"/>
      <c r="SQD5" s="1304"/>
      <c r="SQE5" s="1304"/>
      <c r="SQF5" s="1304"/>
      <c r="SQG5" s="1304"/>
      <c r="SQH5" s="1304"/>
      <c r="SQI5" s="1304"/>
      <c r="SQJ5" s="1304"/>
      <c r="SQK5" s="1304"/>
      <c r="SQL5" s="1304"/>
      <c r="SQM5" s="1304"/>
      <c r="SQN5" s="1304"/>
      <c r="SQO5" s="1304"/>
      <c r="SQP5" s="1304"/>
      <c r="SQQ5" s="1304"/>
      <c r="SQR5" s="1304"/>
      <c r="SQS5" s="1304"/>
      <c r="SQT5" s="1304"/>
      <c r="SQU5" s="1304"/>
      <c r="SQV5" s="1304"/>
      <c r="SQW5" s="1304"/>
      <c r="SQX5" s="1304"/>
      <c r="SQY5" s="1304"/>
      <c r="SQZ5" s="1304"/>
      <c r="SRA5" s="1304"/>
      <c r="SRB5" s="1304"/>
      <c r="SRC5" s="1304"/>
      <c r="SRD5" s="1304"/>
      <c r="SRE5" s="1304"/>
      <c r="SRF5" s="1304"/>
      <c r="SRG5" s="1304"/>
      <c r="SRH5" s="1304"/>
      <c r="SRI5" s="1304"/>
      <c r="SRJ5" s="1304"/>
      <c r="SRK5" s="1304"/>
      <c r="SRL5" s="1304"/>
      <c r="SRM5" s="1304"/>
      <c r="SRN5" s="1304"/>
      <c r="SRO5" s="1304"/>
      <c r="SRP5" s="1304"/>
      <c r="SRQ5" s="1304"/>
      <c r="SRR5" s="1304"/>
      <c r="SRS5" s="1304"/>
      <c r="SRT5" s="1304"/>
      <c r="SRU5" s="1304"/>
      <c r="SRV5" s="1304"/>
      <c r="SRW5" s="1304"/>
      <c r="SRX5" s="1304"/>
      <c r="SRY5" s="1304"/>
      <c r="SRZ5" s="1304"/>
      <c r="SSA5" s="1304"/>
      <c r="SSB5" s="1304"/>
      <c r="SSC5" s="1304"/>
      <c r="SSD5" s="1304"/>
      <c r="SSE5" s="1304"/>
      <c r="SSF5" s="1304"/>
      <c r="SSG5" s="1304"/>
      <c r="SSH5" s="1304"/>
      <c r="SSI5" s="1304"/>
      <c r="SSJ5" s="1304"/>
      <c r="SSK5" s="1304"/>
      <c r="SSL5" s="1304"/>
      <c r="SSM5" s="1304"/>
      <c r="SSN5" s="1304"/>
      <c r="SSO5" s="1304"/>
      <c r="SSP5" s="1304"/>
      <c r="SSQ5" s="1304"/>
      <c r="SSR5" s="1304"/>
      <c r="SSS5" s="1304"/>
      <c r="SST5" s="1304"/>
      <c r="SSU5" s="1304"/>
      <c r="SSV5" s="1304"/>
      <c r="SSW5" s="1304"/>
      <c r="SSX5" s="1304"/>
      <c r="SSY5" s="1304"/>
      <c r="SSZ5" s="1304"/>
      <c r="STA5" s="1304"/>
      <c r="STB5" s="1304"/>
      <c r="STC5" s="1304"/>
      <c r="STD5" s="1304"/>
      <c r="STE5" s="1304"/>
      <c r="STF5" s="1304"/>
      <c r="STG5" s="1304"/>
      <c r="STH5" s="1304"/>
      <c r="STI5" s="1304"/>
      <c r="STJ5" s="1304"/>
      <c r="STK5" s="1304"/>
      <c r="STL5" s="1304"/>
      <c r="STM5" s="1304"/>
      <c r="STN5" s="1304"/>
      <c r="STO5" s="1304"/>
      <c r="STP5" s="1304"/>
      <c r="STQ5" s="1304"/>
      <c r="STR5" s="1304"/>
      <c r="STS5" s="1304"/>
      <c r="STT5" s="1304"/>
      <c r="STU5" s="1304"/>
      <c r="STV5" s="1304"/>
      <c r="STW5" s="1304"/>
      <c r="STX5" s="1304"/>
      <c r="STY5" s="1304"/>
      <c r="STZ5" s="1304"/>
      <c r="SUA5" s="1304"/>
      <c r="SUB5" s="1304"/>
      <c r="SUC5" s="1304"/>
      <c r="SUD5" s="1304"/>
      <c r="SUE5" s="1304"/>
      <c r="SUF5" s="1304"/>
      <c r="SUG5" s="1304"/>
      <c r="SUH5" s="1304"/>
      <c r="SUI5" s="1304"/>
      <c r="SUJ5" s="1304"/>
      <c r="SUK5" s="1304"/>
      <c r="SUL5" s="1304"/>
      <c r="SUM5" s="1304"/>
      <c r="SUN5" s="1304"/>
      <c r="SUO5" s="1304"/>
      <c r="SUP5" s="1304"/>
      <c r="SUQ5" s="1304"/>
      <c r="SUR5" s="1304"/>
      <c r="SUS5" s="1304"/>
      <c r="SUT5" s="1304"/>
      <c r="SUU5" s="1304"/>
      <c r="SUV5" s="1304"/>
      <c r="SUW5" s="1304"/>
      <c r="SUX5" s="1304"/>
      <c r="SUY5" s="1304"/>
      <c r="SUZ5" s="1304"/>
      <c r="SVA5" s="1304"/>
      <c r="SVB5" s="1304"/>
      <c r="SVC5" s="1304"/>
      <c r="SVD5" s="1304"/>
      <c r="SVE5" s="1304"/>
      <c r="SVF5" s="1304"/>
      <c r="SVG5" s="1304"/>
      <c r="SVH5" s="1304"/>
      <c r="SVI5" s="1304"/>
      <c r="SVJ5" s="1304"/>
      <c r="SVK5" s="1304"/>
      <c r="SVL5" s="1304"/>
      <c r="SVM5" s="1304"/>
      <c r="SVN5" s="1304"/>
      <c r="SVO5" s="1304"/>
      <c r="SVP5" s="1304"/>
      <c r="SVQ5" s="1304"/>
      <c r="SVR5" s="1304"/>
      <c r="SVS5" s="1304"/>
      <c r="SVT5" s="1304"/>
      <c r="SVU5" s="1304"/>
      <c r="SVV5" s="1304"/>
      <c r="SVW5" s="1304"/>
      <c r="SVX5" s="1304"/>
      <c r="SVY5" s="1304"/>
      <c r="SVZ5" s="1304"/>
      <c r="SWA5" s="1304"/>
      <c r="SWB5" s="1304"/>
      <c r="SWC5" s="1304"/>
      <c r="SWD5" s="1304"/>
      <c r="SWE5" s="1304"/>
      <c r="SWF5" s="1304"/>
      <c r="SWG5" s="1304"/>
      <c r="SWH5" s="1304"/>
      <c r="SWI5" s="1304"/>
      <c r="SWJ5" s="1304"/>
      <c r="SWK5" s="1304"/>
      <c r="SWL5" s="1304"/>
      <c r="SWM5" s="1304"/>
      <c r="SWN5" s="1304"/>
      <c r="SWO5" s="1304"/>
      <c r="SWP5" s="1304"/>
      <c r="SWQ5" s="1304"/>
      <c r="SWR5" s="1304"/>
      <c r="SWS5" s="1304"/>
      <c r="SWT5" s="1304"/>
      <c r="SWU5" s="1304"/>
      <c r="SWV5" s="1304"/>
      <c r="SWW5" s="1304"/>
      <c r="SWX5" s="1304"/>
      <c r="SWY5" s="1304"/>
      <c r="SWZ5" s="1304"/>
      <c r="SXA5" s="1304"/>
      <c r="SXB5" s="1304"/>
      <c r="SXC5" s="1304"/>
      <c r="SXD5" s="1304"/>
      <c r="SXE5" s="1304"/>
      <c r="SXF5" s="1304"/>
      <c r="SXG5" s="1304"/>
      <c r="SXH5" s="1304"/>
      <c r="SXI5" s="1304"/>
      <c r="SXJ5" s="1304"/>
      <c r="SXK5" s="1304"/>
      <c r="SXL5" s="1304"/>
      <c r="SXM5" s="1304"/>
      <c r="SXN5" s="1304"/>
      <c r="SXO5" s="1304"/>
      <c r="SXP5" s="1304"/>
      <c r="SXQ5" s="1304"/>
      <c r="SXR5" s="1304"/>
      <c r="SXS5" s="1304"/>
      <c r="SXT5" s="1304"/>
      <c r="SXU5" s="1304"/>
      <c r="SXV5" s="1304"/>
      <c r="SXW5" s="1304"/>
      <c r="SXX5" s="1304"/>
      <c r="SXY5" s="1304"/>
      <c r="SXZ5" s="1304"/>
      <c r="SYA5" s="1304"/>
      <c r="SYB5" s="1304"/>
      <c r="SYC5" s="1304"/>
      <c r="SYD5" s="1304"/>
      <c r="SYE5" s="1304"/>
      <c r="SYF5" s="1304"/>
      <c r="SYG5" s="1304"/>
      <c r="SYH5" s="1304"/>
      <c r="SYI5" s="1304"/>
      <c r="SYJ5" s="1304"/>
      <c r="SYK5" s="1304"/>
      <c r="SYL5" s="1304"/>
      <c r="SYM5" s="1304"/>
      <c r="SYN5" s="1304"/>
      <c r="SYO5" s="1304"/>
      <c r="SYP5" s="1304"/>
      <c r="SYQ5" s="1304"/>
      <c r="SYR5" s="1304"/>
      <c r="SYS5" s="1304"/>
      <c r="SYT5" s="1304"/>
      <c r="SYU5" s="1304"/>
      <c r="SYV5" s="1304"/>
      <c r="SYW5" s="1304"/>
      <c r="SYX5" s="1304"/>
      <c r="SYY5" s="1304"/>
      <c r="SYZ5" s="1304"/>
      <c r="SZA5" s="1304"/>
      <c r="SZB5" s="1304"/>
      <c r="SZC5" s="1304"/>
      <c r="SZD5" s="1304"/>
      <c r="SZE5" s="1304"/>
      <c r="SZF5" s="1304"/>
      <c r="SZG5" s="1304"/>
      <c r="SZH5" s="1304"/>
      <c r="SZI5" s="1304"/>
      <c r="SZJ5" s="1304"/>
      <c r="SZK5" s="1304"/>
      <c r="SZL5" s="1304"/>
      <c r="SZM5" s="1304"/>
      <c r="SZN5" s="1304"/>
      <c r="SZO5" s="1304"/>
      <c r="SZP5" s="1304"/>
      <c r="SZQ5" s="1304"/>
      <c r="SZR5" s="1304"/>
      <c r="SZS5" s="1304"/>
      <c r="SZT5" s="1304"/>
      <c r="SZU5" s="1304"/>
      <c r="SZV5" s="1304"/>
      <c r="SZW5" s="1304"/>
      <c r="SZX5" s="1304"/>
      <c r="SZY5" s="1304"/>
      <c r="SZZ5" s="1304"/>
      <c r="TAA5" s="1304"/>
      <c r="TAB5" s="1304"/>
      <c r="TAC5" s="1304"/>
      <c r="TAD5" s="1304"/>
      <c r="TAE5" s="1304"/>
      <c r="TAF5" s="1304"/>
      <c r="TAG5" s="1304"/>
      <c r="TAH5" s="1304"/>
      <c r="TAI5" s="1304"/>
      <c r="TAJ5" s="1304"/>
      <c r="TAK5" s="1304"/>
      <c r="TAL5" s="1304"/>
      <c r="TAM5" s="1304"/>
      <c r="TAN5" s="1304"/>
      <c r="TAO5" s="1304"/>
      <c r="TAP5" s="1304"/>
      <c r="TAQ5" s="1304"/>
      <c r="TAR5" s="1304"/>
      <c r="TAS5" s="1304"/>
      <c r="TAT5" s="1304"/>
      <c r="TAU5" s="1304"/>
      <c r="TAV5" s="1304"/>
      <c r="TAW5" s="1304"/>
      <c r="TAX5" s="1304"/>
      <c r="TAY5" s="1304"/>
      <c r="TAZ5" s="1304"/>
      <c r="TBA5" s="1304"/>
      <c r="TBB5" s="1304"/>
      <c r="TBC5" s="1304"/>
      <c r="TBD5" s="1304"/>
      <c r="TBE5" s="1304"/>
      <c r="TBF5" s="1304"/>
      <c r="TBG5" s="1304"/>
      <c r="TBH5" s="1304"/>
      <c r="TBI5" s="1304"/>
      <c r="TBJ5" s="1304"/>
      <c r="TBK5" s="1304"/>
      <c r="TBL5" s="1304"/>
      <c r="TBM5" s="1304"/>
      <c r="TBN5" s="1304"/>
      <c r="TBO5" s="1304"/>
      <c r="TBP5" s="1304"/>
      <c r="TBQ5" s="1304"/>
      <c r="TBR5" s="1304"/>
      <c r="TBS5" s="1304"/>
      <c r="TBT5" s="1304"/>
      <c r="TBU5" s="1304"/>
      <c r="TBV5" s="1304"/>
      <c r="TBW5" s="1304"/>
      <c r="TBX5" s="1304"/>
      <c r="TBY5" s="1304"/>
      <c r="TBZ5" s="1304"/>
      <c r="TCA5" s="1304"/>
      <c r="TCB5" s="1304"/>
      <c r="TCC5" s="1304"/>
      <c r="TCD5" s="1304"/>
      <c r="TCE5" s="1304"/>
      <c r="TCF5" s="1304"/>
      <c r="TCG5" s="1304"/>
      <c r="TCH5" s="1304"/>
      <c r="TCI5" s="1304"/>
      <c r="TCJ5" s="1304"/>
      <c r="TCK5" s="1304"/>
      <c r="TCL5" s="1304"/>
      <c r="TCM5" s="1304"/>
      <c r="TCN5" s="1304"/>
      <c r="TCO5" s="1304"/>
      <c r="TCP5" s="1304"/>
      <c r="TCQ5" s="1304"/>
      <c r="TCR5" s="1304"/>
      <c r="TCS5" s="1304"/>
      <c r="TCT5" s="1304"/>
      <c r="TCU5" s="1304"/>
      <c r="TCV5" s="1304"/>
      <c r="TCW5" s="1304"/>
      <c r="TCX5" s="1304"/>
      <c r="TCY5" s="1304"/>
      <c r="TCZ5" s="1304"/>
      <c r="TDA5" s="1304"/>
      <c r="TDB5" s="1304"/>
      <c r="TDC5" s="1304"/>
      <c r="TDD5" s="1304"/>
      <c r="TDE5" s="1304"/>
      <c r="TDF5" s="1304"/>
      <c r="TDG5" s="1304"/>
      <c r="TDH5" s="1304"/>
      <c r="TDI5" s="1304"/>
      <c r="TDJ5" s="1304"/>
      <c r="TDK5" s="1304"/>
      <c r="TDL5" s="1304"/>
      <c r="TDM5" s="1304"/>
      <c r="TDN5" s="1304"/>
      <c r="TDO5" s="1304"/>
      <c r="TDP5" s="1304"/>
      <c r="TDQ5" s="1304"/>
      <c r="TDR5" s="1304"/>
      <c r="TDS5" s="1304"/>
      <c r="TDT5" s="1304"/>
      <c r="TDU5" s="1304"/>
      <c r="TDV5" s="1304"/>
      <c r="TDW5" s="1304"/>
      <c r="TDX5" s="1304"/>
      <c r="TDY5" s="1304"/>
      <c r="TDZ5" s="1304"/>
      <c r="TEA5" s="1304"/>
      <c r="TEB5" s="1304"/>
      <c r="TEC5" s="1304"/>
      <c r="TED5" s="1304"/>
      <c r="TEE5" s="1304"/>
      <c r="TEF5" s="1304"/>
      <c r="TEG5" s="1304"/>
      <c r="TEH5" s="1304"/>
      <c r="TEI5" s="1304"/>
      <c r="TEJ5" s="1304"/>
      <c r="TEK5" s="1304"/>
      <c r="TEL5" s="1304"/>
      <c r="TEM5" s="1304"/>
      <c r="TEN5" s="1304"/>
      <c r="TEO5" s="1304"/>
      <c r="TEP5" s="1304"/>
      <c r="TEQ5" s="1304"/>
      <c r="TER5" s="1304"/>
      <c r="TES5" s="1304"/>
      <c r="TET5" s="1304"/>
      <c r="TEU5" s="1304"/>
      <c r="TEV5" s="1304"/>
      <c r="TEW5" s="1304"/>
      <c r="TEX5" s="1304"/>
      <c r="TEY5" s="1304"/>
      <c r="TEZ5" s="1304"/>
      <c r="TFA5" s="1304"/>
      <c r="TFB5" s="1304"/>
      <c r="TFC5" s="1304"/>
      <c r="TFD5" s="1304"/>
      <c r="TFE5" s="1304"/>
      <c r="TFF5" s="1304"/>
      <c r="TFG5" s="1304"/>
      <c r="TFH5" s="1304"/>
      <c r="TFI5" s="1304"/>
      <c r="TFJ5" s="1304"/>
      <c r="TFK5" s="1304"/>
      <c r="TFL5" s="1304"/>
      <c r="TFM5" s="1304"/>
      <c r="TFN5" s="1304"/>
      <c r="TFO5" s="1304"/>
      <c r="TFP5" s="1304"/>
      <c r="TFQ5" s="1304"/>
      <c r="TFR5" s="1304"/>
      <c r="TFS5" s="1304"/>
      <c r="TFT5" s="1304"/>
      <c r="TFU5" s="1304"/>
      <c r="TFV5" s="1304"/>
      <c r="TFW5" s="1304"/>
      <c r="TFX5" s="1304"/>
      <c r="TFY5" s="1304"/>
      <c r="TFZ5" s="1304"/>
      <c r="TGA5" s="1304"/>
      <c r="TGB5" s="1304"/>
      <c r="TGC5" s="1304"/>
      <c r="TGD5" s="1304"/>
      <c r="TGE5" s="1304"/>
      <c r="TGF5" s="1304"/>
      <c r="TGG5" s="1304"/>
      <c r="TGH5" s="1304"/>
      <c r="TGI5" s="1304"/>
      <c r="TGJ5" s="1304"/>
      <c r="TGK5" s="1304"/>
      <c r="TGL5" s="1304"/>
      <c r="TGM5" s="1304"/>
      <c r="TGN5" s="1304"/>
      <c r="TGO5" s="1304"/>
      <c r="TGP5" s="1304"/>
      <c r="TGQ5" s="1304"/>
      <c r="TGR5" s="1304"/>
      <c r="TGS5" s="1304"/>
      <c r="TGT5" s="1304"/>
      <c r="TGU5" s="1304"/>
      <c r="TGV5" s="1304"/>
      <c r="TGW5" s="1304"/>
      <c r="TGX5" s="1304"/>
      <c r="TGY5" s="1304"/>
      <c r="TGZ5" s="1304"/>
      <c r="THA5" s="1304"/>
      <c r="THB5" s="1304"/>
      <c r="THC5" s="1304"/>
      <c r="THD5" s="1304"/>
      <c r="THE5" s="1304"/>
      <c r="THF5" s="1304"/>
      <c r="THG5" s="1304"/>
      <c r="THH5" s="1304"/>
      <c r="THI5" s="1304"/>
      <c r="THJ5" s="1304"/>
      <c r="THK5" s="1304"/>
      <c r="THL5" s="1304"/>
      <c r="THM5" s="1304"/>
      <c r="THN5" s="1304"/>
      <c r="THO5" s="1304"/>
      <c r="THP5" s="1304"/>
      <c r="THQ5" s="1304"/>
      <c r="THR5" s="1304"/>
      <c r="THS5" s="1304"/>
      <c r="THT5" s="1304"/>
      <c r="THU5" s="1304"/>
      <c r="THV5" s="1304"/>
      <c r="THW5" s="1304"/>
      <c r="THX5" s="1304"/>
      <c r="THY5" s="1304"/>
      <c r="THZ5" s="1304"/>
      <c r="TIA5" s="1304"/>
      <c r="TIB5" s="1304"/>
      <c r="TIC5" s="1304"/>
      <c r="TID5" s="1304"/>
      <c r="TIE5" s="1304"/>
      <c r="TIF5" s="1304"/>
      <c r="TIG5" s="1304"/>
      <c r="TIH5" s="1304"/>
      <c r="TII5" s="1304"/>
      <c r="TIJ5" s="1304"/>
      <c r="TIK5" s="1304"/>
      <c r="TIL5" s="1304"/>
      <c r="TIM5" s="1304"/>
      <c r="TIN5" s="1304"/>
      <c r="TIO5" s="1304"/>
      <c r="TIP5" s="1304"/>
      <c r="TIQ5" s="1304"/>
      <c r="TIR5" s="1304"/>
      <c r="TIS5" s="1304"/>
      <c r="TIT5" s="1304"/>
      <c r="TIU5" s="1304"/>
      <c r="TIV5" s="1304"/>
      <c r="TIW5" s="1304"/>
      <c r="TIX5" s="1304"/>
      <c r="TIY5" s="1304"/>
      <c r="TIZ5" s="1304"/>
      <c r="TJA5" s="1304"/>
      <c r="TJB5" s="1304"/>
      <c r="TJC5" s="1304"/>
      <c r="TJD5" s="1304"/>
      <c r="TJE5" s="1304"/>
      <c r="TJF5" s="1304"/>
      <c r="TJG5" s="1304"/>
      <c r="TJH5" s="1304"/>
      <c r="TJI5" s="1304"/>
      <c r="TJJ5" s="1304"/>
      <c r="TJK5" s="1304"/>
      <c r="TJL5" s="1304"/>
      <c r="TJM5" s="1304"/>
      <c r="TJN5" s="1304"/>
      <c r="TJO5" s="1304"/>
      <c r="TJP5" s="1304"/>
      <c r="TJQ5" s="1304"/>
      <c r="TJR5" s="1304"/>
      <c r="TJS5" s="1304"/>
      <c r="TJT5" s="1304"/>
      <c r="TJU5" s="1304"/>
      <c r="TJV5" s="1304"/>
      <c r="TJW5" s="1304"/>
      <c r="TJX5" s="1304"/>
      <c r="TJY5" s="1304"/>
      <c r="TJZ5" s="1304"/>
      <c r="TKA5" s="1304"/>
      <c r="TKB5" s="1304"/>
      <c r="TKC5" s="1304"/>
      <c r="TKD5" s="1304"/>
      <c r="TKE5" s="1304"/>
      <c r="TKF5" s="1304"/>
      <c r="TKG5" s="1304"/>
      <c r="TKH5" s="1304"/>
      <c r="TKI5" s="1304"/>
      <c r="TKJ5" s="1304"/>
      <c r="TKK5" s="1304"/>
      <c r="TKL5" s="1304"/>
      <c r="TKM5" s="1304"/>
      <c r="TKN5" s="1304"/>
      <c r="TKO5" s="1304"/>
      <c r="TKP5" s="1304"/>
      <c r="TKQ5" s="1304"/>
      <c r="TKR5" s="1304"/>
      <c r="TKS5" s="1304"/>
      <c r="TKT5" s="1304"/>
      <c r="TKU5" s="1304"/>
      <c r="TKV5" s="1304"/>
      <c r="TKW5" s="1304"/>
      <c r="TKX5" s="1304"/>
      <c r="TKY5" s="1304"/>
      <c r="TKZ5" s="1304"/>
      <c r="TLA5" s="1304"/>
      <c r="TLB5" s="1304"/>
      <c r="TLC5" s="1304"/>
      <c r="TLD5" s="1304"/>
      <c r="TLE5" s="1304"/>
      <c r="TLF5" s="1304"/>
      <c r="TLG5" s="1304"/>
      <c r="TLH5" s="1304"/>
      <c r="TLI5" s="1304"/>
      <c r="TLJ5" s="1304"/>
      <c r="TLK5" s="1304"/>
      <c r="TLL5" s="1304"/>
      <c r="TLM5" s="1304"/>
      <c r="TLN5" s="1304"/>
      <c r="TLO5" s="1304"/>
      <c r="TLP5" s="1304"/>
      <c r="TLQ5" s="1304"/>
      <c r="TLR5" s="1304"/>
      <c r="TLS5" s="1304"/>
      <c r="TLT5" s="1304"/>
      <c r="TLU5" s="1304"/>
      <c r="TLV5" s="1304"/>
      <c r="TLW5" s="1304"/>
      <c r="TLX5" s="1304"/>
      <c r="TLY5" s="1304"/>
      <c r="TLZ5" s="1304"/>
      <c r="TMA5" s="1304"/>
      <c r="TMB5" s="1304"/>
      <c r="TMC5" s="1304"/>
      <c r="TMD5" s="1304"/>
      <c r="TME5" s="1304"/>
      <c r="TMF5" s="1304"/>
      <c r="TMG5" s="1304"/>
      <c r="TMH5" s="1304"/>
      <c r="TMI5" s="1304"/>
      <c r="TMJ5" s="1304"/>
      <c r="TMK5" s="1304"/>
      <c r="TML5" s="1304"/>
      <c r="TMM5" s="1304"/>
      <c r="TMN5" s="1304"/>
      <c r="TMO5" s="1304"/>
      <c r="TMP5" s="1304"/>
      <c r="TMQ5" s="1304"/>
      <c r="TMR5" s="1304"/>
      <c r="TMS5" s="1304"/>
      <c r="TMT5" s="1304"/>
      <c r="TMU5" s="1304"/>
      <c r="TMV5" s="1304"/>
      <c r="TMW5" s="1304"/>
      <c r="TMX5" s="1304"/>
      <c r="TMY5" s="1304"/>
      <c r="TMZ5" s="1304"/>
      <c r="TNA5" s="1304"/>
      <c r="TNB5" s="1304"/>
      <c r="TNC5" s="1304"/>
      <c r="TND5" s="1304"/>
      <c r="TNE5" s="1304"/>
      <c r="TNF5" s="1304"/>
      <c r="TNG5" s="1304"/>
      <c r="TNH5" s="1304"/>
      <c r="TNI5" s="1304"/>
      <c r="TNJ5" s="1304"/>
      <c r="TNK5" s="1304"/>
      <c r="TNL5" s="1304"/>
      <c r="TNM5" s="1304"/>
      <c r="TNN5" s="1304"/>
      <c r="TNO5" s="1304"/>
      <c r="TNP5" s="1304"/>
      <c r="TNQ5" s="1304"/>
      <c r="TNR5" s="1304"/>
      <c r="TNS5" s="1304"/>
      <c r="TNT5" s="1304"/>
      <c r="TNU5" s="1304"/>
      <c r="TNV5" s="1304"/>
      <c r="TNW5" s="1304"/>
      <c r="TNX5" s="1304"/>
      <c r="TNY5" s="1304"/>
      <c r="TNZ5" s="1304"/>
      <c r="TOA5" s="1304"/>
      <c r="TOB5" s="1304"/>
      <c r="TOC5" s="1304"/>
      <c r="TOD5" s="1304"/>
      <c r="TOE5" s="1304"/>
      <c r="TOF5" s="1304"/>
      <c r="TOG5" s="1304"/>
      <c r="TOH5" s="1304"/>
      <c r="TOI5" s="1304"/>
      <c r="TOJ5" s="1304"/>
      <c r="TOK5" s="1304"/>
      <c r="TOL5" s="1304"/>
      <c r="TOM5" s="1304"/>
      <c r="TON5" s="1304"/>
      <c r="TOO5" s="1304"/>
      <c r="TOP5" s="1304"/>
      <c r="TOQ5" s="1304"/>
      <c r="TOR5" s="1304"/>
      <c r="TOS5" s="1304"/>
      <c r="TOT5" s="1304"/>
      <c r="TOU5" s="1304"/>
      <c r="TOV5" s="1304"/>
      <c r="TOW5" s="1304"/>
      <c r="TOX5" s="1304"/>
      <c r="TOY5" s="1304"/>
      <c r="TOZ5" s="1304"/>
      <c r="TPA5" s="1304"/>
      <c r="TPB5" s="1304"/>
      <c r="TPC5" s="1304"/>
      <c r="TPD5" s="1304"/>
      <c r="TPE5" s="1304"/>
      <c r="TPF5" s="1304"/>
      <c r="TPG5" s="1304"/>
      <c r="TPH5" s="1304"/>
      <c r="TPI5" s="1304"/>
      <c r="TPJ5" s="1304"/>
      <c r="TPK5" s="1304"/>
      <c r="TPL5" s="1304"/>
      <c r="TPM5" s="1304"/>
      <c r="TPN5" s="1304"/>
      <c r="TPO5" s="1304"/>
      <c r="TPP5" s="1304"/>
      <c r="TPQ5" s="1304"/>
      <c r="TPR5" s="1304"/>
      <c r="TPS5" s="1304"/>
      <c r="TPT5" s="1304"/>
      <c r="TPU5" s="1304"/>
      <c r="TPV5" s="1304"/>
      <c r="TPW5" s="1304"/>
      <c r="TPX5" s="1304"/>
      <c r="TPY5" s="1304"/>
      <c r="TPZ5" s="1304"/>
      <c r="TQA5" s="1304"/>
      <c r="TQB5" s="1304"/>
      <c r="TQC5" s="1304"/>
      <c r="TQD5" s="1304"/>
      <c r="TQE5" s="1304"/>
      <c r="TQF5" s="1304"/>
      <c r="TQG5" s="1304"/>
      <c r="TQH5" s="1304"/>
      <c r="TQI5" s="1304"/>
      <c r="TQJ5" s="1304"/>
      <c r="TQK5" s="1304"/>
      <c r="TQL5" s="1304"/>
      <c r="TQM5" s="1304"/>
      <c r="TQN5" s="1304"/>
      <c r="TQO5" s="1304"/>
      <c r="TQP5" s="1304"/>
      <c r="TQQ5" s="1304"/>
      <c r="TQR5" s="1304"/>
      <c r="TQS5" s="1304"/>
      <c r="TQT5" s="1304"/>
      <c r="TQU5" s="1304"/>
      <c r="TQV5" s="1304"/>
      <c r="TQW5" s="1304"/>
      <c r="TQX5" s="1304"/>
      <c r="TQY5" s="1304"/>
      <c r="TQZ5" s="1304"/>
      <c r="TRA5" s="1304"/>
      <c r="TRB5" s="1304"/>
      <c r="TRC5" s="1304"/>
      <c r="TRD5" s="1304"/>
      <c r="TRE5" s="1304"/>
      <c r="TRF5" s="1304"/>
      <c r="TRG5" s="1304"/>
      <c r="TRH5" s="1304"/>
      <c r="TRI5" s="1304"/>
      <c r="TRJ5" s="1304"/>
      <c r="TRK5" s="1304"/>
      <c r="TRL5" s="1304"/>
      <c r="TRM5" s="1304"/>
      <c r="TRN5" s="1304"/>
      <c r="TRO5" s="1304"/>
      <c r="TRP5" s="1304"/>
      <c r="TRQ5" s="1304"/>
      <c r="TRR5" s="1304"/>
      <c r="TRS5" s="1304"/>
      <c r="TRT5" s="1304"/>
      <c r="TRU5" s="1304"/>
      <c r="TRV5" s="1304"/>
      <c r="TRW5" s="1304"/>
      <c r="TRX5" s="1304"/>
      <c r="TRY5" s="1304"/>
      <c r="TRZ5" s="1304"/>
      <c r="TSA5" s="1304"/>
      <c r="TSB5" s="1304"/>
      <c r="TSC5" s="1304"/>
      <c r="TSD5" s="1304"/>
      <c r="TSE5" s="1304"/>
      <c r="TSF5" s="1304"/>
      <c r="TSG5" s="1304"/>
      <c r="TSH5" s="1304"/>
      <c r="TSI5" s="1304"/>
      <c r="TSJ5" s="1304"/>
      <c r="TSK5" s="1304"/>
      <c r="TSL5" s="1304"/>
      <c r="TSM5" s="1304"/>
      <c r="TSN5" s="1304"/>
      <c r="TSO5" s="1304"/>
      <c r="TSP5" s="1304"/>
      <c r="TSQ5" s="1304"/>
      <c r="TSR5" s="1304"/>
      <c r="TSS5" s="1304"/>
      <c r="TST5" s="1304"/>
      <c r="TSU5" s="1304"/>
      <c r="TSV5" s="1304"/>
      <c r="TSW5" s="1304"/>
      <c r="TSX5" s="1304"/>
      <c r="TSY5" s="1304"/>
      <c r="TSZ5" s="1304"/>
      <c r="TTA5" s="1304"/>
      <c r="TTB5" s="1304"/>
      <c r="TTC5" s="1304"/>
      <c r="TTD5" s="1304"/>
      <c r="TTE5" s="1304"/>
      <c r="TTF5" s="1304"/>
      <c r="TTG5" s="1304"/>
      <c r="TTH5" s="1304"/>
      <c r="TTI5" s="1304"/>
      <c r="TTJ5" s="1304"/>
      <c r="TTK5" s="1304"/>
      <c r="TTL5" s="1304"/>
      <c r="TTM5" s="1304"/>
      <c r="TTN5" s="1304"/>
      <c r="TTO5" s="1304"/>
      <c r="TTP5" s="1304"/>
      <c r="TTQ5" s="1304"/>
      <c r="TTR5" s="1304"/>
      <c r="TTS5" s="1304"/>
      <c r="TTT5" s="1304"/>
      <c r="TTU5" s="1304"/>
      <c r="TTV5" s="1304"/>
      <c r="TTW5" s="1304"/>
      <c r="TTX5" s="1304"/>
      <c r="TTY5" s="1304"/>
      <c r="TTZ5" s="1304"/>
      <c r="TUA5" s="1304"/>
      <c r="TUB5" s="1304"/>
      <c r="TUC5" s="1304"/>
      <c r="TUD5" s="1304"/>
      <c r="TUE5" s="1304"/>
      <c r="TUF5" s="1304"/>
      <c r="TUG5" s="1304"/>
      <c r="TUH5" s="1304"/>
      <c r="TUI5" s="1304"/>
      <c r="TUJ5" s="1304"/>
      <c r="TUK5" s="1304"/>
      <c r="TUL5" s="1304"/>
      <c r="TUM5" s="1304"/>
      <c r="TUN5" s="1304"/>
      <c r="TUO5" s="1304"/>
      <c r="TUP5" s="1304"/>
      <c r="TUQ5" s="1304"/>
      <c r="TUR5" s="1304"/>
      <c r="TUS5" s="1304"/>
      <c r="TUT5" s="1304"/>
      <c r="TUU5" s="1304"/>
      <c r="TUV5" s="1304"/>
      <c r="TUW5" s="1304"/>
      <c r="TUX5" s="1304"/>
      <c r="TUY5" s="1304"/>
      <c r="TUZ5" s="1304"/>
      <c r="TVA5" s="1304"/>
      <c r="TVB5" s="1304"/>
      <c r="TVC5" s="1304"/>
      <c r="TVD5" s="1304"/>
      <c r="TVE5" s="1304"/>
      <c r="TVF5" s="1304"/>
      <c r="TVG5" s="1304"/>
      <c r="TVH5" s="1304"/>
      <c r="TVI5" s="1304"/>
      <c r="TVJ5" s="1304"/>
      <c r="TVK5" s="1304"/>
      <c r="TVL5" s="1304"/>
      <c r="TVM5" s="1304"/>
      <c r="TVN5" s="1304"/>
      <c r="TVO5" s="1304"/>
      <c r="TVP5" s="1304"/>
      <c r="TVQ5" s="1304"/>
      <c r="TVR5" s="1304"/>
      <c r="TVS5" s="1304"/>
      <c r="TVT5" s="1304"/>
      <c r="TVU5" s="1304"/>
      <c r="TVV5" s="1304"/>
      <c r="TVW5" s="1304"/>
      <c r="TVX5" s="1304"/>
      <c r="TVY5" s="1304"/>
      <c r="TVZ5" s="1304"/>
      <c r="TWA5" s="1304"/>
      <c r="TWB5" s="1304"/>
      <c r="TWC5" s="1304"/>
      <c r="TWD5" s="1304"/>
      <c r="TWE5" s="1304"/>
      <c r="TWF5" s="1304"/>
      <c r="TWG5" s="1304"/>
      <c r="TWH5" s="1304"/>
      <c r="TWI5" s="1304"/>
      <c r="TWJ5" s="1304"/>
      <c r="TWK5" s="1304"/>
      <c r="TWL5" s="1304"/>
      <c r="TWM5" s="1304"/>
      <c r="TWN5" s="1304"/>
      <c r="TWO5" s="1304"/>
      <c r="TWP5" s="1304"/>
      <c r="TWQ5" s="1304"/>
      <c r="TWR5" s="1304"/>
      <c r="TWS5" s="1304"/>
      <c r="TWT5" s="1304"/>
      <c r="TWU5" s="1304"/>
      <c r="TWV5" s="1304"/>
      <c r="TWW5" s="1304"/>
      <c r="TWX5" s="1304"/>
      <c r="TWY5" s="1304"/>
      <c r="TWZ5" s="1304"/>
      <c r="TXA5" s="1304"/>
      <c r="TXB5" s="1304"/>
      <c r="TXC5" s="1304"/>
      <c r="TXD5" s="1304"/>
      <c r="TXE5" s="1304"/>
      <c r="TXF5" s="1304"/>
      <c r="TXG5" s="1304"/>
      <c r="TXH5" s="1304"/>
      <c r="TXI5" s="1304"/>
      <c r="TXJ5" s="1304"/>
      <c r="TXK5" s="1304"/>
      <c r="TXL5" s="1304"/>
      <c r="TXM5" s="1304"/>
      <c r="TXN5" s="1304"/>
      <c r="TXO5" s="1304"/>
      <c r="TXP5" s="1304"/>
      <c r="TXQ5" s="1304"/>
      <c r="TXR5" s="1304"/>
      <c r="TXS5" s="1304"/>
      <c r="TXT5" s="1304"/>
      <c r="TXU5" s="1304"/>
      <c r="TXV5" s="1304"/>
      <c r="TXW5" s="1304"/>
      <c r="TXX5" s="1304"/>
      <c r="TXY5" s="1304"/>
      <c r="TXZ5" s="1304"/>
      <c r="TYA5" s="1304"/>
      <c r="TYB5" s="1304"/>
      <c r="TYC5" s="1304"/>
      <c r="TYD5" s="1304"/>
      <c r="TYE5" s="1304"/>
      <c r="TYF5" s="1304"/>
      <c r="TYG5" s="1304"/>
      <c r="TYH5" s="1304"/>
      <c r="TYI5" s="1304"/>
      <c r="TYJ5" s="1304"/>
      <c r="TYK5" s="1304"/>
      <c r="TYL5" s="1304"/>
      <c r="TYM5" s="1304"/>
      <c r="TYN5" s="1304"/>
      <c r="TYO5" s="1304"/>
      <c r="TYP5" s="1304"/>
      <c r="TYQ5" s="1304"/>
      <c r="TYR5" s="1304"/>
      <c r="TYS5" s="1304"/>
      <c r="TYT5" s="1304"/>
      <c r="TYU5" s="1304"/>
      <c r="TYV5" s="1304"/>
      <c r="TYW5" s="1304"/>
      <c r="TYX5" s="1304"/>
      <c r="TYY5" s="1304"/>
      <c r="TYZ5" s="1304"/>
      <c r="TZA5" s="1304"/>
      <c r="TZB5" s="1304"/>
      <c r="TZC5" s="1304"/>
      <c r="TZD5" s="1304"/>
      <c r="TZE5" s="1304"/>
      <c r="TZF5" s="1304"/>
      <c r="TZG5" s="1304"/>
      <c r="TZH5" s="1304"/>
      <c r="TZI5" s="1304"/>
      <c r="TZJ5" s="1304"/>
      <c r="TZK5" s="1304"/>
      <c r="TZL5" s="1304"/>
      <c r="TZM5" s="1304"/>
      <c r="TZN5" s="1304"/>
      <c r="TZO5" s="1304"/>
      <c r="TZP5" s="1304"/>
      <c r="TZQ5" s="1304"/>
      <c r="TZR5" s="1304"/>
      <c r="TZS5" s="1304"/>
      <c r="TZT5" s="1304"/>
      <c r="TZU5" s="1304"/>
      <c r="TZV5" s="1304"/>
      <c r="TZW5" s="1304"/>
      <c r="TZX5" s="1304"/>
      <c r="TZY5" s="1304"/>
      <c r="TZZ5" s="1304"/>
      <c r="UAA5" s="1304"/>
      <c r="UAB5" s="1304"/>
      <c r="UAC5" s="1304"/>
      <c r="UAD5" s="1304"/>
      <c r="UAE5" s="1304"/>
      <c r="UAF5" s="1304"/>
      <c r="UAG5" s="1304"/>
      <c r="UAH5" s="1304"/>
      <c r="UAI5" s="1304"/>
      <c r="UAJ5" s="1304"/>
      <c r="UAK5" s="1304"/>
      <c r="UAL5" s="1304"/>
      <c r="UAM5" s="1304"/>
      <c r="UAN5" s="1304"/>
      <c r="UAO5" s="1304"/>
      <c r="UAP5" s="1304"/>
      <c r="UAQ5" s="1304"/>
      <c r="UAR5" s="1304"/>
      <c r="UAS5" s="1304"/>
      <c r="UAT5" s="1304"/>
      <c r="UAU5" s="1304"/>
      <c r="UAV5" s="1304"/>
      <c r="UAW5" s="1304"/>
      <c r="UAX5" s="1304"/>
      <c r="UAY5" s="1304"/>
      <c r="UAZ5" s="1304"/>
      <c r="UBA5" s="1304"/>
      <c r="UBB5" s="1304"/>
      <c r="UBC5" s="1304"/>
      <c r="UBD5" s="1304"/>
      <c r="UBE5" s="1304"/>
      <c r="UBF5" s="1304"/>
      <c r="UBG5" s="1304"/>
      <c r="UBH5" s="1304"/>
      <c r="UBI5" s="1304"/>
      <c r="UBJ5" s="1304"/>
      <c r="UBK5" s="1304"/>
      <c r="UBL5" s="1304"/>
      <c r="UBM5" s="1304"/>
      <c r="UBN5" s="1304"/>
      <c r="UBO5" s="1304"/>
      <c r="UBP5" s="1304"/>
      <c r="UBQ5" s="1304"/>
      <c r="UBR5" s="1304"/>
      <c r="UBS5" s="1304"/>
      <c r="UBT5" s="1304"/>
      <c r="UBU5" s="1304"/>
      <c r="UBV5" s="1304"/>
      <c r="UBW5" s="1304"/>
      <c r="UBX5" s="1304"/>
      <c r="UBY5" s="1304"/>
      <c r="UBZ5" s="1304"/>
      <c r="UCA5" s="1304"/>
      <c r="UCB5" s="1304"/>
      <c r="UCC5" s="1304"/>
      <c r="UCD5" s="1304"/>
      <c r="UCE5" s="1304"/>
      <c r="UCF5" s="1304"/>
      <c r="UCG5" s="1304"/>
      <c r="UCH5" s="1304"/>
      <c r="UCI5" s="1304"/>
      <c r="UCJ5" s="1304"/>
      <c r="UCK5" s="1304"/>
      <c r="UCL5" s="1304"/>
      <c r="UCM5" s="1304"/>
      <c r="UCN5" s="1304"/>
      <c r="UCO5" s="1304"/>
      <c r="UCP5" s="1304"/>
      <c r="UCQ5" s="1304"/>
      <c r="UCR5" s="1304"/>
      <c r="UCS5" s="1304"/>
      <c r="UCT5" s="1304"/>
      <c r="UCU5" s="1304"/>
      <c r="UCV5" s="1304"/>
      <c r="UCW5" s="1304"/>
      <c r="UCX5" s="1304"/>
      <c r="UCY5" s="1304"/>
      <c r="UCZ5" s="1304"/>
      <c r="UDA5" s="1304"/>
      <c r="UDB5" s="1304"/>
      <c r="UDC5" s="1304"/>
      <c r="UDD5" s="1304"/>
      <c r="UDE5" s="1304"/>
      <c r="UDF5" s="1304"/>
      <c r="UDG5" s="1304"/>
      <c r="UDH5" s="1304"/>
      <c r="UDI5" s="1304"/>
      <c r="UDJ5" s="1304"/>
      <c r="UDK5" s="1304"/>
      <c r="UDL5" s="1304"/>
      <c r="UDM5" s="1304"/>
      <c r="UDN5" s="1304"/>
      <c r="UDO5" s="1304"/>
      <c r="UDP5" s="1304"/>
      <c r="UDQ5" s="1304"/>
      <c r="UDR5" s="1304"/>
      <c r="UDS5" s="1304"/>
      <c r="UDT5" s="1304"/>
      <c r="UDU5" s="1304"/>
      <c r="UDV5" s="1304"/>
      <c r="UDW5" s="1304"/>
      <c r="UDX5" s="1304"/>
      <c r="UDY5" s="1304"/>
      <c r="UDZ5" s="1304"/>
      <c r="UEA5" s="1304"/>
      <c r="UEB5" s="1304"/>
      <c r="UEC5" s="1304"/>
      <c r="UED5" s="1304"/>
      <c r="UEE5" s="1304"/>
      <c r="UEF5" s="1304"/>
      <c r="UEG5" s="1304"/>
      <c r="UEH5" s="1304"/>
      <c r="UEI5" s="1304"/>
      <c r="UEJ5" s="1304"/>
      <c r="UEK5" s="1304"/>
      <c r="UEL5" s="1304"/>
      <c r="UEM5" s="1304"/>
      <c r="UEN5" s="1304"/>
      <c r="UEO5" s="1304"/>
      <c r="UEP5" s="1304"/>
      <c r="UEQ5" s="1304"/>
      <c r="UER5" s="1304"/>
      <c r="UES5" s="1304"/>
      <c r="UET5" s="1304"/>
      <c r="UEU5" s="1304"/>
      <c r="UEV5" s="1304"/>
      <c r="UEW5" s="1304"/>
      <c r="UEX5" s="1304"/>
      <c r="UEY5" s="1304"/>
      <c r="UEZ5" s="1304"/>
      <c r="UFA5" s="1304"/>
      <c r="UFB5" s="1304"/>
      <c r="UFC5" s="1304"/>
      <c r="UFD5" s="1304"/>
      <c r="UFE5" s="1304"/>
      <c r="UFF5" s="1304"/>
      <c r="UFG5" s="1304"/>
      <c r="UFH5" s="1304"/>
      <c r="UFI5" s="1304"/>
      <c r="UFJ5" s="1304"/>
      <c r="UFK5" s="1304"/>
      <c r="UFL5" s="1304"/>
      <c r="UFM5" s="1304"/>
      <c r="UFN5" s="1304"/>
      <c r="UFO5" s="1304"/>
      <c r="UFP5" s="1304"/>
      <c r="UFQ5" s="1304"/>
      <c r="UFR5" s="1304"/>
      <c r="UFS5" s="1304"/>
      <c r="UFT5" s="1304"/>
      <c r="UFU5" s="1304"/>
      <c r="UFV5" s="1304"/>
      <c r="UFW5" s="1304"/>
      <c r="UFX5" s="1304"/>
      <c r="UFY5" s="1304"/>
      <c r="UFZ5" s="1304"/>
      <c r="UGA5" s="1304"/>
      <c r="UGB5" s="1304"/>
      <c r="UGC5" s="1304"/>
      <c r="UGD5" s="1304"/>
      <c r="UGE5" s="1304"/>
      <c r="UGF5" s="1304"/>
      <c r="UGG5" s="1304"/>
      <c r="UGH5" s="1304"/>
      <c r="UGI5" s="1304"/>
      <c r="UGJ5" s="1304"/>
      <c r="UGK5" s="1304"/>
      <c r="UGL5" s="1304"/>
      <c r="UGM5" s="1304"/>
      <c r="UGN5" s="1304"/>
      <c r="UGO5" s="1304"/>
      <c r="UGP5" s="1304"/>
      <c r="UGQ5" s="1304"/>
      <c r="UGR5" s="1304"/>
      <c r="UGS5" s="1304"/>
      <c r="UGT5" s="1304"/>
      <c r="UGU5" s="1304"/>
      <c r="UGV5" s="1304"/>
      <c r="UGW5" s="1304"/>
      <c r="UGX5" s="1304"/>
      <c r="UGY5" s="1304"/>
      <c r="UGZ5" s="1304"/>
      <c r="UHA5" s="1304"/>
      <c r="UHB5" s="1304"/>
      <c r="UHC5" s="1304"/>
      <c r="UHD5" s="1304"/>
      <c r="UHE5" s="1304"/>
      <c r="UHF5" s="1304"/>
      <c r="UHG5" s="1304"/>
      <c r="UHH5" s="1304"/>
      <c r="UHI5" s="1304"/>
      <c r="UHJ5" s="1304"/>
      <c r="UHK5" s="1304"/>
      <c r="UHL5" s="1304"/>
      <c r="UHM5" s="1304"/>
      <c r="UHN5" s="1304"/>
      <c r="UHO5" s="1304"/>
      <c r="UHP5" s="1304"/>
      <c r="UHQ5" s="1304"/>
      <c r="UHR5" s="1304"/>
      <c r="UHS5" s="1304"/>
      <c r="UHT5" s="1304"/>
      <c r="UHU5" s="1304"/>
      <c r="UHV5" s="1304"/>
      <c r="UHW5" s="1304"/>
      <c r="UHX5" s="1304"/>
      <c r="UHY5" s="1304"/>
      <c r="UHZ5" s="1304"/>
      <c r="UIA5" s="1304"/>
      <c r="UIB5" s="1304"/>
      <c r="UIC5" s="1304"/>
      <c r="UID5" s="1304"/>
      <c r="UIE5" s="1304"/>
      <c r="UIF5" s="1304"/>
      <c r="UIG5" s="1304"/>
      <c r="UIH5" s="1304"/>
      <c r="UII5" s="1304"/>
      <c r="UIJ5" s="1304"/>
      <c r="UIK5" s="1304"/>
      <c r="UIL5" s="1304"/>
      <c r="UIM5" s="1304"/>
      <c r="UIN5" s="1304"/>
      <c r="UIO5" s="1304"/>
      <c r="UIP5" s="1304"/>
      <c r="UIQ5" s="1304"/>
      <c r="UIR5" s="1304"/>
      <c r="UIS5" s="1304"/>
      <c r="UIT5" s="1304"/>
      <c r="UIU5" s="1304"/>
      <c r="UIV5" s="1304"/>
      <c r="UIW5" s="1304"/>
      <c r="UIX5" s="1304"/>
      <c r="UIY5" s="1304"/>
      <c r="UIZ5" s="1304"/>
      <c r="UJA5" s="1304"/>
      <c r="UJB5" s="1304"/>
      <c r="UJC5" s="1304"/>
      <c r="UJD5" s="1304"/>
      <c r="UJE5" s="1304"/>
      <c r="UJF5" s="1304"/>
      <c r="UJG5" s="1304"/>
      <c r="UJH5" s="1304"/>
      <c r="UJI5" s="1304"/>
      <c r="UJJ5" s="1304"/>
      <c r="UJK5" s="1304"/>
      <c r="UJL5" s="1304"/>
      <c r="UJM5" s="1304"/>
      <c r="UJN5" s="1304"/>
      <c r="UJO5" s="1304"/>
      <c r="UJP5" s="1304"/>
      <c r="UJQ5" s="1304"/>
      <c r="UJR5" s="1304"/>
      <c r="UJS5" s="1304"/>
      <c r="UJT5" s="1304"/>
      <c r="UJU5" s="1304"/>
      <c r="UJV5" s="1304"/>
      <c r="UJW5" s="1304"/>
      <c r="UJX5" s="1304"/>
      <c r="UJY5" s="1304"/>
      <c r="UJZ5" s="1304"/>
      <c r="UKA5" s="1304"/>
      <c r="UKB5" s="1304"/>
      <c r="UKC5" s="1304"/>
      <c r="UKD5" s="1304"/>
      <c r="UKE5" s="1304"/>
      <c r="UKF5" s="1304"/>
      <c r="UKG5" s="1304"/>
      <c r="UKH5" s="1304"/>
      <c r="UKI5" s="1304"/>
      <c r="UKJ5" s="1304"/>
      <c r="UKK5" s="1304"/>
      <c r="UKL5" s="1304"/>
      <c r="UKM5" s="1304"/>
      <c r="UKN5" s="1304"/>
      <c r="UKO5" s="1304"/>
      <c r="UKP5" s="1304"/>
      <c r="UKQ5" s="1304"/>
      <c r="UKR5" s="1304"/>
      <c r="UKS5" s="1304"/>
      <c r="UKT5" s="1304"/>
      <c r="UKU5" s="1304"/>
      <c r="UKV5" s="1304"/>
      <c r="UKW5" s="1304"/>
      <c r="UKX5" s="1304"/>
      <c r="UKY5" s="1304"/>
      <c r="UKZ5" s="1304"/>
      <c r="ULA5" s="1304"/>
      <c r="ULB5" s="1304"/>
      <c r="ULC5" s="1304"/>
      <c r="ULD5" s="1304"/>
      <c r="ULE5" s="1304"/>
      <c r="ULF5" s="1304"/>
      <c r="ULG5" s="1304"/>
      <c r="ULH5" s="1304"/>
      <c r="ULI5" s="1304"/>
      <c r="ULJ5" s="1304"/>
      <c r="ULK5" s="1304"/>
      <c r="ULL5" s="1304"/>
      <c r="ULM5" s="1304"/>
      <c r="ULN5" s="1304"/>
      <c r="ULO5" s="1304"/>
      <c r="ULP5" s="1304"/>
      <c r="ULQ5" s="1304"/>
      <c r="ULR5" s="1304"/>
      <c r="ULS5" s="1304"/>
      <c r="ULT5" s="1304"/>
      <c r="ULU5" s="1304"/>
      <c r="ULV5" s="1304"/>
      <c r="ULW5" s="1304"/>
      <c r="ULX5" s="1304"/>
      <c r="ULY5" s="1304"/>
      <c r="ULZ5" s="1304"/>
      <c r="UMA5" s="1304"/>
      <c r="UMB5" s="1304"/>
      <c r="UMC5" s="1304"/>
      <c r="UMD5" s="1304"/>
      <c r="UME5" s="1304"/>
      <c r="UMF5" s="1304"/>
      <c r="UMG5" s="1304"/>
      <c r="UMH5" s="1304"/>
      <c r="UMI5" s="1304"/>
      <c r="UMJ5" s="1304"/>
      <c r="UMK5" s="1304"/>
      <c r="UML5" s="1304"/>
      <c r="UMM5" s="1304"/>
      <c r="UMN5" s="1304"/>
      <c r="UMO5" s="1304"/>
      <c r="UMP5" s="1304"/>
      <c r="UMQ5" s="1304"/>
      <c r="UMR5" s="1304"/>
      <c r="UMS5" s="1304"/>
      <c r="UMT5" s="1304"/>
      <c r="UMU5" s="1304"/>
      <c r="UMV5" s="1304"/>
      <c r="UMW5" s="1304"/>
      <c r="UMX5" s="1304"/>
      <c r="UMY5" s="1304"/>
      <c r="UMZ5" s="1304"/>
      <c r="UNA5" s="1304"/>
      <c r="UNB5" s="1304"/>
      <c r="UNC5" s="1304"/>
      <c r="UND5" s="1304"/>
      <c r="UNE5" s="1304"/>
      <c r="UNF5" s="1304"/>
      <c r="UNG5" s="1304"/>
      <c r="UNH5" s="1304"/>
      <c r="UNI5" s="1304"/>
      <c r="UNJ5" s="1304"/>
      <c r="UNK5" s="1304"/>
      <c r="UNL5" s="1304"/>
      <c r="UNM5" s="1304"/>
      <c r="UNN5" s="1304"/>
      <c r="UNO5" s="1304"/>
      <c r="UNP5" s="1304"/>
      <c r="UNQ5" s="1304"/>
      <c r="UNR5" s="1304"/>
      <c r="UNS5" s="1304"/>
      <c r="UNT5" s="1304"/>
      <c r="UNU5" s="1304"/>
      <c r="UNV5" s="1304"/>
      <c r="UNW5" s="1304"/>
      <c r="UNX5" s="1304"/>
      <c r="UNY5" s="1304"/>
      <c r="UNZ5" s="1304"/>
      <c r="UOA5" s="1304"/>
      <c r="UOB5" s="1304"/>
      <c r="UOC5" s="1304"/>
      <c r="UOD5" s="1304"/>
      <c r="UOE5" s="1304"/>
      <c r="UOF5" s="1304"/>
      <c r="UOG5" s="1304"/>
      <c r="UOH5" s="1304"/>
      <c r="UOI5" s="1304"/>
      <c r="UOJ5" s="1304"/>
      <c r="UOK5" s="1304"/>
      <c r="UOL5" s="1304"/>
      <c r="UOM5" s="1304"/>
      <c r="UON5" s="1304"/>
      <c r="UOO5" s="1304"/>
      <c r="UOP5" s="1304"/>
      <c r="UOQ5" s="1304"/>
      <c r="UOR5" s="1304"/>
      <c r="UOS5" s="1304"/>
      <c r="UOT5" s="1304"/>
      <c r="UOU5" s="1304"/>
      <c r="UOV5" s="1304"/>
      <c r="UOW5" s="1304"/>
      <c r="UOX5" s="1304"/>
      <c r="UOY5" s="1304"/>
      <c r="UOZ5" s="1304"/>
      <c r="UPA5" s="1304"/>
      <c r="UPB5" s="1304"/>
      <c r="UPC5" s="1304"/>
      <c r="UPD5" s="1304"/>
      <c r="UPE5" s="1304"/>
      <c r="UPF5" s="1304"/>
      <c r="UPG5" s="1304"/>
      <c r="UPH5" s="1304"/>
      <c r="UPI5" s="1304"/>
      <c r="UPJ5" s="1304"/>
      <c r="UPK5" s="1304"/>
      <c r="UPL5" s="1304"/>
      <c r="UPM5" s="1304"/>
      <c r="UPN5" s="1304"/>
      <c r="UPO5" s="1304"/>
      <c r="UPP5" s="1304"/>
      <c r="UPQ5" s="1304"/>
      <c r="UPR5" s="1304"/>
      <c r="UPS5" s="1304"/>
      <c r="UPT5" s="1304"/>
      <c r="UPU5" s="1304"/>
      <c r="UPV5" s="1304"/>
      <c r="UPW5" s="1304"/>
      <c r="UPX5" s="1304"/>
      <c r="UPY5" s="1304"/>
      <c r="UPZ5" s="1304"/>
      <c r="UQA5" s="1304"/>
      <c r="UQB5" s="1304"/>
      <c r="UQC5" s="1304"/>
      <c r="UQD5" s="1304"/>
      <c r="UQE5" s="1304"/>
      <c r="UQF5" s="1304"/>
      <c r="UQG5" s="1304"/>
      <c r="UQH5" s="1304"/>
      <c r="UQI5" s="1304"/>
      <c r="UQJ5" s="1304"/>
      <c r="UQK5" s="1304"/>
      <c r="UQL5" s="1304"/>
      <c r="UQM5" s="1304"/>
      <c r="UQN5" s="1304"/>
      <c r="UQO5" s="1304"/>
      <c r="UQP5" s="1304"/>
      <c r="UQQ5" s="1304"/>
      <c r="UQR5" s="1304"/>
      <c r="UQS5" s="1304"/>
      <c r="UQT5" s="1304"/>
      <c r="UQU5" s="1304"/>
      <c r="UQV5" s="1304"/>
      <c r="UQW5" s="1304"/>
      <c r="UQX5" s="1304"/>
      <c r="UQY5" s="1304"/>
      <c r="UQZ5" s="1304"/>
      <c r="URA5" s="1304"/>
      <c r="URB5" s="1304"/>
      <c r="URC5" s="1304"/>
      <c r="URD5" s="1304"/>
      <c r="URE5" s="1304"/>
      <c r="URF5" s="1304"/>
      <c r="URG5" s="1304"/>
      <c r="URH5" s="1304"/>
      <c r="URI5" s="1304"/>
      <c r="URJ5" s="1304"/>
      <c r="URK5" s="1304"/>
      <c r="URL5" s="1304"/>
      <c r="URM5" s="1304"/>
      <c r="URN5" s="1304"/>
      <c r="URO5" s="1304"/>
      <c r="URP5" s="1304"/>
      <c r="URQ5" s="1304"/>
      <c r="URR5" s="1304"/>
      <c r="URS5" s="1304"/>
      <c r="URT5" s="1304"/>
      <c r="URU5" s="1304"/>
      <c r="URV5" s="1304"/>
      <c r="URW5" s="1304"/>
      <c r="URX5" s="1304"/>
      <c r="URY5" s="1304"/>
      <c r="URZ5" s="1304"/>
      <c r="USA5" s="1304"/>
      <c r="USB5" s="1304"/>
      <c r="USC5" s="1304"/>
      <c r="USD5" s="1304"/>
      <c r="USE5" s="1304"/>
      <c r="USF5" s="1304"/>
      <c r="USG5" s="1304"/>
      <c r="USH5" s="1304"/>
      <c r="USI5" s="1304"/>
      <c r="USJ5" s="1304"/>
      <c r="USK5" s="1304"/>
      <c r="USL5" s="1304"/>
      <c r="USM5" s="1304"/>
      <c r="USN5" s="1304"/>
      <c r="USO5" s="1304"/>
      <c r="USP5" s="1304"/>
      <c r="USQ5" s="1304"/>
      <c r="USR5" s="1304"/>
      <c r="USS5" s="1304"/>
      <c r="UST5" s="1304"/>
      <c r="USU5" s="1304"/>
      <c r="USV5" s="1304"/>
      <c r="USW5" s="1304"/>
      <c r="USX5" s="1304"/>
      <c r="USY5" s="1304"/>
      <c r="USZ5" s="1304"/>
      <c r="UTA5" s="1304"/>
      <c r="UTB5" s="1304"/>
      <c r="UTC5" s="1304"/>
      <c r="UTD5" s="1304"/>
      <c r="UTE5" s="1304"/>
      <c r="UTF5" s="1304"/>
      <c r="UTG5" s="1304"/>
      <c r="UTH5" s="1304"/>
      <c r="UTI5" s="1304"/>
      <c r="UTJ5" s="1304"/>
      <c r="UTK5" s="1304"/>
      <c r="UTL5" s="1304"/>
      <c r="UTM5" s="1304"/>
      <c r="UTN5" s="1304"/>
      <c r="UTO5" s="1304"/>
      <c r="UTP5" s="1304"/>
      <c r="UTQ5" s="1304"/>
      <c r="UTR5" s="1304"/>
      <c r="UTS5" s="1304"/>
      <c r="UTT5" s="1304"/>
      <c r="UTU5" s="1304"/>
      <c r="UTV5" s="1304"/>
      <c r="UTW5" s="1304"/>
      <c r="UTX5" s="1304"/>
      <c r="UTY5" s="1304"/>
      <c r="UTZ5" s="1304"/>
      <c r="UUA5" s="1304"/>
      <c r="UUB5" s="1304"/>
      <c r="UUC5" s="1304"/>
      <c r="UUD5" s="1304"/>
      <c r="UUE5" s="1304"/>
      <c r="UUF5" s="1304"/>
      <c r="UUG5" s="1304"/>
      <c r="UUH5" s="1304"/>
      <c r="UUI5" s="1304"/>
      <c r="UUJ5" s="1304"/>
      <c r="UUK5" s="1304"/>
      <c r="UUL5" s="1304"/>
      <c r="UUM5" s="1304"/>
      <c r="UUN5" s="1304"/>
      <c r="UUO5" s="1304"/>
      <c r="UUP5" s="1304"/>
      <c r="UUQ5" s="1304"/>
      <c r="UUR5" s="1304"/>
      <c r="UUS5" s="1304"/>
      <c r="UUT5" s="1304"/>
      <c r="UUU5" s="1304"/>
      <c r="UUV5" s="1304"/>
      <c r="UUW5" s="1304"/>
      <c r="UUX5" s="1304"/>
      <c r="UUY5" s="1304"/>
      <c r="UUZ5" s="1304"/>
      <c r="UVA5" s="1304"/>
      <c r="UVB5" s="1304"/>
      <c r="UVC5" s="1304"/>
      <c r="UVD5" s="1304"/>
      <c r="UVE5" s="1304"/>
      <c r="UVF5" s="1304"/>
      <c r="UVG5" s="1304"/>
      <c r="UVH5" s="1304"/>
      <c r="UVI5" s="1304"/>
      <c r="UVJ5" s="1304"/>
      <c r="UVK5" s="1304"/>
      <c r="UVL5" s="1304"/>
      <c r="UVM5" s="1304"/>
      <c r="UVN5" s="1304"/>
      <c r="UVO5" s="1304"/>
      <c r="UVP5" s="1304"/>
      <c r="UVQ5" s="1304"/>
      <c r="UVR5" s="1304"/>
      <c r="UVS5" s="1304"/>
      <c r="UVT5" s="1304"/>
      <c r="UVU5" s="1304"/>
      <c r="UVV5" s="1304"/>
      <c r="UVW5" s="1304"/>
      <c r="UVX5" s="1304"/>
      <c r="UVY5" s="1304"/>
      <c r="UVZ5" s="1304"/>
      <c r="UWA5" s="1304"/>
      <c r="UWB5" s="1304"/>
      <c r="UWC5" s="1304"/>
      <c r="UWD5" s="1304"/>
      <c r="UWE5" s="1304"/>
      <c r="UWF5" s="1304"/>
      <c r="UWG5" s="1304"/>
      <c r="UWH5" s="1304"/>
      <c r="UWI5" s="1304"/>
      <c r="UWJ5" s="1304"/>
      <c r="UWK5" s="1304"/>
      <c r="UWL5" s="1304"/>
      <c r="UWM5" s="1304"/>
      <c r="UWN5" s="1304"/>
      <c r="UWO5" s="1304"/>
      <c r="UWP5" s="1304"/>
      <c r="UWQ5" s="1304"/>
      <c r="UWR5" s="1304"/>
      <c r="UWS5" s="1304"/>
      <c r="UWT5" s="1304"/>
      <c r="UWU5" s="1304"/>
      <c r="UWV5" s="1304"/>
      <c r="UWW5" s="1304"/>
      <c r="UWX5" s="1304"/>
      <c r="UWY5" s="1304"/>
      <c r="UWZ5" s="1304"/>
      <c r="UXA5" s="1304"/>
      <c r="UXB5" s="1304"/>
      <c r="UXC5" s="1304"/>
      <c r="UXD5" s="1304"/>
      <c r="UXE5" s="1304"/>
      <c r="UXF5" s="1304"/>
      <c r="UXG5" s="1304"/>
      <c r="UXH5" s="1304"/>
      <c r="UXI5" s="1304"/>
      <c r="UXJ5" s="1304"/>
      <c r="UXK5" s="1304"/>
      <c r="UXL5" s="1304"/>
      <c r="UXM5" s="1304"/>
      <c r="UXN5" s="1304"/>
      <c r="UXO5" s="1304"/>
      <c r="UXP5" s="1304"/>
      <c r="UXQ5" s="1304"/>
      <c r="UXR5" s="1304"/>
      <c r="UXS5" s="1304"/>
      <c r="UXT5" s="1304"/>
      <c r="UXU5" s="1304"/>
      <c r="UXV5" s="1304"/>
      <c r="UXW5" s="1304"/>
      <c r="UXX5" s="1304"/>
      <c r="UXY5" s="1304"/>
      <c r="UXZ5" s="1304"/>
      <c r="UYA5" s="1304"/>
      <c r="UYB5" s="1304"/>
      <c r="UYC5" s="1304"/>
      <c r="UYD5" s="1304"/>
      <c r="UYE5" s="1304"/>
      <c r="UYF5" s="1304"/>
      <c r="UYG5" s="1304"/>
      <c r="UYH5" s="1304"/>
      <c r="UYI5" s="1304"/>
      <c r="UYJ5" s="1304"/>
      <c r="UYK5" s="1304"/>
      <c r="UYL5" s="1304"/>
      <c r="UYM5" s="1304"/>
      <c r="UYN5" s="1304"/>
      <c r="UYO5" s="1304"/>
      <c r="UYP5" s="1304"/>
      <c r="UYQ5" s="1304"/>
      <c r="UYR5" s="1304"/>
      <c r="UYS5" s="1304"/>
      <c r="UYT5" s="1304"/>
      <c r="UYU5" s="1304"/>
      <c r="UYV5" s="1304"/>
      <c r="UYW5" s="1304"/>
      <c r="UYX5" s="1304"/>
      <c r="UYY5" s="1304"/>
      <c r="UYZ5" s="1304"/>
      <c r="UZA5" s="1304"/>
      <c r="UZB5" s="1304"/>
      <c r="UZC5" s="1304"/>
      <c r="UZD5" s="1304"/>
      <c r="UZE5" s="1304"/>
      <c r="UZF5" s="1304"/>
      <c r="UZG5" s="1304"/>
      <c r="UZH5" s="1304"/>
      <c r="UZI5" s="1304"/>
      <c r="UZJ5" s="1304"/>
      <c r="UZK5" s="1304"/>
      <c r="UZL5" s="1304"/>
      <c r="UZM5" s="1304"/>
      <c r="UZN5" s="1304"/>
      <c r="UZO5" s="1304"/>
      <c r="UZP5" s="1304"/>
      <c r="UZQ5" s="1304"/>
      <c r="UZR5" s="1304"/>
      <c r="UZS5" s="1304"/>
      <c r="UZT5" s="1304"/>
      <c r="UZU5" s="1304"/>
      <c r="UZV5" s="1304"/>
      <c r="UZW5" s="1304"/>
      <c r="UZX5" s="1304"/>
      <c r="UZY5" s="1304"/>
      <c r="UZZ5" s="1304"/>
      <c r="VAA5" s="1304"/>
      <c r="VAB5" s="1304"/>
      <c r="VAC5" s="1304"/>
      <c r="VAD5" s="1304"/>
      <c r="VAE5" s="1304"/>
      <c r="VAF5" s="1304"/>
      <c r="VAG5" s="1304"/>
      <c r="VAH5" s="1304"/>
      <c r="VAI5" s="1304"/>
      <c r="VAJ5" s="1304"/>
      <c r="VAK5" s="1304"/>
      <c r="VAL5" s="1304"/>
      <c r="VAM5" s="1304"/>
      <c r="VAN5" s="1304"/>
      <c r="VAO5" s="1304"/>
      <c r="VAP5" s="1304"/>
      <c r="VAQ5" s="1304"/>
      <c r="VAR5" s="1304"/>
      <c r="VAS5" s="1304"/>
      <c r="VAT5" s="1304"/>
      <c r="VAU5" s="1304"/>
      <c r="VAV5" s="1304"/>
      <c r="VAW5" s="1304"/>
      <c r="VAX5" s="1304"/>
      <c r="VAY5" s="1304"/>
      <c r="VAZ5" s="1304"/>
      <c r="VBA5" s="1304"/>
      <c r="VBB5" s="1304"/>
      <c r="VBC5" s="1304"/>
      <c r="VBD5" s="1304"/>
      <c r="VBE5" s="1304"/>
      <c r="VBF5" s="1304"/>
      <c r="VBG5" s="1304"/>
      <c r="VBH5" s="1304"/>
      <c r="VBI5" s="1304"/>
      <c r="VBJ5" s="1304"/>
      <c r="VBK5" s="1304"/>
      <c r="VBL5" s="1304"/>
      <c r="VBM5" s="1304"/>
      <c r="VBN5" s="1304"/>
      <c r="VBO5" s="1304"/>
      <c r="VBP5" s="1304"/>
      <c r="VBQ5" s="1304"/>
      <c r="VBR5" s="1304"/>
      <c r="VBS5" s="1304"/>
      <c r="VBT5" s="1304"/>
      <c r="VBU5" s="1304"/>
      <c r="VBV5" s="1304"/>
      <c r="VBW5" s="1304"/>
      <c r="VBX5" s="1304"/>
      <c r="VBY5" s="1304"/>
      <c r="VBZ5" s="1304"/>
      <c r="VCA5" s="1304"/>
      <c r="VCB5" s="1304"/>
      <c r="VCC5" s="1304"/>
      <c r="VCD5" s="1304"/>
      <c r="VCE5" s="1304"/>
      <c r="VCF5" s="1304"/>
      <c r="VCG5" s="1304"/>
      <c r="VCH5" s="1304"/>
      <c r="VCI5" s="1304"/>
      <c r="VCJ5" s="1304"/>
      <c r="VCK5" s="1304"/>
      <c r="VCL5" s="1304"/>
      <c r="VCM5" s="1304"/>
      <c r="VCN5" s="1304"/>
      <c r="VCO5" s="1304"/>
      <c r="VCP5" s="1304"/>
      <c r="VCQ5" s="1304"/>
      <c r="VCR5" s="1304"/>
      <c r="VCS5" s="1304"/>
      <c r="VCT5" s="1304"/>
      <c r="VCU5" s="1304"/>
      <c r="VCV5" s="1304"/>
      <c r="VCW5" s="1304"/>
      <c r="VCX5" s="1304"/>
      <c r="VCY5" s="1304"/>
      <c r="VCZ5" s="1304"/>
      <c r="VDA5" s="1304"/>
      <c r="VDB5" s="1304"/>
      <c r="VDC5" s="1304"/>
      <c r="VDD5" s="1304"/>
      <c r="VDE5" s="1304"/>
      <c r="VDF5" s="1304"/>
      <c r="VDG5" s="1304"/>
      <c r="VDH5" s="1304"/>
      <c r="VDI5" s="1304"/>
      <c r="VDJ5" s="1304"/>
      <c r="VDK5" s="1304"/>
      <c r="VDL5" s="1304"/>
      <c r="VDM5" s="1304"/>
      <c r="VDN5" s="1304"/>
      <c r="VDO5" s="1304"/>
      <c r="VDP5" s="1304"/>
      <c r="VDQ5" s="1304"/>
      <c r="VDR5" s="1304"/>
      <c r="VDS5" s="1304"/>
      <c r="VDT5" s="1304"/>
      <c r="VDU5" s="1304"/>
      <c r="VDV5" s="1304"/>
      <c r="VDW5" s="1304"/>
      <c r="VDX5" s="1304"/>
      <c r="VDY5" s="1304"/>
      <c r="VDZ5" s="1304"/>
      <c r="VEA5" s="1304"/>
      <c r="VEB5" s="1304"/>
      <c r="VEC5" s="1304"/>
      <c r="VED5" s="1304"/>
      <c r="VEE5" s="1304"/>
      <c r="VEF5" s="1304"/>
      <c r="VEG5" s="1304"/>
      <c r="VEH5" s="1304"/>
      <c r="VEI5" s="1304"/>
      <c r="VEJ5" s="1304"/>
      <c r="VEK5" s="1304"/>
      <c r="VEL5" s="1304"/>
      <c r="VEM5" s="1304"/>
      <c r="VEN5" s="1304"/>
      <c r="VEO5" s="1304"/>
      <c r="VEP5" s="1304"/>
      <c r="VEQ5" s="1304"/>
      <c r="VER5" s="1304"/>
      <c r="VES5" s="1304"/>
      <c r="VET5" s="1304"/>
      <c r="VEU5" s="1304"/>
      <c r="VEV5" s="1304"/>
      <c r="VEW5" s="1304"/>
      <c r="VEX5" s="1304"/>
      <c r="VEY5" s="1304"/>
      <c r="VEZ5" s="1304"/>
      <c r="VFA5" s="1304"/>
      <c r="VFB5" s="1304"/>
      <c r="VFC5" s="1304"/>
      <c r="VFD5" s="1304"/>
      <c r="VFE5" s="1304"/>
      <c r="VFF5" s="1304"/>
      <c r="VFG5" s="1304"/>
      <c r="VFH5" s="1304"/>
      <c r="VFI5" s="1304"/>
      <c r="VFJ5" s="1304"/>
      <c r="VFK5" s="1304"/>
      <c r="VFL5" s="1304"/>
      <c r="VFM5" s="1304"/>
      <c r="VFN5" s="1304"/>
      <c r="VFO5" s="1304"/>
      <c r="VFP5" s="1304"/>
      <c r="VFQ5" s="1304"/>
      <c r="VFR5" s="1304"/>
      <c r="VFS5" s="1304"/>
      <c r="VFT5" s="1304"/>
      <c r="VFU5" s="1304"/>
      <c r="VFV5" s="1304"/>
      <c r="VFW5" s="1304"/>
      <c r="VFX5" s="1304"/>
      <c r="VFY5" s="1304"/>
      <c r="VFZ5" s="1304"/>
      <c r="VGA5" s="1304"/>
      <c r="VGB5" s="1304"/>
      <c r="VGC5" s="1304"/>
      <c r="VGD5" s="1304"/>
      <c r="VGE5" s="1304"/>
      <c r="VGF5" s="1304"/>
      <c r="VGG5" s="1304"/>
      <c r="VGH5" s="1304"/>
      <c r="VGI5" s="1304"/>
      <c r="VGJ5" s="1304"/>
      <c r="VGK5" s="1304"/>
      <c r="VGL5" s="1304"/>
      <c r="VGM5" s="1304"/>
      <c r="VGN5" s="1304"/>
      <c r="VGO5" s="1304"/>
      <c r="VGP5" s="1304"/>
      <c r="VGQ5" s="1304"/>
      <c r="VGR5" s="1304"/>
      <c r="VGS5" s="1304"/>
      <c r="VGT5" s="1304"/>
      <c r="VGU5" s="1304"/>
      <c r="VGV5" s="1304"/>
      <c r="VGW5" s="1304"/>
      <c r="VGX5" s="1304"/>
      <c r="VGY5" s="1304"/>
      <c r="VGZ5" s="1304"/>
      <c r="VHA5" s="1304"/>
      <c r="VHB5" s="1304"/>
      <c r="VHC5" s="1304"/>
      <c r="VHD5" s="1304"/>
      <c r="VHE5" s="1304"/>
      <c r="VHF5" s="1304"/>
      <c r="VHG5" s="1304"/>
      <c r="VHH5" s="1304"/>
      <c r="VHI5" s="1304"/>
      <c r="VHJ5" s="1304"/>
      <c r="VHK5" s="1304"/>
      <c r="VHL5" s="1304"/>
      <c r="VHM5" s="1304"/>
      <c r="VHN5" s="1304"/>
      <c r="VHO5" s="1304"/>
      <c r="VHP5" s="1304"/>
      <c r="VHQ5" s="1304"/>
      <c r="VHR5" s="1304"/>
      <c r="VHS5" s="1304"/>
      <c r="VHT5" s="1304"/>
      <c r="VHU5" s="1304"/>
      <c r="VHV5" s="1304"/>
      <c r="VHW5" s="1304"/>
      <c r="VHX5" s="1304"/>
      <c r="VHY5" s="1304"/>
      <c r="VHZ5" s="1304"/>
      <c r="VIA5" s="1304"/>
      <c r="VIB5" s="1304"/>
      <c r="VIC5" s="1304"/>
      <c r="VID5" s="1304"/>
      <c r="VIE5" s="1304"/>
      <c r="VIF5" s="1304"/>
      <c r="VIG5" s="1304"/>
      <c r="VIH5" s="1304"/>
      <c r="VII5" s="1304"/>
      <c r="VIJ5" s="1304"/>
      <c r="VIK5" s="1304"/>
      <c r="VIL5" s="1304"/>
      <c r="VIM5" s="1304"/>
      <c r="VIN5" s="1304"/>
      <c r="VIO5" s="1304"/>
      <c r="VIP5" s="1304"/>
      <c r="VIQ5" s="1304"/>
      <c r="VIR5" s="1304"/>
      <c r="VIS5" s="1304"/>
      <c r="VIT5" s="1304"/>
      <c r="VIU5" s="1304"/>
      <c r="VIV5" s="1304"/>
      <c r="VIW5" s="1304"/>
      <c r="VIX5" s="1304"/>
      <c r="VIY5" s="1304"/>
      <c r="VIZ5" s="1304"/>
      <c r="VJA5" s="1304"/>
      <c r="VJB5" s="1304"/>
      <c r="VJC5" s="1304"/>
      <c r="VJD5" s="1304"/>
      <c r="VJE5" s="1304"/>
      <c r="VJF5" s="1304"/>
      <c r="VJG5" s="1304"/>
      <c r="VJH5" s="1304"/>
      <c r="VJI5" s="1304"/>
      <c r="VJJ5" s="1304"/>
      <c r="VJK5" s="1304"/>
      <c r="VJL5" s="1304"/>
      <c r="VJM5" s="1304"/>
      <c r="VJN5" s="1304"/>
      <c r="VJO5" s="1304"/>
      <c r="VJP5" s="1304"/>
      <c r="VJQ5" s="1304"/>
      <c r="VJR5" s="1304"/>
      <c r="VJS5" s="1304"/>
      <c r="VJT5" s="1304"/>
      <c r="VJU5" s="1304"/>
      <c r="VJV5" s="1304"/>
      <c r="VJW5" s="1304"/>
      <c r="VJX5" s="1304"/>
      <c r="VJY5" s="1304"/>
      <c r="VJZ5" s="1304"/>
      <c r="VKA5" s="1304"/>
      <c r="VKB5" s="1304"/>
      <c r="VKC5" s="1304"/>
      <c r="VKD5" s="1304"/>
      <c r="VKE5" s="1304"/>
      <c r="VKF5" s="1304"/>
      <c r="VKG5" s="1304"/>
      <c r="VKH5" s="1304"/>
      <c r="VKI5" s="1304"/>
      <c r="VKJ5" s="1304"/>
      <c r="VKK5" s="1304"/>
      <c r="VKL5" s="1304"/>
      <c r="VKM5" s="1304"/>
      <c r="VKN5" s="1304"/>
      <c r="VKO5" s="1304"/>
      <c r="VKP5" s="1304"/>
      <c r="VKQ5" s="1304"/>
      <c r="VKR5" s="1304"/>
      <c r="VKS5" s="1304"/>
      <c r="VKT5" s="1304"/>
      <c r="VKU5" s="1304"/>
      <c r="VKV5" s="1304"/>
      <c r="VKW5" s="1304"/>
      <c r="VKX5" s="1304"/>
      <c r="VKY5" s="1304"/>
      <c r="VKZ5" s="1304"/>
      <c r="VLA5" s="1304"/>
      <c r="VLB5" s="1304"/>
      <c r="VLC5" s="1304"/>
      <c r="VLD5" s="1304"/>
      <c r="VLE5" s="1304"/>
      <c r="VLF5" s="1304"/>
      <c r="VLG5" s="1304"/>
      <c r="VLH5" s="1304"/>
      <c r="VLI5" s="1304"/>
      <c r="VLJ5" s="1304"/>
      <c r="VLK5" s="1304"/>
      <c r="VLL5" s="1304"/>
      <c r="VLM5" s="1304"/>
      <c r="VLN5" s="1304"/>
      <c r="VLO5" s="1304"/>
      <c r="VLP5" s="1304"/>
      <c r="VLQ5" s="1304"/>
      <c r="VLR5" s="1304"/>
      <c r="VLS5" s="1304"/>
      <c r="VLT5" s="1304"/>
      <c r="VLU5" s="1304"/>
      <c r="VLV5" s="1304"/>
      <c r="VLW5" s="1304"/>
      <c r="VLX5" s="1304"/>
      <c r="VLY5" s="1304"/>
      <c r="VLZ5" s="1304"/>
      <c r="VMA5" s="1304"/>
      <c r="VMB5" s="1304"/>
      <c r="VMC5" s="1304"/>
      <c r="VMD5" s="1304"/>
      <c r="VME5" s="1304"/>
      <c r="VMF5" s="1304"/>
      <c r="VMG5" s="1304"/>
      <c r="VMH5" s="1304"/>
      <c r="VMI5" s="1304"/>
      <c r="VMJ5" s="1304"/>
      <c r="VMK5" s="1304"/>
      <c r="VML5" s="1304"/>
      <c r="VMM5" s="1304"/>
      <c r="VMN5" s="1304"/>
      <c r="VMO5" s="1304"/>
      <c r="VMP5" s="1304"/>
      <c r="VMQ5" s="1304"/>
      <c r="VMR5" s="1304"/>
      <c r="VMS5" s="1304"/>
      <c r="VMT5" s="1304"/>
      <c r="VMU5" s="1304"/>
      <c r="VMV5" s="1304"/>
      <c r="VMW5" s="1304"/>
      <c r="VMX5" s="1304"/>
      <c r="VMY5" s="1304"/>
      <c r="VMZ5" s="1304"/>
      <c r="VNA5" s="1304"/>
      <c r="VNB5" s="1304"/>
      <c r="VNC5" s="1304"/>
      <c r="VND5" s="1304"/>
      <c r="VNE5" s="1304"/>
      <c r="VNF5" s="1304"/>
      <c r="VNG5" s="1304"/>
      <c r="VNH5" s="1304"/>
      <c r="VNI5" s="1304"/>
      <c r="VNJ5" s="1304"/>
      <c r="VNK5" s="1304"/>
      <c r="VNL5" s="1304"/>
      <c r="VNM5" s="1304"/>
      <c r="VNN5" s="1304"/>
      <c r="VNO5" s="1304"/>
      <c r="VNP5" s="1304"/>
      <c r="VNQ5" s="1304"/>
      <c r="VNR5" s="1304"/>
      <c r="VNS5" s="1304"/>
      <c r="VNT5" s="1304"/>
      <c r="VNU5" s="1304"/>
      <c r="VNV5" s="1304"/>
      <c r="VNW5" s="1304"/>
      <c r="VNX5" s="1304"/>
      <c r="VNY5" s="1304"/>
      <c r="VNZ5" s="1304"/>
      <c r="VOA5" s="1304"/>
      <c r="VOB5" s="1304"/>
      <c r="VOC5" s="1304"/>
      <c r="VOD5" s="1304"/>
      <c r="VOE5" s="1304"/>
      <c r="VOF5" s="1304"/>
      <c r="VOG5" s="1304"/>
      <c r="VOH5" s="1304"/>
      <c r="VOI5" s="1304"/>
      <c r="VOJ5" s="1304"/>
      <c r="VOK5" s="1304"/>
      <c r="VOL5" s="1304"/>
      <c r="VOM5" s="1304"/>
      <c r="VON5" s="1304"/>
      <c r="VOO5" s="1304"/>
      <c r="VOP5" s="1304"/>
      <c r="VOQ5" s="1304"/>
      <c r="VOR5" s="1304"/>
      <c r="VOS5" s="1304"/>
      <c r="VOT5" s="1304"/>
      <c r="VOU5" s="1304"/>
      <c r="VOV5" s="1304"/>
      <c r="VOW5" s="1304"/>
      <c r="VOX5" s="1304"/>
      <c r="VOY5" s="1304"/>
      <c r="VOZ5" s="1304"/>
      <c r="VPA5" s="1304"/>
      <c r="VPB5" s="1304"/>
      <c r="VPC5" s="1304"/>
      <c r="VPD5" s="1304"/>
      <c r="VPE5" s="1304"/>
      <c r="VPF5" s="1304"/>
      <c r="VPG5" s="1304"/>
      <c r="VPH5" s="1304"/>
      <c r="VPI5" s="1304"/>
      <c r="VPJ5" s="1304"/>
      <c r="VPK5" s="1304"/>
      <c r="VPL5" s="1304"/>
      <c r="VPM5" s="1304"/>
      <c r="VPN5" s="1304"/>
      <c r="VPO5" s="1304"/>
      <c r="VPP5" s="1304"/>
      <c r="VPQ5" s="1304"/>
      <c r="VPR5" s="1304"/>
      <c r="VPS5" s="1304"/>
      <c r="VPT5" s="1304"/>
      <c r="VPU5" s="1304"/>
      <c r="VPV5" s="1304"/>
      <c r="VPW5" s="1304"/>
      <c r="VPX5" s="1304"/>
      <c r="VPY5" s="1304"/>
      <c r="VPZ5" s="1304"/>
      <c r="VQA5" s="1304"/>
      <c r="VQB5" s="1304"/>
      <c r="VQC5" s="1304"/>
      <c r="VQD5" s="1304"/>
      <c r="VQE5" s="1304"/>
      <c r="VQF5" s="1304"/>
      <c r="VQG5" s="1304"/>
      <c r="VQH5" s="1304"/>
      <c r="VQI5" s="1304"/>
      <c r="VQJ5" s="1304"/>
      <c r="VQK5" s="1304"/>
      <c r="VQL5" s="1304"/>
      <c r="VQM5" s="1304"/>
      <c r="VQN5" s="1304"/>
      <c r="VQO5" s="1304"/>
      <c r="VQP5" s="1304"/>
      <c r="VQQ5" s="1304"/>
      <c r="VQR5" s="1304"/>
      <c r="VQS5" s="1304"/>
      <c r="VQT5" s="1304"/>
      <c r="VQU5" s="1304"/>
      <c r="VQV5" s="1304"/>
      <c r="VQW5" s="1304"/>
      <c r="VQX5" s="1304"/>
      <c r="VQY5" s="1304"/>
      <c r="VQZ5" s="1304"/>
      <c r="VRA5" s="1304"/>
      <c r="VRB5" s="1304"/>
      <c r="VRC5" s="1304"/>
      <c r="VRD5" s="1304"/>
      <c r="VRE5" s="1304"/>
      <c r="VRF5" s="1304"/>
      <c r="VRG5" s="1304"/>
      <c r="VRH5" s="1304"/>
      <c r="VRI5" s="1304"/>
      <c r="VRJ5" s="1304"/>
      <c r="VRK5" s="1304"/>
      <c r="VRL5" s="1304"/>
      <c r="VRM5" s="1304"/>
      <c r="VRN5" s="1304"/>
      <c r="VRO5" s="1304"/>
      <c r="VRP5" s="1304"/>
      <c r="VRQ5" s="1304"/>
      <c r="VRR5" s="1304"/>
      <c r="VRS5" s="1304"/>
      <c r="VRT5" s="1304"/>
      <c r="VRU5" s="1304"/>
      <c r="VRV5" s="1304"/>
      <c r="VRW5" s="1304"/>
      <c r="VRX5" s="1304"/>
      <c r="VRY5" s="1304"/>
      <c r="VRZ5" s="1304"/>
      <c r="VSA5" s="1304"/>
      <c r="VSB5" s="1304"/>
      <c r="VSC5" s="1304"/>
      <c r="VSD5" s="1304"/>
      <c r="VSE5" s="1304"/>
      <c r="VSF5" s="1304"/>
      <c r="VSG5" s="1304"/>
      <c r="VSH5" s="1304"/>
      <c r="VSI5" s="1304"/>
      <c r="VSJ5" s="1304"/>
      <c r="VSK5" s="1304"/>
      <c r="VSL5" s="1304"/>
      <c r="VSM5" s="1304"/>
      <c r="VSN5" s="1304"/>
      <c r="VSO5" s="1304"/>
      <c r="VSP5" s="1304"/>
      <c r="VSQ5" s="1304"/>
      <c r="VSR5" s="1304"/>
      <c r="VSS5" s="1304"/>
      <c r="VST5" s="1304"/>
      <c r="VSU5" s="1304"/>
      <c r="VSV5" s="1304"/>
      <c r="VSW5" s="1304"/>
      <c r="VSX5" s="1304"/>
      <c r="VSY5" s="1304"/>
      <c r="VSZ5" s="1304"/>
      <c r="VTA5" s="1304"/>
      <c r="VTB5" s="1304"/>
      <c r="VTC5" s="1304"/>
      <c r="VTD5" s="1304"/>
      <c r="VTE5" s="1304"/>
      <c r="VTF5" s="1304"/>
      <c r="VTG5" s="1304"/>
      <c r="VTH5" s="1304"/>
      <c r="VTI5" s="1304"/>
      <c r="VTJ5" s="1304"/>
      <c r="VTK5" s="1304"/>
      <c r="VTL5" s="1304"/>
      <c r="VTM5" s="1304"/>
      <c r="VTN5" s="1304"/>
      <c r="VTO5" s="1304"/>
      <c r="VTP5" s="1304"/>
      <c r="VTQ5" s="1304"/>
      <c r="VTR5" s="1304"/>
      <c r="VTS5" s="1304"/>
      <c r="VTT5" s="1304"/>
      <c r="VTU5" s="1304"/>
      <c r="VTV5" s="1304"/>
      <c r="VTW5" s="1304"/>
      <c r="VTX5" s="1304"/>
      <c r="VTY5" s="1304"/>
      <c r="VTZ5" s="1304"/>
      <c r="VUA5" s="1304"/>
      <c r="VUB5" s="1304"/>
      <c r="VUC5" s="1304"/>
      <c r="VUD5" s="1304"/>
      <c r="VUE5" s="1304"/>
      <c r="VUF5" s="1304"/>
      <c r="VUG5" s="1304"/>
      <c r="VUH5" s="1304"/>
      <c r="VUI5" s="1304"/>
      <c r="VUJ5" s="1304"/>
      <c r="VUK5" s="1304"/>
      <c r="VUL5" s="1304"/>
      <c r="VUM5" s="1304"/>
      <c r="VUN5" s="1304"/>
      <c r="VUO5" s="1304"/>
      <c r="VUP5" s="1304"/>
      <c r="VUQ5" s="1304"/>
      <c r="VUR5" s="1304"/>
      <c r="VUS5" s="1304"/>
      <c r="VUT5" s="1304"/>
      <c r="VUU5" s="1304"/>
      <c r="VUV5" s="1304"/>
      <c r="VUW5" s="1304"/>
      <c r="VUX5" s="1304"/>
      <c r="VUY5" s="1304"/>
      <c r="VUZ5" s="1304"/>
      <c r="VVA5" s="1304"/>
      <c r="VVB5" s="1304"/>
      <c r="VVC5" s="1304"/>
      <c r="VVD5" s="1304"/>
      <c r="VVE5" s="1304"/>
      <c r="VVF5" s="1304"/>
      <c r="VVG5" s="1304"/>
      <c r="VVH5" s="1304"/>
      <c r="VVI5" s="1304"/>
      <c r="VVJ5" s="1304"/>
      <c r="VVK5" s="1304"/>
      <c r="VVL5" s="1304"/>
      <c r="VVM5" s="1304"/>
      <c r="VVN5" s="1304"/>
      <c r="VVO5" s="1304"/>
      <c r="VVP5" s="1304"/>
      <c r="VVQ5" s="1304"/>
      <c r="VVR5" s="1304"/>
      <c r="VVS5" s="1304"/>
      <c r="VVT5" s="1304"/>
      <c r="VVU5" s="1304"/>
      <c r="VVV5" s="1304"/>
      <c r="VVW5" s="1304"/>
      <c r="VVX5" s="1304"/>
      <c r="VVY5" s="1304"/>
      <c r="VVZ5" s="1304"/>
      <c r="VWA5" s="1304"/>
      <c r="VWB5" s="1304"/>
      <c r="VWC5" s="1304"/>
      <c r="VWD5" s="1304"/>
      <c r="VWE5" s="1304"/>
      <c r="VWF5" s="1304"/>
      <c r="VWG5" s="1304"/>
      <c r="VWH5" s="1304"/>
      <c r="VWI5" s="1304"/>
      <c r="VWJ5" s="1304"/>
      <c r="VWK5" s="1304"/>
      <c r="VWL5" s="1304"/>
      <c r="VWM5" s="1304"/>
      <c r="VWN5" s="1304"/>
      <c r="VWO5" s="1304"/>
      <c r="VWP5" s="1304"/>
      <c r="VWQ5" s="1304"/>
      <c r="VWR5" s="1304"/>
      <c r="VWS5" s="1304"/>
      <c r="VWT5" s="1304"/>
      <c r="VWU5" s="1304"/>
      <c r="VWV5" s="1304"/>
      <c r="VWW5" s="1304"/>
      <c r="VWX5" s="1304"/>
      <c r="VWY5" s="1304"/>
      <c r="VWZ5" s="1304"/>
      <c r="VXA5" s="1304"/>
      <c r="VXB5" s="1304"/>
      <c r="VXC5" s="1304"/>
      <c r="VXD5" s="1304"/>
      <c r="VXE5" s="1304"/>
      <c r="VXF5" s="1304"/>
      <c r="VXG5" s="1304"/>
      <c r="VXH5" s="1304"/>
      <c r="VXI5" s="1304"/>
      <c r="VXJ5" s="1304"/>
      <c r="VXK5" s="1304"/>
      <c r="VXL5" s="1304"/>
      <c r="VXM5" s="1304"/>
      <c r="VXN5" s="1304"/>
      <c r="VXO5" s="1304"/>
      <c r="VXP5" s="1304"/>
      <c r="VXQ5" s="1304"/>
      <c r="VXR5" s="1304"/>
      <c r="VXS5" s="1304"/>
      <c r="VXT5" s="1304"/>
      <c r="VXU5" s="1304"/>
      <c r="VXV5" s="1304"/>
      <c r="VXW5" s="1304"/>
      <c r="VXX5" s="1304"/>
      <c r="VXY5" s="1304"/>
      <c r="VXZ5" s="1304"/>
      <c r="VYA5" s="1304"/>
      <c r="VYB5" s="1304"/>
      <c r="VYC5" s="1304"/>
      <c r="VYD5" s="1304"/>
      <c r="VYE5" s="1304"/>
      <c r="VYF5" s="1304"/>
      <c r="VYG5" s="1304"/>
      <c r="VYH5" s="1304"/>
      <c r="VYI5" s="1304"/>
      <c r="VYJ5" s="1304"/>
      <c r="VYK5" s="1304"/>
      <c r="VYL5" s="1304"/>
      <c r="VYM5" s="1304"/>
      <c r="VYN5" s="1304"/>
      <c r="VYO5" s="1304"/>
      <c r="VYP5" s="1304"/>
      <c r="VYQ5" s="1304"/>
      <c r="VYR5" s="1304"/>
      <c r="VYS5" s="1304"/>
      <c r="VYT5" s="1304"/>
      <c r="VYU5" s="1304"/>
      <c r="VYV5" s="1304"/>
      <c r="VYW5" s="1304"/>
      <c r="VYX5" s="1304"/>
      <c r="VYY5" s="1304"/>
      <c r="VYZ5" s="1304"/>
      <c r="VZA5" s="1304"/>
      <c r="VZB5" s="1304"/>
      <c r="VZC5" s="1304"/>
      <c r="VZD5" s="1304"/>
      <c r="VZE5" s="1304"/>
      <c r="VZF5" s="1304"/>
      <c r="VZG5" s="1304"/>
      <c r="VZH5" s="1304"/>
      <c r="VZI5" s="1304"/>
      <c r="VZJ5" s="1304"/>
      <c r="VZK5" s="1304"/>
      <c r="VZL5" s="1304"/>
      <c r="VZM5" s="1304"/>
      <c r="VZN5" s="1304"/>
      <c r="VZO5" s="1304"/>
      <c r="VZP5" s="1304"/>
      <c r="VZQ5" s="1304"/>
      <c r="VZR5" s="1304"/>
      <c r="VZS5" s="1304"/>
      <c r="VZT5" s="1304"/>
      <c r="VZU5" s="1304"/>
      <c r="VZV5" s="1304"/>
      <c r="VZW5" s="1304"/>
      <c r="VZX5" s="1304"/>
      <c r="VZY5" s="1304"/>
      <c r="VZZ5" s="1304"/>
      <c r="WAA5" s="1304"/>
      <c r="WAB5" s="1304"/>
      <c r="WAC5" s="1304"/>
      <c r="WAD5" s="1304"/>
      <c r="WAE5" s="1304"/>
      <c r="WAF5" s="1304"/>
      <c r="WAG5" s="1304"/>
      <c r="WAH5" s="1304"/>
      <c r="WAI5" s="1304"/>
      <c r="WAJ5" s="1304"/>
      <c r="WAK5" s="1304"/>
      <c r="WAL5" s="1304"/>
      <c r="WAM5" s="1304"/>
      <c r="WAN5" s="1304"/>
      <c r="WAO5" s="1304"/>
      <c r="WAP5" s="1304"/>
      <c r="WAQ5" s="1304"/>
      <c r="WAR5" s="1304"/>
      <c r="WAS5" s="1304"/>
      <c r="WAT5" s="1304"/>
      <c r="WAU5" s="1304"/>
      <c r="WAV5" s="1304"/>
      <c r="WAW5" s="1304"/>
      <c r="WAX5" s="1304"/>
      <c r="WAY5" s="1304"/>
      <c r="WAZ5" s="1304"/>
      <c r="WBA5" s="1304"/>
      <c r="WBB5" s="1304"/>
      <c r="WBC5" s="1304"/>
      <c r="WBD5" s="1304"/>
      <c r="WBE5" s="1304"/>
      <c r="WBF5" s="1304"/>
      <c r="WBG5" s="1304"/>
      <c r="WBH5" s="1304"/>
      <c r="WBI5" s="1304"/>
      <c r="WBJ5" s="1304"/>
      <c r="WBK5" s="1304"/>
      <c r="WBL5" s="1304"/>
      <c r="WBM5" s="1304"/>
      <c r="WBN5" s="1304"/>
      <c r="WBO5" s="1304"/>
      <c r="WBP5" s="1304"/>
      <c r="WBQ5" s="1304"/>
      <c r="WBR5" s="1304"/>
      <c r="WBS5" s="1304"/>
      <c r="WBT5" s="1304"/>
      <c r="WBU5" s="1304"/>
      <c r="WBV5" s="1304"/>
      <c r="WBW5" s="1304"/>
      <c r="WBX5" s="1304"/>
      <c r="WBY5" s="1304"/>
      <c r="WBZ5" s="1304"/>
      <c r="WCA5" s="1304"/>
      <c r="WCB5" s="1304"/>
      <c r="WCC5" s="1304"/>
      <c r="WCD5" s="1304"/>
      <c r="WCE5" s="1304"/>
      <c r="WCF5" s="1304"/>
      <c r="WCG5" s="1304"/>
      <c r="WCH5" s="1304"/>
      <c r="WCI5" s="1304"/>
      <c r="WCJ5" s="1304"/>
      <c r="WCK5" s="1304"/>
      <c r="WCL5" s="1304"/>
      <c r="WCM5" s="1304"/>
      <c r="WCN5" s="1304"/>
      <c r="WCO5" s="1304"/>
      <c r="WCP5" s="1304"/>
      <c r="WCQ5" s="1304"/>
      <c r="WCR5" s="1304"/>
      <c r="WCS5" s="1304"/>
      <c r="WCT5" s="1304"/>
      <c r="WCU5" s="1304"/>
      <c r="WCV5" s="1304"/>
      <c r="WCW5" s="1304"/>
      <c r="WCX5" s="1304"/>
      <c r="WCY5" s="1304"/>
      <c r="WCZ5" s="1304"/>
      <c r="WDA5" s="1304"/>
      <c r="WDB5" s="1304"/>
      <c r="WDC5" s="1304"/>
      <c r="WDD5" s="1304"/>
      <c r="WDE5" s="1304"/>
      <c r="WDF5" s="1304"/>
      <c r="WDG5" s="1304"/>
      <c r="WDH5" s="1304"/>
      <c r="WDI5" s="1304"/>
      <c r="WDJ5" s="1304"/>
      <c r="WDK5" s="1304"/>
      <c r="WDL5" s="1304"/>
      <c r="WDM5" s="1304"/>
      <c r="WDN5" s="1304"/>
      <c r="WDO5" s="1304"/>
      <c r="WDP5" s="1304"/>
      <c r="WDQ5" s="1304"/>
      <c r="WDR5" s="1304"/>
      <c r="WDS5" s="1304"/>
      <c r="WDT5" s="1304"/>
      <c r="WDU5" s="1304"/>
      <c r="WDV5" s="1304"/>
      <c r="WDW5" s="1304"/>
      <c r="WDX5" s="1304"/>
      <c r="WDY5" s="1304"/>
      <c r="WDZ5" s="1304"/>
      <c r="WEA5" s="1304"/>
      <c r="WEB5" s="1304"/>
      <c r="WEC5" s="1304"/>
      <c r="WED5" s="1304"/>
      <c r="WEE5" s="1304"/>
      <c r="WEF5" s="1304"/>
      <c r="WEG5" s="1304"/>
      <c r="WEH5" s="1304"/>
      <c r="WEI5" s="1304"/>
      <c r="WEJ5" s="1304"/>
      <c r="WEK5" s="1304"/>
      <c r="WEL5" s="1304"/>
      <c r="WEM5" s="1304"/>
      <c r="WEN5" s="1304"/>
      <c r="WEO5" s="1304"/>
      <c r="WEP5" s="1304"/>
      <c r="WEQ5" s="1304"/>
      <c r="WER5" s="1304"/>
      <c r="WES5" s="1304"/>
      <c r="WET5" s="1304"/>
      <c r="WEU5" s="1304"/>
      <c r="WEV5" s="1304"/>
      <c r="WEW5" s="1304"/>
      <c r="WEX5" s="1304"/>
      <c r="WEY5" s="1304"/>
      <c r="WEZ5" s="1304"/>
      <c r="WFA5" s="1304"/>
      <c r="WFB5" s="1304"/>
      <c r="WFC5" s="1304"/>
      <c r="WFD5" s="1304"/>
      <c r="WFE5" s="1304"/>
      <c r="WFF5" s="1304"/>
      <c r="WFG5" s="1304"/>
      <c r="WFH5" s="1304"/>
      <c r="WFI5" s="1304"/>
      <c r="WFJ5" s="1304"/>
      <c r="WFK5" s="1304"/>
      <c r="WFL5" s="1304"/>
      <c r="WFM5" s="1304"/>
      <c r="WFN5" s="1304"/>
      <c r="WFO5" s="1304"/>
      <c r="WFP5" s="1304"/>
      <c r="WFQ5" s="1304"/>
      <c r="WFR5" s="1304"/>
      <c r="WFS5" s="1304"/>
      <c r="WFT5" s="1304"/>
      <c r="WFU5" s="1304"/>
      <c r="WFV5" s="1304"/>
      <c r="WFW5" s="1304"/>
      <c r="WFX5" s="1304"/>
      <c r="WFY5" s="1304"/>
      <c r="WFZ5" s="1304"/>
      <c r="WGA5" s="1304"/>
      <c r="WGB5" s="1304"/>
      <c r="WGC5" s="1304"/>
      <c r="WGD5" s="1304"/>
      <c r="WGE5" s="1304"/>
      <c r="WGF5" s="1304"/>
      <c r="WGG5" s="1304"/>
      <c r="WGH5" s="1304"/>
      <c r="WGI5" s="1304"/>
      <c r="WGJ5" s="1304"/>
      <c r="WGK5" s="1304"/>
      <c r="WGL5" s="1304"/>
      <c r="WGM5" s="1304"/>
      <c r="WGN5" s="1304"/>
      <c r="WGO5" s="1304"/>
      <c r="WGP5" s="1304"/>
      <c r="WGQ5" s="1304"/>
      <c r="WGR5" s="1304"/>
      <c r="WGS5" s="1304"/>
      <c r="WGT5" s="1304"/>
      <c r="WGU5" s="1304"/>
      <c r="WGV5" s="1304"/>
      <c r="WGW5" s="1304"/>
      <c r="WGX5" s="1304"/>
      <c r="WGY5" s="1304"/>
      <c r="WGZ5" s="1304"/>
      <c r="WHA5" s="1304"/>
      <c r="WHB5" s="1304"/>
      <c r="WHC5" s="1304"/>
      <c r="WHD5" s="1304"/>
      <c r="WHE5" s="1304"/>
      <c r="WHF5" s="1304"/>
      <c r="WHG5" s="1304"/>
      <c r="WHH5" s="1304"/>
      <c r="WHI5" s="1304"/>
      <c r="WHJ5" s="1304"/>
      <c r="WHK5" s="1304"/>
      <c r="WHL5" s="1304"/>
      <c r="WHM5" s="1304"/>
      <c r="WHN5" s="1304"/>
      <c r="WHO5" s="1304"/>
      <c r="WHP5" s="1304"/>
      <c r="WHQ5" s="1304"/>
      <c r="WHR5" s="1304"/>
      <c r="WHS5" s="1304"/>
      <c r="WHT5" s="1304"/>
      <c r="WHU5" s="1304"/>
      <c r="WHV5" s="1304"/>
      <c r="WHW5" s="1304"/>
      <c r="WHX5" s="1304"/>
      <c r="WHY5" s="1304"/>
      <c r="WHZ5" s="1304"/>
      <c r="WIA5" s="1304"/>
      <c r="WIB5" s="1304"/>
      <c r="WIC5" s="1304"/>
      <c r="WID5" s="1304"/>
      <c r="WIE5" s="1304"/>
      <c r="WIF5" s="1304"/>
      <c r="WIG5" s="1304"/>
      <c r="WIH5" s="1304"/>
      <c r="WII5" s="1304"/>
      <c r="WIJ5" s="1304"/>
      <c r="WIK5" s="1304"/>
      <c r="WIL5" s="1304"/>
      <c r="WIM5" s="1304"/>
      <c r="WIN5" s="1304"/>
      <c r="WIO5" s="1304"/>
      <c r="WIP5" s="1304"/>
      <c r="WIQ5" s="1304"/>
      <c r="WIR5" s="1304"/>
      <c r="WIS5" s="1304"/>
      <c r="WIT5" s="1304"/>
      <c r="WIU5" s="1304"/>
      <c r="WIV5" s="1304"/>
      <c r="WIW5" s="1304"/>
      <c r="WIX5" s="1304"/>
      <c r="WIY5" s="1304"/>
      <c r="WIZ5" s="1304"/>
      <c r="WJA5" s="1304"/>
      <c r="WJB5" s="1304"/>
      <c r="WJC5" s="1304"/>
      <c r="WJD5" s="1304"/>
      <c r="WJE5" s="1304"/>
      <c r="WJF5" s="1304"/>
      <c r="WJG5" s="1304"/>
      <c r="WJH5" s="1304"/>
      <c r="WJI5" s="1304"/>
      <c r="WJJ5" s="1304"/>
      <c r="WJK5" s="1304"/>
      <c r="WJL5" s="1304"/>
      <c r="WJM5" s="1304"/>
      <c r="WJN5" s="1304"/>
      <c r="WJO5" s="1304"/>
      <c r="WJP5" s="1304"/>
      <c r="WJQ5" s="1304"/>
      <c r="WJR5" s="1304"/>
      <c r="WJS5" s="1304"/>
      <c r="WJT5" s="1304"/>
      <c r="WJU5" s="1304"/>
      <c r="WJV5" s="1304"/>
      <c r="WJW5" s="1304"/>
      <c r="WJX5" s="1304"/>
      <c r="WJY5" s="1304"/>
      <c r="WJZ5" s="1304"/>
      <c r="WKA5" s="1304"/>
      <c r="WKB5" s="1304"/>
      <c r="WKC5" s="1304"/>
      <c r="WKD5" s="1304"/>
      <c r="WKE5" s="1304"/>
      <c r="WKF5" s="1304"/>
      <c r="WKG5" s="1304"/>
      <c r="WKH5" s="1304"/>
      <c r="WKI5" s="1304"/>
      <c r="WKJ5" s="1304"/>
      <c r="WKK5" s="1304"/>
      <c r="WKL5" s="1304"/>
      <c r="WKM5" s="1304"/>
      <c r="WKN5" s="1304"/>
      <c r="WKO5" s="1304"/>
      <c r="WKP5" s="1304"/>
      <c r="WKQ5" s="1304"/>
      <c r="WKR5" s="1304"/>
      <c r="WKS5" s="1304"/>
      <c r="WKT5" s="1304"/>
      <c r="WKU5" s="1304"/>
      <c r="WKV5" s="1304"/>
      <c r="WKW5" s="1304"/>
      <c r="WKX5" s="1304"/>
      <c r="WKY5" s="1304"/>
      <c r="WKZ5" s="1304"/>
      <c r="WLA5" s="1304"/>
      <c r="WLB5" s="1304"/>
      <c r="WLC5" s="1304"/>
      <c r="WLD5" s="1304"/>
      <c r="WLE5" s="1304"/>
      <c r="WLF5" s="1304"/>
      <c r="WLG5" s="1304"/>
      <c r="WLH5" s="1304"/>
      <c r="WLI5" s="1304"/>
      <c r="WLJ5" s="1304"/>
      <c r="WLK5" s="1304"/>
      <c r="WLL5" s="1304"/>
      <c r="WLM5" s="1304"/>
      <c r="WLN5" s="1304"/>
      <c r="WLO5" s="1304"/>
      <c r="WLP5" s="1304"/>
      <c r="WLQ5" s="1304"/>
      <c r="WLR5" s="1304"/>
      <c r="WLS5" s="1304"/>
      <c r="WLT5" s="1304"/>
      <c r="WLU5" s="1304"/>
      <c r="WLV5" s="1304"/>
      <c r="WLW5" s="1304"/>
      <c r="WLX5" s="1304"/>
      <c r="WLY5" s="1304"/>
      <c r="WLZ5" s="1304"/>
      <c r="WMA5" s="1304"/>
      <c r="WMB5" s="1304"/>
      <c r="WMC5" s="1304"/>
      <c r="WMD5" s="1304"/>
      <c r="WME5" s="1304"/>
      <c r="WMF5" s="1304"/>
      <c r="WMG5" s="1304"/>
      <c r="WMH5" s="1304"/>
      <c r="WMI5" s="1304"/>
      <c r="WMJ5" s="1304"/>
      <c r="WMK5" s="1304"/>
      <c r="WML5" s="1304"/>
      <c r="WMM5" s="1304"/>
      <c r="WMN5" s="1304"/>
      <c r="WMO5" s="1304"/>
      <c r="WMP5" s="1304"/>
      <c r="WMQ5" s="1304"/>
      <c r="WMR5" s="1304"/>
      <c r="WMS5" s="1304"/>
      <c r="WMT5" s="1304"/>
      <c r="WMU5" s="1304"/>
      <c r="WMV5" s="1304"/>
      <c r="WMW5" s="1304"/>
      <c r="WMX5" s="1304"/>
      <c r="WMY5" s="1304"/>
      <c r="WMZ5" s="1304"/>
      <c r="WNA5" s="1304"/>
      <c r="WNB5" s="1304"/>
      <c r="WNC5" s="1304"/>
      <c r="WND5" s="1304"/>
      <c r="WNE5" s="1304"/>
      <c r="WNF5" s="1304"/>
      <c r="WNG5" s="1304"/>
      <c r="WNH5" s="1304"/>
      <c r="WNI5" s="1304"/>
      <c r="WNJ5" s="1304"/>
      <c r="WNK5" s="1304"/>
      <c r="WNL5" s="1304"/>
      <c r="WNM5" s="1304"/>
      <c r="WNN5" s="1304"/>
      <c r="WNO5" s="1304"/>
      <c r="WNP5" s="1304"/>
      <c r="WNQ5" s="1304"/>
      <c r="WNR5" s="1304"/>
      <c r="WNS5" s="1304"/>
      <c r="WNT5" s="1304"/>
      <c r="WNU5" s="1304"/>
      <c r="WNV5" s="1304"/>
      <c r="WNW5" s="1304"/>
      <c r="WNX5" s="1304"/>
      <c r="WNY5" s="1304"/>
      <c r="WNZ5" s="1304"/>
      <c r="WOA5" s="1304"/>
      <c r="WOB5" s="1304"/>
      <c r="WOC5" s="1304"/>
      <c r="WOD5" s="1304"/>
      <c r="WOE5" s="1304"/>
      <c r="WOF5" s="1304"/>
      <c r="WOG5" s="1304"/>
      <c r="WOH5" s="1304"/>
      <c r="WOI5" s="1304"/>
      <c r="WOJ5" s="1304"/>
      <c r="WOK5" s="1304"/>
      <c r="WOL5" s="1304"/>
      <c r="WOM5" s="1304"/>
      <c r="WON5" s="1304"/>
      <c r="WOO5" s="1304"/>
      <c r="WOP5" s="1304"/>
      <c r="WOQ5" s="1304"/>
      <c r="WOR5" s="1304"/>
      <c r="WOS5" s="1304"/>
      <c r="WOT5" s="1304"/>
      <c r="WOU5" s="1304"/>
      <c r="WOV5" s="1304"/>
      <c r="WOW5" s="1304"/>
      <c r="WOX5" s="1304"/>
      <c r="WOY5" s="1304"/>
      <c r="WOZ5" s="1304"/>
      <c r="WPA5" s="1304"/>
      <c r="WPB5" s="1304"/>
      <c r="WPC5" s="1304"/>
      <c r="WPD5" s="1304"/>
      <c r="WPE5" s="1304"/>
      <c r="WPF5" s="1304"/>
      <c r="WPG5" s="1304"/>
      <c r="WPH5" s="1304"/>
      <c r="WPI5" s="1304"/>
      <c r="WPJ5" s="1304"/>
      <c r="WPK5" s="1304"/>
      <c r="WPL5" s="1304"/>
      <c r="WPM5" s="1304"/>
      <c r="WPN5" s="1304"/>
      <c r="WPO5" s="1304"/>
      <c r="WPP5" s="1304"/>
      <c r="WPQ5" s="1304"/>
      <c r="WPR5" s="1304"/>
      <c r="WPS5" s="1304"/>
      <c r="WPT5" s="1304"/>
      <c r="WPU5" s="1304"/>
      <c r="WPV5" s="1304"/>
      <c r="WPW5" s="1304"/>
      <c r="WPX5" s="1304"/>
      <c r="WPY5" s="1304"/>
      <c r="WPZ5" s="1304"/>
      <c r="WQA5" s="1304"/>
      <c r="WQB5" s="1304"/>
      <c r="WQC5" s="1304"/>
      <c r="WQD5" s="1304"/>
      <c r="WQE5" s="1304"/>
      <c r="WQF5" s="1304"/>
      <c r="WQG5" s="1304"/>
      <c r="WQH5" s="1304"/>
      <c r="WQI5" s="1304"/>
      <c r="WQJ5" s="1304"/>
      <c r="WQK5" s="1304"/>
      <c r="WQL5" s="1304"/>
      <c r="WQM5" s="1304"/>
      <c r="WQN5" s="1304"/>
      <c r="WQO5" s="1304"/>
      <c r="WQP5" s="1304"/>
      <c r="WQQ5" s="1304"/>
      <c r="WQR5" s="1304"/>
      <c r="WQS5" s="1304"/>
      <c r="WQT5" s="1304"/>
      <c r="WQU5" s="1304"/>
      <c r="WQV5" s="1304"/>
    </row>
    <row r="6" spans="1:16012" ht="27" customHeight="1" x14ac:dyDescent="0.25">
      <c r="A6" s="2454" t="s">
        <v>78</v>
      </c>
      <c r="B6" s="2454" t="s">
        <v>1476</v>
      </c>
      <c r="C6" s="2469" t="s">
        <v>1477</v>
      </c>
      <c r="D6" s="2454" t="s">
        <v>1478</v>
      </c>
      <c r="E6" s="2470" t="s">
        <v>1479</v>
      </c>
      <c r="F6" s="2471"/>
      <c r="G6" s="2471"/>
      <c r="H6" s="2471"/>
      <c r="I6" s="2471"/>
      <c r="J6" s="2471"/>
      <c r="K6" s="2471"/>
      <c r="L6" s="2471"/>
      <c r="M6" s="2471"/>
      <c r="N6" s="2471"/>
      <c r="O6" s="2471"/>
      <c r="P6" s="2471"/>
      <c r="Q6" s="2471"/>
      <c r="R6" s="2471"/>
      <c r="S6" s="2471"/>
      <c r="T6" s="2471"/>
      <c r="U6" s="2471"/>
      <c r="V6" s="2471"/>
      <c r="W6" s="2471"/>
      <c r="X6" s="2471"/>
      <c r="Y6" s="2472"/>
      <c r="Z6" s="2469" t="s">
        <v>1480</v>
      </c>
      <c r="AA6" s="2469" t="s">
        <v>1481</v>
      </c>
      <c r="AB6" s="2469" t="s">
        <v>1482</v>
      </c>
    </row>
    <row r="7" spans="1:16012" ht="88.5" customHeight="1" x14ac:dyDescent="0.25">
      <c r="A7" s="2454"/>
      <c r="B7" s="2454"/>
      <c r="C7" s="2469"/>
      <c r="D7" s="2454"/>
      <c r="E7" s="2454" t="s">
        <v>1483</v>
      </c>
      <c r="F7" s="2454"/>
      <c r="G7" s="2454"/>
      <c r="H7" s="2454" t="s">
        <v>1484</v>
      </c>
      <c r="I7" s="2454"/>
      <c r="J7" s="2454"/>
      <c r="K7" s="2454" t="s">
        <v>1485</v>
      </c>
      <c r="L7" s="2454"/>
      <c r="M7" s="2454"/>
      <c r="N7" s="2454" t="s">
        <v>1486</v>
      </c>
      <c r="O7" s="2454"/>
      <c r="P7" s="2454"/>
      <c r="Q7" s="2454" t="s">
        <v>1487</v>
      </c>
      <c r="R7" s="2454"/>
      <c r="S7" s="2454"/>
      <c r="T7" s="2454" t="s">
        <v>1488</v>
      </c>
      <c r="U7" s="2454"/>
      <c r="V7" s="2454"/>
      <c r="W7" s="2455" t="s">
        <v>1489</v>
      </c>
      <c r="X7" s="2456"/>
      <c r="Y7" s="2457"/>
      <c r="Z7" s="2469"/>
      <c r="AA7" s="2469"/>
      <c r="AB7" s="2469"/>
      <c r="AC7" s="1303">
        <v>2405400</v>
      </c>
    </row>
    <row r="8" spans="1:16012" ht="30" x14ac:dyDescent="0.25">
      <c r="A8" s="2454"/>
      <c r="B8" s="2454"/>
      <c r="C8" s="2469"/>
      <c r="D8" s="2454"/>
      <c r="E8" s="769" t="s">
        <v>1490</v>
      </c>
      <c r="F8" s="769" t="s">
        <v>1491</v>
      </c>
      <c r="G8" s="769" t="s">
        <v>1492</v>
      </c>
      <c r="H8" s="769" t="s">
        <v>1490</v>
      </c>
      <c r="I8" s="769" t="s">
        <v>1493</v>
      </c>
      <c r="J8" s="769" t="s">
        <v>1492</v>
      </c>
      <c r="K8" s="769" t="s">
        <v>1490</v>
      </c>
      <c r="L8" s="769" t="s">
        <v>1493</v>
      </c>
      <c r="M8" s="769" t="s">
        <v>1492</v>
      </c>
      <c r="N8" s="769" t="s">
        <v>1490</v>
      </c>
      <c r="O8" s="769" t="s">
        <v>1493</v>
      </c>
      <c r="P8" s="769" t="s">
        <v>1492</v>
      </c>
      <c r="Q8" s="769" t="s">
        <v>1490</v>
      </c>
      <c r="R8" s="769" t="s">
        <v>1493</v>
      </c>
      <c r="S8" s="769" t="s">
        <v>1492</v>
      </c>
      <c r="T8" s="769" t="s">
        <v>1490</v>
      </c>
      <c r="U8" s="769" t="s">
        <v>1493</v>
      </c>
      <c r="V8" s="769" t="s">
        <v>1492</v>
      </c>
      <c r="W8" s="769" t="s">
        <v>1490</v>
      </c>
      <c r="X8" s="769" t="s">
        <v>1493</v>
      </c>
      <c r="Y8" s="769" t="s">
        <v>1492</v>
      </c>
      <c r="Z8" s="2469"/>
      <c r="AA8" s="2469"/>
      <c r="AB8" s="2469"/>
    </row>
    <row r="9" spans="1:16012" ht="19.5" x14ac:dyDescent="0.25">
      <c r="A9" s="2458" t="s">
        <v>1475</v>
      </c>
      <c r="B9" s="2459"/>
      <c r="C9" s="2459"/>
      <c r="D9" s="2459"/>
      <c r="E9" s="2459"/>
      <c r="F9" s="2459"/>
      <c r="G9" s="2459"/>
      <c r="H9" s="2459"/>
      <c r="I9" s="2459"/>
      <c r="J9" s="2459"/>
      <c r="K9" s="2459"/>
      <c r="L9" s="2459"/>
      <c r="M9" s="2459"/>
      <c r="N9" s="2459"/>
      <c r="O9" s="2459"/>
      <c r="P9" s="2459"/>
      <c r="Q9" s="2459"/>
      <c r="R9" s="2459"/>
      <c r="S9" s="2459"/>
      <c r="T9" s="2459"/>
      <c r="U9" s="2459"/>
      <c r="V9" s="2459"/>
      <c r="W9" s="2459"/>
      <c r="X9" s="2459"/>
      <c r="Y9" s="2459"/>
      <c r="Z9" s="2459"/>
      <c r="AA9" s="2459"/>
      <c r="AB9" s="2459"/>
    </row>
    <row r="10" spans="1:16012" ht="30" customHeight="1" x14ac:dyDescent="0.25">
      <c r="A10" s="1307">
        <v>1</v>
      </c>
      <c r="B10" s="1308" t="s">
        <v>1494</v>
      </c>
      <c r="C10" s="1309">
        <f>ROUND(1085*1.037,-0.5)</f>
        <v>1125</v>
      </c>
      <c r="D10" s="769">
        <v>102</v>
      </c>
      <c r="E10" s="769">
        <v>1</v>
      </c>
      <c r="F10" s="1310">
        <v>100</v>
      </c>
      <c r="G10" s="1309">
        <f>C10*F10/100*E10</f>
        <v>1125</v>
      </c>
      <c r="H10" s="769">
        <v>0</v>
      </c>
      <c r="I10" s="1310">
        <v>100</v>
      </c>
      <c r="J10" s="1309">
        <f>C10*I10/100*H10</f>
        <v>0</v>
      </c>
      <c r="K10" s="769">
        <v>11</v>
      </c>
      <c r="L10" s="1310">
        <v>100</v>
      </c>
      <c r="M10" s="1309">
        <f>C10*L10/100*K10</f>
        <v>12375</v>
      </c>
      <c r="N10" s="769">
        <v>10</v>
      </c>
      <c r="O10" s="1310">
        <v>50</v>
      </c>
      <c r="P10" s="1309">
        <f>C10*O10/100*N10</f>
        <v>5625</v>
      </c>
      <c r="Q10" s="769">
        <v>2</v>
      </c>
      <c r="R10" s="1310">
        <v>70</v>
      </c>
      <c r="S10" s="1309">
        <f>C10*R10/100*Q10</f>
        <v>1575</v>
      </c>
      <c r="T10" s="769">
        <v>0</v>
      </c>
      <c r="U10" s="769">
        <v>0</v>
      </c>
      <c r="V10" s="1309">
        <f>C10*U10/100*T10</f>
        <v>0</v>
      </c>
      <c r="W10" s="769">
        <v>0</v>
      </c>
      <c r="X10" s="1310">
        <v>50</v>
      </c>
      <c r="Y10" s="1309">
        <f>C10*X10/100*W10</f>
        <v>0</v>
      </c>
      <c r="Z10" s="1309">
        <f>(C10*D10-G10-J10-M10-P10-S10-V10-Y10)*9</f>
        <v>846450</v>
      </c>
      <c r="AA10" s="1311">
        <f>Z10*1.045</f>
        <v>884540.25</v>
      </c>
      <c r="AB10" s="1311">
        <f>AA10*1.044</f>
        <v>923460.02</v>
      </c>
    </row>
    <row r="11" spans="1:16012" ht="30" customHeight="1" x14ac:dyDescent="0.25">
      <c r="A11" s="1307">
        <v>2</v>
      </c>
      <c r="B11" s="1308" t="s">
        <v>1495</v>
      </c>
      <c r="C11" s="1309">
        <f>ROUND(1628*1.037,-0.5)</f>
        <v>1688</v>
      </c>
      <c r="D11" s="769">
        <v>74</v>
      </c>
      <c r="E11" s="769">
        <v>0</v>
      </c>
      <c r="F11" s="1310">
        <v>100</v>
      </c>
      <c r="G11" s="1309">
        <f>C11*F11/100*E11</f>
        <v>0</v>
      </c>
      <c r="H11" s="769">
        <v>1</v>
      </c>
      <c r="I11" s="1310">
        <v>100</v>
      </c>
      <c r="J11" s="1309">
        <f>C11*I11/100*H11</f>
        <v>1688</v>
      </c>
      <c r="K11" s="769">
        <v>11</v>
      </c>
      <c r="L11" s="1310">
        <v>100</v>
      </c>
      <c r="M11" s="1309">
        <f>C11*L11/100*K11</f>
        <v>18568</v>
      </c>
      <c r="N11" s="769">
        <v>6</v>
      </c>
      <c r="O11" s="1310">
        <v>50</v>
      </c>
      <c r="P11" s="1309">
        <f>C11*O11/100*N11</f>
        <v>5064</v>
      </c>
      <c r="Q11" s="769">
        <v>1</v>
      </c>
      <c r="R11" s="1310">
        <v>70</v>
      </c>
      <c r="S11" s="1309">
        <f>C11*R11/100*Q11</f>
        <v>1181.5999999999999</v>
      </c>
      <c r="T11" s="769">
        <v>0</v>
      </c>
      <c r="U11" s="769">
        <v>0</v>
      </c>
      <c r="V11" s="1309">
        <f>C11*U11/100*T11</f>
        <v>0</v>
      </c>
      <c r="W11" s="769">
        <v>0</v>
      </c>
      <c r="X11" s="1310">
        <v>50</v>
      </c>
      <c r="Y11" s="1309">
        <f>C11*X11/100*W11</f>
        <v>0</v>
      </c>
      <c r="Z11" s="1309">
        <f>(C11*D11-G11-J11-M11-P11-S11-V11-Y11)*9</f>
        <v>885693.6</v>
      </c>
      <c r="AA11" s="1311">
        <f t="shared" ref="AA11:AA14" si="0">Z11*1.045</f>
        <v>925549.81</v>
      </c>
      <c r="AB11" s="1311">
        <f t="shared" ref="AB11:AB14" si="1">AA11*1.044</f>
        <v>966274</v>
      </c>
    </row>
    <row r="12" spans="1:16012" ht="30" customHeight="1" x14ac:dyDescent="0.25">
      <c r="A12" s="1307">
        <v>3</v>
      </c>
      <c r="B12" s="1312" t="s">
        <v>1496</v>
      </c>
      <c r="C12" s="1309">
        <f>ROUND(1085*1.037,-0.5)</f>
        <v>1125</v>
      </c>
      <c r="D12" s="769">
        <v>33</v>
      </c>
      <c r="E12" s="769">
        <v>0</v>
      </c>
      <c r="F12" s="1310">
        <v>100</v>
      </c>
      <c r="G12" s="1309">
        <f>C12*F12/100*E12</f>
        <v>0</v>
      </c>
      <c r="H12" s="769">
        <v>0</v>
      </c>
      <c r="I12" s="1310">
        <v>100</v>
      </c>
      <c r="J12" s="1309">
        <f>C12*I12/100*H12</f>
        <v>0</v>
      </c>
      <c r="K12" s="769">
        <v>4</v>
      </c>
      <c r="L12" s="1310">
        <v>100</v>
      </c>
      <c r="M12" s="1309">
        <f t="shared" ref="M12" si="2">C12*L12/100*K12</f>
        <v>4500</v>
      </c>
      <c r="N12" s="769">
        <v>4</v>
      </c>
      <c r="O12" s="1310">
        <v>50</v>
      </c>
      <c r="P12" s="1309">
        <f>C12*O12/100*N12</f>
        <v>2250</v>
      </c>
      <c r="Q12" s="769">
        <v>0</v>
      </c>
      <c r="R12" s="1310">
        <v>70</v>
      </c>
      <c r="S12" s="1309">
        <f>C12*R12/100*Q12</f>
        <v>0</v>
      </c>
      <c r="T12" s="769">
        <v>0</v>
      </c>
      <c r="U12" s="769">
        <v>0</v>
      </c>
      <c r="V12" s="1309">
        <f>C12*U12/100*T12</f>
        <v>0</v>
      </c>
      <c r="W12" s="769">
        <v>0</v>
      </c>
      <c r="X12" s="1310">
        <v>50</v>
      </c>
      <c r="Y12" s="1309">
        <f>C12*X12/100*W12</f>
        <v>0</v>
      </c>
      <c r="Z12" s="1309">
        <f>(C12*D12-G12-J12-M12-P12-S12-V12-Y12)*9</f>
        <v>273375</v>
      </c>
      <c r="AA12" s="1311">
        <f t="shared" si="0"/>
        <v>285676.88</v>
      </c>
      <c r="AB12" s="1311">
        <f t="shared" si="1"/>
        <v>298246.65999999997</v>
      </c>
    </row>
    <row r="13" spans="1:16012" ht="30" customHeight="1" x14ac:dyDescent="0.25">
      <c r="A13" s="1307">
        <v>4</v>
      </c>
      <c r="B13" s="1308" t="s">
        <v>1497</v>
      </c>
      <c r="C13" s="1309">
        <f>ROUND(1085*1.037,-0.5)</f>
        <v>1125</v>
      </c>
      <c r="D13" s="769">
        <v>43</v>
      </c>
      <c r="E13" s="769">
        <v>0</v>
      </c>
      <c r="F13" s="1310">
        <v>100</v>
      </c>
      <c r="G13" s="1309">
        <f>C13*F13/100*E13</f>
        <v>0</v>
      </c>
      <c r="H13" s="769">
        <v>0</v>
      </c>
      <c r="I13" s="1310">
        <v>100</v>
      </c>
      <c r="J13" s="1309">
        <f>C13*I13/100*H13</f>
        <v>0</v>
      </c>
      <c r="K13" s="769">
        <v>3</v>
      </c>
      <c r="L13" s="1310">
        <v>100</v>
      </c>
      <c r="M13" s="1309">
        <f>C13*L13/100*K13</f>
        <v>3375</v>
      </c>
      <c r="N13" s="769">
        <v>1</v>
      </c>
      <c r="O13" s="1310">
        <v>50</v>
      </c>
      <c r="P13" s="1309">
        <f>C13*O13/100*N13</f>
        <v>562.5</v>
      </c>
      <c r="Q13" s="769">
        <v>0</v>
      </c>
      <c r="R13" s="1310">
        <v>70</v>
      </c>
      <c r="S13" s="1309">
        <f>C13*R13/100*Q13</f>
        <v>0</v>
      </c>
      <c r="T13" s="769">
        <v>0</v>
      </c>
      <c r="U13" s="769">
        <v>0</v>
      </c>
      <c r="V13" s="1309">
        <f>C13*U13/100*T13</f>
        <v>0</v>
      </c>
      <c r="W13" s="769">
        <v>0</v>
      </c>
      <c r="X13" s="1310">
        <v>50</v>
      </c>
      <c r="Y13" s="1309">
        <f>C13*X13/100*W13</f>
        <v>0</v>
      </c>
      <c r="Z13" s="1309">
        <f>(C13*D13-G13-J13-M13-P13-S13-V13-Y13)*9</f>
        <v>399937.5</v>
      </c>
      <c r="AA13" s="1311">
        <f t="shared" si="0"/>
        <v>417934.69</v>
      </c>
      <c r="AB13" s="1311">
        <f t="shared" si="1"/>
        <v>436323.82</v>
      </c>
    </row>
    <row r="14" spans="1:16012" ht="30" customHeight="1" x14ac:dyDescent="0.25">
      <c r="A14" s="1307">
        <v>5</v>
      </c>
      <c r="B14" s="1308" t="s">
        <v>1498</v>
      </c>
      <c r="C14" s="1309">
        <f>ROUND(1628*1.037,-0.5)</f>
        <v>1688</v>
      </c>
      <c r="D14" s="769">
        <v>0</v>
      </c>
      <c r="E14" s="769">
        <v>0</v>
      </c>
      <c r="F14" s="1310">
        <v>100</v>
      </c>
      <c r="G14" s="1309">
        <f t="shared" ref="G14" si="3">C14*F14/100*E14</f>
        <v>0</v>
      </c>
      <c r="H14" s="769">
        <v>0</v>
      </c>
      <c r="I14" s="1310">
        <v>100</v>
      </c>
      <c r="J14" s="1309">
        <f t="shared" ref="J14" si="4">C14*I14/100*H14</f>
        <v>0</v>
      </c>
      <c r="K14" s="769">
        <v>0</v>
      </c>
      <c r="L14" s="1310">
        <v>100</v>
      </c>
      <c r="M14" s="1309">
        <f t="shared" ref="M14" si="5">C14*L14/100*K14</f>
        <v>0</v>
      </c>
      <c r="N14" s="769">
        <v>0</v>
      </c>
      <c r="O14" s="1310">
        <v>50</v>
      </c>
      <c r="P14" s="1309">
        <f t="shared" ref="P14" si="6">C14*O14/100*N14</f>
        <v>0</v>
      </c>
      <c r="Q14" s="769">
        <v>0</v>
      </c>
      <c r="R14" s="1310">
        <v>70</v>
      </c>
      <c r="S14" s="1309">
        <f t="shared" ref="S14" si="7">C14*R14/100*Q14</f>
        <v>0</v>
      </c>
      <c r="T14" s="769">
        <v>0</v>
      </c>
      <c r="U14" s="769">
        <v>0</v>
      </c>
      <c r="V14" s="1309">
        <f t="shared" ref="V14" si="8">C14*U14/100*T14</f>
        <v>0</v>
      </c>
      <c r="W14" s="769">
        <v>0</v>
      </c>
      <c r="X14" s="1310">
        <v>50</v>
      </c>
      <c r="Y14" s="1309">
        <f t="shared" ref="Y14" si="9">C14*X14/100*W14</f>
        <v>0</v>
      </c>
      <c r="Z14" s="1309">
        <f t="shared" ref="Z14" si="10">(C14*D14-G14-J14-M14-P14-S14-V14-Y14)*9</f>
        <v>0</v>
      </c>
      <c r="AA14" s="1311">
        <f t="shared" si="0"/>
        <v>0</v>
      </c>
      <c r="AB14" s="1311">
        <f t="shared" si="1"/>
        <v>0</v>
      </c>
    </row>
    <row r="15" spans="1:16012" s="1303" customFormat="1" ht="30" customHeight="1" x14ac:dyDescent="0.25">
      <c r="A15" s="1313"/>
      <c r="B15" s="1314" t="s">
        <v>72</v>
      </c>
      <c r="C15" s="1315"/>
      <c r="D15" s="1314">
        <f>SUM(D10:D14)</f>
        <v>252</v>
      </c>
      <c r="E15" s="1314">
        <f>SUM(E10:E14)</f>
        <v>1</v>
      </c>
      <c r="F15" s="1314"/>
      <c r="G15" s="1315">
        <f>SUM(G10:G14)</f>
        <v>1125</v>
      </c>
      <c r="H15" s="1314">
        <f>SUM(H10:H14)</f>
        <v>1</v>
      </c>
      <c r="I15" s="1314"/>
      <c r="J15" s="1315">
        <f>SUM(J10:J14)</f>
        <v>1688</v>
      </c>
      <c r="K15" s="1314">
        <f>SUM(K10:K14)</f>
        <v>29</v>
      </c>
      <c r="L15" s="1314"/>
      <c r="M15" s="1315">
        <f>SUM(M10:M14)</f>
        <v>38818</v>
      </c>
      <c r="N15" s="1314">
        <f>SUM(N10:N14)</f>
        <v>21</v>
      </c>
      <c r="O15" s="1314"/>
      <c r="P15" s="1315">
        <f>SUM(P10:P14)</f>
        <v>13501.5</v>
      </c>
      <c r="Q15" s="1314">
        <f>SUM(Q10:Q14)</f>
        <v>3</v>
      </c>
      <c r="R15" s="1314"/>
      <c r="S15" s="1315">
        <f>SUM(S10:S14)</f>
        <v>2756.6</v>
      </c>
      <c r="T15" s="1314">
        <f>SUM(T10:T14)</f>
        <v>0</v>
      </c>
      <c r="U15" s="1314"/>
      <c r="V15" s="1314">
        <f t="shared" ref="V15" si="11">SUM(V10:V14)</f>
        <v>0</v>
      </c>
      <c r="W15" s="1314">
        <f>SUM(W10:W14)</f>
        <v>0</v>
      </c>
      <c r="X15" s="1314"/>
      <c r="Y15" s="1315">
        <f>SUM(Y10:Y14)</f>
        <v>0</v>
      </c>
      <c r="Z15" s="1315">
        <f>SUM(Z10:Z14)-56.1</f>
        <v>2405400</v>
      </c>
      <c r="AA15" s="1315">
        <f>SUM(AA10:AA14)-1.63</f>
        <v>2513700</v>
      </c>
      <c r="AB15" s="1315">
        <f>SUM(AB10:AB14)-4.5</f>
        <v>2624300</v>
      </c>
      <c r="AC15" s="1316">
        <f>Z15-Z16</f>
        <v>0</v>
      </c>
      <c r="AD15" s="1316">
        <f t="shared" ref="AD15:AE15" si="12">AA15-AA16</f>
        <v>0</v>
      </c>
      <c r="AE15" s="1316">
        <f t="shared" si="12"/>
        <v>0</v>
      </c>
    </row>
    <row r="16" spans="1:16012" s="1303" customFormat="1" ht="30" customHeight="1" x14ac:dyDescent="0.25">
      <c r="A16" s="1317" t="s">
        <v>1499</v>
      </c>
      <c r="B16" s="1314"/>
      <c r="C16" s="1314"/>
      <c r="D16" s="1314">
        <f>D23+D24+D32+D33+D39</f>
        <v>252</v>
      </c>
      <c r="E16" s="1314">
        <f t="shared" ref="E16:Y16" si="13">E23+E24+E32+E33+E39</f>
        <v>1</v>
      </c>
      <c r="F16" s="1314"/>
      <c r="G16" s="1315">
        <f>G23+G24+G32+G33+G39</f>
        <v>1125</v>
      </c>
      <c r="H16" s="1314">
        <f>H23+H24+H32+H33+H39</f>
        <v>1</v>
      </c>
      <c r="I16" s="1314"/>
      <c r="J16" s="1315">
        <f t="shared" si="13"/>
        <v>1688</v>
      </c>
      <c r="K16" s="1314">
        <f t="shared" si="13"/>
        <v>29</v>
      </c>
      <c r="L16" s="1314"/>
      <c r="M16" s="1315">
        <f>M23+M24+M32+M33+M39</f>
        <v>38818</v>
      </c>
      <c r="N16" s="1314">
        <f t="shared" si="13"/>
        <v>21</v>
      </c>
      <c r="O16" s="1314"/>
      <c r="P16" s="1315">
        <f t="shared" si="13"/>
        <v>13501.5</v>
      </c>
      <c r="Q16" s="1314">
        <f t="shared" si="13"/>
        <v>3</v>
      </c>
      <c r="R16" s="1314"/>
      <c r="S16" s="1315">
        <f t="shared" si="13"/>
        <v>2756.6</v>
      </c>
      <c r="T16" s="1314">
        <f t="shared" si="13"/>
        <v>0</v>
      </c>
      <c r="U16" s="1314"/>
      <c r="V16" s="1315">
        <f t="shared" si="13"/>
        <v>0</v>
      </c>
      <c r="W16" s="1318">
        <f>W23+W24+W32+W33+W39</f>
        <v>0</v>
      </c>
      <c r="X16" s="1314"/>
      <c r="Y16" s="1315">
        <f t="shared" si="13"/>
        <v>0</v>
      </c>
      <c r="Z16" s="1315">
        <f>Z17+Z26</f>
        <v>2405400</v>
      </c>
      <c r="AA16" s="1315">
        <f>AA17+AA26-0.01</f>
        <v>2513700</v>
      </c>
      <c r="AB16" s="1319">
        <f>AB17+AB26-0.01</f>
        <v>2624300</v>
      </c>
      <c r="AC16" s="1316"/>
      <c r="AD16" s="1316"/>
      <c r="AE16" s="1316"/>
    </row>
    <row r="17" spans="1:144" s="1303" customFormat="1" ht="37.15" customHeight="1" x14ac:dyDescent="0.25">
      <c r="A17" s="2460" t="s">
        <v>1500</v>
      </c>
      <c r="B17" s="2461"/>
      <c r="C17" s="2461"/>
      <c r="D17" s="2461"/>
      <c r="E17" s="2461"/>
      <c r="F17" s="2461"/>
      <c r="G17" s="2461"/>
      <c r="H17" s="2461"/>
      <c r="I17" s="2461"/>
      <c r="J17" s="2461"/>
      <c r="K17" s="2461"/>
      <c r="L17" s="2461"/>
      <c r="M17" s="2461"/>
      <c r="N17" s="2461"/>
      <c r="O17" s="2461"/>
      <c r="P17" s="2461"/>
      <c r="Q17" s="2461"/>
      <c r="R17" s="2461"/>
      <c r="S17" s="2461"/>
      <c r="T17" s="2461"/>
      <c r="U17" s="2461"/>
      <c r="V17" s="2461"/>
      <c r="W17" s="2461"/>
      <c r="X17" s="2461"/>
      <c r="Y17" s="2462"/>
      <c r="Z17" s="1320">
        <f>SUM(Z23:Z24)</f>
        <v>1732087.5</v>
      </c>
      <c r="AA17" s="1320">
        <f t="shared" ref="AA17:AB17" si="14">SUM(AA23:AA24)</f>
        <v>1810031.44</v>
      </c>
      <c r="AB17" s="1320">
        <f t="shared" si="14"/>
        <v>1889670.02</v>
      </c>
      <c r="AC17" s="1316">
        <f>Z17+Z26-Z15</f>
        <v>0</v>
      </c>
      <c r="AD17" s="1316">
        <f t="shared" ref="AD17:AE17" si="15">AA17+AA26-AA15</f>
        <v>0.01</v>
      </c>
      <c r="AE17" s="1316">
        <f t="shared" si="15"/>
        <v>0.01</v>
      </c>
    </row>
    <row r="18" spans="1:144" s="1303" customFormat="1" ht="99" hidden="1" x14ac:dyDescent="0.25">
      <c r="A18" s="1321"/>
      <c r="B18" s="1322" t="s">
        <v>1501</v>
      </c>
      <c r="C18" s="1323"/>
      <c r="D18" s="1323"/>
      <c r="E18" s="1323"/>
      <c r="F18" s="1323"/>
      <c r="G18" s="370">
        <f>C18*F18/100*E18</f>
        <v>0</v>
      </c>
      <c r="H18" s="1323"/>
      <c r="I18" s="1323"/>
      <c r="J18" s="370">
        <f>C18*I18/100*H18</f>
        <v>0</v>
      </c>
      <c r="K18" s="1323"/>
      <c r="L18" s="1323"/>
      <c r="M18" s="370">
        <f>C18*L18/100*K18</f>
        <v>0</v>
      </c>
      <c r="N18" s="1323"/>
      <c r="O18" s="1323"/>
      <c r="P18" s="370">
        <f>C18*O18/100*N18</f>
        <v>0</v>
      </c>
      <c r="Q18" s="1323"/>
      <c r="R18" s="1323"/>
      <c r="S18" s="370">
        <f>C18*R18/100*Q18</f>
        <v>0</v>
      </c>
      <c r="T18" s="1323"/>
      <c r="U18" s="1323"/>
      <c r="V18" s="370">
        <f>C18*U18/100*T18</f>
        <v>0</v>
      </c>
      <c r="W18" s="1323"/>
      <c r="X18" s="1323"/>
      <c r="Y18" s="370">
        <f>C18*X18/100*W18</f>
        <v>0</v>
      </c>
      <c r="Z18" s="370">
        <f>(C18*D18-G18-J18-M18-P18-S18-V18-Y18)*9</f>
        <v>0</v>
      </c>
      <c r="AA18" s="1324">
        <f t="shared" ref="AA18:AA41" si="16">Z18*1.06</f>
        <v>0</v>
      </c>
      <c r="AB18" s="1324">
        <f t="shared" ref="AB18:AB31" si="17">AA18*1.05</f>
        <v>0</v>
      </c>
    </row>
    <row r="19" spans="1:144" s="1303" customFormat="1" ht="115.5" hidden="1" x14ac:dyDescent="0.25">
      <c r="A19" s="1321"/>
      <c r="B19" s="1325" t="s">
        <v>1502</v>
      </c>
      <c r="C19" s="1323"/>
      <c r="D19" s="1323"/>
      <c r="E19" s="1323"/>
      <c r="F19" s="1323"/>
      <c r="G19" s="370">
        <f t="shared" ref="G19:G25" si="18">C19*F19/100*E19</f>
        <v>0</v>
      </c>
      <c r="H19" s="1323"/>
      <c r="I19" s="1323"/>
      <c r="J19" s="370">
        <f t="shared" ref="J19:J25" si="19">C19*I19/100*H19</f>
        <v>0</v>
      </c>
      <c r="K19" s="1323"/>
      <c r="L19" s="1323"/>
      <c r="M19" s="370">
        <f t="shared" ref="M19:M25" si="20">C19*L19/100*K19</f>
        <v>0</v>
      </c>
      <c r="N19" s="1323"/>
      <c r="O19" s="1323"/>
      <c r="P19" s="370">
        <f t="shared" ref="P19:P25" si="21">C19*O19/100*N19</f>
        <v>0</v>
      </c>
      <c r="Q19" s="1323"/>
      <c r="R19" s="1323"/>
      <c r="S19" s="370">
        <f t="shared" ref="S19:S25" si="22">C19*R19/100*Q19</f>
        <v>0</v>
      </c>
      <c r="T19" s="1323"/>
      <c r="U19" s="1323"/>
      <c r="V19" s="370">
        <f t="shared" ref="V19:V25" si="23">C19*U19/100*T19</f>
        <v>0</v>
      </c>
      <c r="W19" s="1323"/>
      <c r="X19" s="1323"/>
      <c r="Y19" s="370">
        <f t="shared" ref="Y19:Y25" si="24">C19*X19/100*W19</f>
        <v>0</v>
      </c>
      <c r="Z19" s="370">
        <f t="shared" ref="Z19:Z25" si="25">(C19*D19-G19-J19-M19-P19-S19-V19-Y19)*9</f>
        <v>0</v>
      </c>
      <c r="AA19" s="1324">
        <f t="shared" si="16"/>
        <v>0</v>
      </c>
      <c r="AB19" s="1324">
        <f t="shared" si="17"/>
        <v>0</v>
      </c>
    </row>
    <row r="20" spans="1:144" s="1303" customFormat="1" ht="99" hidden="1" x14ac:dyDescent="0.25">
      <c r="A20" s="1321"/>
      <c r="B20" s="1325" t="s">
        <v>1503</v>
      </c>
      <c r="C20" s="1323"/>
      <c r="D20" s="1323"/>
      <c r="E20" s="1323"/>
      <c r="F20" s="1323"/>
      <c r="G20" s="370">
        <f t="shared" si="18"/>
        <v>0</v>
      </c>
      <c r="H20" s="1323"/>
      <c r="I20" s="1323"/>
      <c r="J20" s="370">
        <f t="shared" si="19"/>
        <v>0</v>
      </c>
      <c r="K20" s="1323"/>
      <c r="L20" s="1323"/>
      <c r="M20" s="370">
        <f t="shared" si="20"/>
        <v>0</v>
      </c>
      <c r="N20" s="1323"/>
      <c r="O20" s="1323"/>
      <c r="P20" s="370">
        <f t="shared" si="21"/>
        <v>0</v>
      </c>
      <c r="Q20" s="1323"/>
      <c r="R20" s="1323"/>
      <c r="S20" s="370">
        <f t="shared" si="22"/>
        <v>0</v>
      </c>
      <c r="T20" s="1323"/>
      <c r="U20" s="1323"/>
      <c r="V20" s="370">
        <f t="shared" si="23"/>
        <v>0</v>
      </c>
      <c r="W20" s="1323"/>
      <c r="X20" s="1323"/>
      <c r="Y20" s="370">
        <f t="shared" si="24"/>
        <v>0</v>
      </c>
      <c r="Z20" s="370">
        <f t="shared" si="25"/>
        <v>0</v>
      </c>
      <c r="AA20" s="1324">
        <f t="shared" si="16"/>
        <v>0</v>
      </c>
      <c r="AB20" s="1324">
        <f t="shared" si="17"/>
        <v>0</v>
      </c>
    </row>
    <row r="21" spans="1:144" s="1303" customFormat="1" ht="99" hidden="1" x14ac:dyDescent="0.25">
      <c r="A21" s="1321"/>
      <c r="B21" s="1325" t="s">
        <v>1504</v>
      </c>
      <c r="C21" s="1323"/>
      <c r="D21" s="1323"/>
      <c r="E21" s="1323"/>
      <c r="F21" s="1323"/>
      <c r="G21" s="370">
        <f t="shared" si="18"/>
        <v>0</v>
      </c>
      <c r="H21" s="1323"/>
      <c r="I21" s="1323"/>
      <c r="J21" s="370">
        <f t="shared" si="19"/>
        <v>0</v>
      </c>
      <c r="K21" s="1323"/>
      <c r="L21" s="1323"/>
      <c r="M21" s="370">
        <f t="shared" si="20"/>
        <v>0</v>
      </c>
      <c r="N21" s="1323"/>
      <c r="O21" s="1323"/>
      <c r="P21" s="370">
        <f t="shared" si="21"/>
        <v>0</v>
      </c>
      <c r="Q21" s="1323"/>
      <c r="R21" s="1323"/>
      <c r="S21" s="370">
        <f t="shared" si="22"/>
        <v>0</v>
      </c>
      <c r="T21" s="1323"/>
      <c r="U21" s="1323"/>
      <c r="V21" s="370">
        <f t="shared" si="23"/>
        <v>0</v>
      </c>
      <c r="W21" s="1323"/>
      <c r="X21" s="1323"/>
      <c r="Y21" s="370">
        <f t="shared" si="24"/>
        <v>0</v>
      </c>
      <c r="Z21" s="370">
        <f t="shared" si="25"/>
        <v>0</v>
      </c>
      <c r="AA21" s="1324">
        <f t="shared" si="16"/>
        <v>0</v>
      </c>
      <c r="AB21" s="1324">
        <f t="shared" si="17"/>
        <v>0</v>
      </c>
    </row>
    <row r="22" spans="1:144" s="1303" customFormat="1" ht="115.5" hidden="1" x14ac:dyDescent="0.25">
      <c r="A22" s="1321"/>
      <c r="B22" s="1325" t="s">
        <v>1505</v>
      </c>
      <c r="C22" s="1323"/>
      <c r="D22" s="1323"/>
      <c r="E22" s="1323"/>
      <c r="F22" s="1323"/>
      <c r="G22" s="370">
        <f t="shared" si="18"/>
        <v>0</v>
      </c>
      <c r="H22" s="1323"/>
      <c r="I22" s="1323"/>
      <c r="J22" s="370">
        <f t="shared" si="19"/>
        <v>0</v>
      </c>
      <c r="K22" s="1323"/>
      <c r="L22" s="1323"/>
      <c r="M22" s="370">
        <f t="shared" si="20"/>
        <v>0</v>
      </c>
      <c r="N22" s="1323"/>
      <c r="O22" s="1323"/>
      <c r="P22" s="370">
        <f t="shared" si="21"/>
        <v>0</v>
      </c>
      <c r="Q22" s="1323"/>
      <c r="R22" s="1323"/>
      <c r="S22" s="370">
        <f t="shared" si="22"/>
        <v>0</v>
      </c>
      <c r="T22" s="1323"/>
      <c r="U22" s="1323"/>
      <c r="V22" s="370">
        <f t="shared" si="23"/>
        <v>0</v>
      </c>
      <c r="W22" s="1323"/>
      <c r="X22" s="1323"/>
      <c r="Y22" s="370">
        <f t="shared" si="24"/>
        <v>0</v>
      </c>
      <c r="Z22" s="370">
        <f t="shared" si="25"/>
        <v>0</v>
      </c>
      <c r="AA22" s="1324">
        <f t="shared" si="16"/>
        <v>0</v>
      </c>
      <c r="AB22" s="1324">
        <f t="shared" si="17"/>
        <v>0</v>
      </c>
    </row>
    <row r="23" spans="1:144" s="1330" customFormat="1" ht="105.6" customHeight="1" x14ac:dyDescent="0.25">
      <c r="A23" s="1325">
        <v>1</v>
      </c>
      <c r="B23" s="1325" t="s">
        <v>1506</v>
      </c>
      <c r="C23" s="1320">
        <f>C10</f>
        <v>1125</v>
      </c>
      <c r="D23" s="1326">
        <v>102</v>
      </c>
      <c r="E23" s="1326">
        <v>1</v>
      </c>
      <c r="F23" s="1327">
        <v>100</v>
      </c>
      <c r="G23" s="1328">
        <f t="shared" si="18"/>
        <v>1125</v>
      </c>
      <c r="H23" s="1326">
        <v>0</v>
      </c>
      <c r="I23" s="1327">
        <f>I24</f>
        <v>100</v>
      </c>
      <c r="J23" s="1328">
        <f>C23*I23/100*H23</f>
        <v>0</v>
      </c>
      <c r="K23" s="1326">
        <v>11</v>
      </c>
      <c r="L23" s="1327">
        <v>100</v>
      </c>
      <c r="M23" s="1328">
        <f t="shared" si="20"/>
        <v>12375</v>
      </c>
      <c r="N23" s="1326">
        <v>10</v>
      </c>
      <c r="O23" s="1327">
        <v>50</v>
      </c>
      <c r="P23" s="1328">
        <f t="shared" si="21"/>
        <v>5625</v>
      </c>
      <c r="Q23" s="1326">
        <v>2</v>
      </c>
      <c r="R23" s="1327">
        <v>70</v>
      </c>
      <c r="S23" s="1328">
        <f t="shared" si="22"/>
        <v>1575</v>
      </c>
      <c r="T23" s="1326">
        <v>0</v>
      </c>
      <c r="U23" s="1323">
        <v>0</v>
      </c>
      <c r="V23" s="1328">
        <f t="shared" si="23"/>
        <v>0</v>
      </c>
      <c r="W23" s="1326">
        <v>0</v>
      </c>
      <c r="X23" s="1327">
        <f>X14</f>
        <v>50</v>
      </c>
      <c r="Y23" s="1328">
        <f t="shared" si="24"/>
        <v>0</v>
      </c>
      <c r="Z23" s="1328">
        <f>(C23*D23-G23-J23-M23-P23-S23-V23-Y23)*9-56.1</f>
        <v>846393.9</v>
      </c>
      <c r="AA23" s="1329">
        <f t="shared" ref="AA23:AA24" si="26">Z23*1.045</f>
        <v>884481.63</v>
      </c>
      <c r="AB23" s="1329">
        <f>AA23*1.044-2.8</f>
        <v>923396.02</v>
      </c>
      <c r="AC23" s="1303"/>
      <c r="AD23" s="1303"/>
      <c r="AE23" s="1303"/>
      <c r="AF23" s="1303"/>
      <c r="AG23" s="1303"/>
      <c r="AH23" s="1303"/>
      <c r="AI23" s="1303"/>
      <c r="AJ23" s="1303"/>
      <c r="AK23" s="1303"/>
      <c r="AL23" s="1303"/>
      <c r="AM23" s="1303"/>
      <c r="AN23" s="1303"/>
      <c r="AO23" s="1303"/>
      <c r="AP23" s="1303"/>
      <c r="AQ23" s="1303"/>
      <c r="AR23" s="1303"/>
      <c r="AS23" s="1303"/>
      <c r="AT23" s="1303"/>
      <c r="AU23" s="1303"/>
      <c r="AV23" s="1303"/>
      <c r="AW23" s="1303"/>
      <c r="AX23" s="1303"/>
      <c r="AY23" s="1303"/>
      <c r="AZ23" s="1303"/>
      <c r="BA23" s="1303"/>
      <c r="BB23" s="1303"/>
      <c r="BC23" s="1303"/>
      <c r="BD23" s="1303"/>
      <c r="BE23" s="1303"/>
      <c r="BF23" s="1303"/>
      <c r="BG23" s="1303"/>
      <c r="BH23" s="1303"/>
      <c r="BI23" s="1303"/>
      <c r="BJ23" s="1303"/>
      <c r="BK23" s="1303"/>
      <c r="BL23" s="1303"/>
      <c r="BM23" s="1303"/>
      <c r="BN23" s="1303"/>
      <c r="BO23" s="1303"/>
      <c r="BP23" s="1303"/>
      <c r="BQ23" s="1303"/>
      <c r="BR23" s="1303"/>
      <c r="BS23" s="1303"/>
      <c r="BT23" s="1303"/>
      <c r="BU23" s="1303"/>
      <c r="BV23" s="1303"/>
      <c r="BW23" s="1303"/>
      <c r="BX23" s="1303"/>
      <c r="BY23" s="1303"/>
      <c r="BZ23" s="1303"/>
      <c r="CA23" s="1303"/>
      <c r="CB23" s="1303"/>
      <c r="CC23" s="1303"/>
      <c r="CD23" s="1303"/>
      <c r="CE23" s="1303"/>
      <c r="CF23" s="1303"/>
      <c r="CG23" s="1303"/>
      <c r="CH23" s="1303"/>
      <c r="CI23" s="1303"/>
      <c r="CJ23" s="1303"/>
      <c r="CK23" s="1303"/>
      <c r="CL23" s="1303"/>
      <c r="CM23" s="1303"/>
      <c r="CN23" s="1303"/>
      <c r="CO23" s="1303"/>
      <c r="CP23" s="1303"/>
      <c r="CQ23" s="1303"/>
      <c r="CR23" s="1303"/>
      <c r="CS23" s="1303"/>
      <c r="CT23" s="1303"/>
      <c r="CU23" s="1303"/>
      <c r="CV23" s="1303"/>
      <c r="CW23" s="1303"/>
      <c r="CX23" s="1303"/>
      <c r="CY23" s="1303"/>
      <c r="CZ23" s="1303"/>
      <c r="DA23" s="1303"/>
      <c r="DB23" s="1303"/>
      <c r="DC23" s="1303"/>
      <c r="DD23" s="1303"/>
      <c r="DE23" s="1303"/>
      <c r="DF23" s="1303"/>
      <c r="DG23" s="1303"/>
      <c r="DH23" s="1303"/>
      <c r="DI23" s="1303"/>
      <c r="DJ23" s="1303"/>
      <c r="DK23" s="1303"/>
      <c r="DL23" s="1303"/>
      <c r="DM23" s="1303"/>
      <c r="DN23" s="1303"/>
      <c r="DO23" s="1303"/>
      <c r="DP23" s="1303"/>
      <c r="DQ23" s="1303"/>
      <c r="DR23" s="1303"/>
      <c r="DS23" s="1303"/>
      <c r="DT23" s="1303"/>
      <c r="DU23" s="1303"/>
      <c r="DV23" s="1303"/>
      <c r="DW23" s="1303"/>
      <c r="DX23" s="1303"/>
      <c r="DY23" s="1303"/>
      <c r="DZ23" s="1303"/>
      <c r="EA23" s="1303"/>
      <c r="EB23" s="1303"/>
      <c r="EC23" s="1303"/>
      <c r="ED23" s="1303"/>
      <c r="EE23" s="1303"/>
      <c r="EF23" s="1303"/>
      <c r="EG23" s="1303"/>
      <c r="EH23" s="1303"/>
      <c r="EI23" s="1303"/>
      <c r="EJ23" s="1303"/>
      <c r="EK23" s="1303"/>
      <c r="EL23" s="1303"/>
      <c r="EM23" s="1303"/>
      <c r="EN23" s="1303"/>
    </row>
    <row r="24" spans="1:144" s="1330" customFormat="1" ht="82.5" x14ac:dyDescent="0.25">
      <c r="A24" s="1325">
        <v>2</v>
      </c>
      <c r="B24" s="1325" t="s">
        <v>1507</v>
      </c>
      <c r="C24" s="1320">
        <f>C11</f>
        <v>1688</v>
      </c>
      <c r="D24" s="1326">
        <v>74</v>
      </c>
      <c r="E24" s="1326">
        <v>0</v>
      </c>
      <c r="F24" s="1327">
        <v>100</v>
      </c>
      <c r="G24" s="1328">
        <f t="shared" si="18"/>
        <v>0</v>
      </c>
      <c r="H24" s="1326">
        <v>1</v>
      </c>
      <c r="I24" s="1327">
        <v>100</v>
      </c>
      <c r="J24" s="1328">
        <f>C24*I24/100*H24</f>
        <v>1688</v>
      </c>
      <c r="K24" s="1326">
        <v>11</v>
      </c>
      <c r="L24" s="1327">
        <v>100</v>
      </c>
      <c r="M24" s="1328">
        <f t="shared" si="20"/>
        <v>18568</v>
      </c>
      <c r="N24" s="1326">
        <v>6</v>
      </c>
      <c r="O24" s="1327">
        <v>50</v>
      </c>
      <c r="P24" s="1328">
        <f t="shared" si="21"/>
        <v>5064</v>
      </c>
      <c r="Q24" s="1326">
        <v>1</v>
      </c>
      <c r="R24" s="1327">
        <v>70</v>
      </c>
      <c r="S24" s="1328">
        <f t="shared" si="22"/>
        <v>1181.5999999999999</v>
      </c>
      <c r="T24" s="1326">
        <v>0</v>
      </c>
      <c r="U24" s="1323">
        <v>0</v>
      </c>
      <c r="V24" s="1328">
        <f t="shared" si="23"/>
        <v>0</v>
      </c>
      <c r="W24" s="1326">
        <v>0</v>
      </c>
      <c r="X24" s="1327">
        <f>X23</f>
        <v>50</v>
      </c>
      <c r="Y24" s="1328">
        <f t="shared" si="24"/>
        <v>0</v>
      </c>
      <c r="Z24" s="1328">
        <f t="shared" si="25"/>
        <v>885693.6</v>
      </c>
      <c r="AA24" s="1329">
        <f t="shared" si="26"/>
        <v>925549.81</v>
      </c>
      <c r="AB24" s="1329">
        <f t="shared" ref="AB24" si="27">AA24*1.044</f>
        <v>966274</v>
      </c>
      <c r="AC24" s="1303"/>
      <c r="AD24" s="1303"/>
      <c r="AE24" s="1303"/>
      <c r="AF24" s="1303"/>
      <c r="AG24" s="1303"/>
      <c r="AH24" s="1303"/>
      <c r="AI24" s="1303"/>
      <c r="AJ24" s="1303"/>
      <c r="AK24" s="1303"/>
      <c r="AL24" s="1303"/>
      <c r="AM24" s="1303"/>
      <c r="AN24" s="1303"/>
      <c r="AO24" s="1303"/>
      <c r="AP24" s="1303"/>
      <c r="AQ24" s="1303"/>
      <c r="AR24" s="1303"/>
      <c r="AS24" s="1303"/>
      <c r="AT24" s="1303"/>
      <c r="AU24" s="1303"/>
      <c r="AV24" s="1303"/>
      <c r="AW24" s="1303"/>
      <c r="AX24" s="1303"/>
      <c r="AY24" s="1303"/>
      <c r="AZ24" s="1303"/>
      <c r="BA24" s="1303"/>
      <c r="BB24" s="1303"/>
      <c r="BC24" s="1303"/>
      <c r="BD24" s="1303"/>
      <c r="BE24" s="1303"/>
      <c r="BF24" s="1303"/>
      <c r="BG24" s="1303"/>
      <c r="BH24" s="1303"/>
      <c r="BI24" s="1303"/>
      <c r="BJ24" s="1303"/>
      <c r="BK24" s="1303"/>
      <c r="BL24" s="1303"/>
      <c r="BM24" s="1303"/>
      <c r="BN24" s="1303"/>
      <c r="BO24" s="1303"/>
      <c r="BP24" s="1303"/>
      <c r="BQ24" s="1303"/>
      <c r="BR24" s="1303"/>
      <c r="BS24" s="1303"/>
      <c r="BT24" s="1303"/>
      <c r="BU24" s="1303"/>
      <c r="BV24" s="1303"/>
      <c r="BW24" s="1303"/>
      <c r="BX24" s="1303"/>
      <c r="BY24" s="1303"/>
      <c r="BZ24" s="1303"/>
      <c r="CA24" s="1303"/>
      <c r="CB24" s="1303"/>
      <c r="CC24" s="1303"/>
      <c r="CD24" s="1303"/>
      <c r="CE24" s="1303"/>
      <c r="CF24" s="1303"/>
      <c r="CG24" s="1303"/>
      <c r="CH24" s="1303"/>
      <c r="CI24" s="1303"/>
      <c r="CJ24" s="1303"/>
      <c r="CK24" s="1303"/>
      <c r="CL24" s="1303"/>
      <c r="CM24" s="1303"/>
      <c r="CN24" s="1303"/>
      <c r="CO24" s="1303"/>
      <c r="CP24" s="1303"/>
      <c r="CQ24" s="1303"/>
      <c r="CR24" s="1303"/>
      <c r="CS24" s="1303"/>
      <c r="CT24" s="1303"/>
      <c r="CU24" s="1303"/>
      <c r="CV24" s="1303"/>
      <c r="CW24" s="1303"/>
      <c r="CX24" s="1303"/>
      <c r="CY24" s="1303"/>
      <c r="CZ24" s="1303"/>
      <c r="DA24" s="1303"/>
      <c r="DB24" s="1303"/>
      <c r="DC24" s="1303"/>
      <c r="DD24" s="1303"/>
      <c r="DE24" s="1303"/>
      <c r="DF24" s="1303"/>
      <c r="DG24" s="1303"/>
      <c r="DH24" s="1303"/>
      <c r="DI24" s="1303"/>
      <c r="DJ24" s="1303"/>
      <c r="DK24" s="1303"/>
      <c r="DL24" s="1303"/>
      <c r="DM24" s="1303"/>
      <c r="DN24" s="1303"/>
      <c r="DO24" s="1303"/>
      <c r="DP24" s="1303"/>
      <c r="DQ24" s="1303"/>
      <c r="DR24" s="1303"/>
      <c r="DS24" s="1303"/>
      <c r="DT24" s="1303"/>
      <c r="DU24" s="1303"/>
      <c r="DV24" s="1303"/>
      <c r="DW24" s="1303"/>
      <c r="DX24" s="1303"/>
      <c r="DY24" s="1303"/>
      <c r="DZ24" s="1303"/>
      <c r="EA24" s="1303"/>
      <c r="EB24" s="1303"/>
      <c r="EC24" s="1303"/>
      <c r="ED24" s="1303"/>
      <c r="EE24" s="1303"/>
      <c r="EF24" s="1303"/>
      <c r="EG24" s="1303"/>
      <c r="EH24" s="1303"/>
      <c r="EI24" s="1303"/>
      <c r="EJ24" s="1303"/>
      <c r="EK24" s="1303"/>
      <c r="EL24" s="1303"/>
      <c r="EM24" s="1303"/>
      <c r="EN24" s="1303"/>
    </row>
    <row r="25" spans="1:144" s="1303" customFormat="1" ht="132" hidden="1" x14ac:dyDescent="0.25">
      <c r="A25" s="1331"/>
      <c r="B25" s="1325" t="s">
        <v>1508</v>
      </c>
      <c r="C25" s="1323"/>
      <c r="D25" s="1323"/>
      <c r="E25" s="1323"/>
      <c r="F25" s="1323"/>
      <c r="G25" s="370">
        <f t="shared" si="18"/>
        <v>0</v>
      </c>
      <c r="H25" s="1323"/>
      <c r="I25" s="1323"/>
      <c r="J25" s="370">
        <f t="shared" si="19"/>
        <v>0</v>
      </c>
      <c r="K25" s="1323"/>
      <c r="L25" s="1323"/>
      <c r="M25" s="370">
        <f t="shared" si="20"/>
        <v>0</v>
      </c>
      <c r="N25" s="1323"/>
      <c r="O25" s="1323"/>
      <c r="P25" s="370">
        <f t="shared" si="21"/>
        <v>0</v>
      </c>
      <c r="Q25" s="1323"/>
      <c r="R25" s="1323"/>
      <c r="S25" s="370">
        <f t="shared" si="22"/>
        <v>0</v>
      </c>
      <c r="T25" s="1323"/>
      <c r="U25" s="1323"/>
      <c r="V25" s="370">
        <f t="shared" si="23"/>
        <v>0</v>
      </c>
      <c r="W25" s="1323"/>
      <c r="X25" s="1323"/>
      <c r="Y25" s="370">
        <f t="shared" si="24"/>
        <v>0</v>
      </c>
      <c r="Z25" s="370">
        <f t="shared" si="25"/>
        <v>0</v>
      </c>
      <c r="AA25" s="1324">
        <f t="shared" si="16"/>
        <v>0</v>
      </c>
      <c r="AB25" s="1324">
        <f t="shared" si="17"/>
        <v>0</v>
      </c>
    </row>
    <row r="26" spans="1:144" s="1303" customFormat="1" ht="24.6" customHeight="1" x14ac:dyDescent="0.25">
      <c r="A26" s="2463" t="s">
        <v>1509</v>
      </c>
      <c r="B26" s="2464"/>
      <c r="C26" s="2464"/>
      <c r="D26" s="2464"/>
      <c r="E26" s="2464"/>
      <c r="F26" s="2464"/>
      <c r="G26" s="2464"/>
      <c r="H26" s="2464"/>
      <c r="I26" s="2464"/>
      <c r="J26" s="2464"/>
      <c r="K26" s="2464"/>
      <c r="L26" s="2464"/>
      <c r="M26" s="2464"/>
      <c r="N26" s="2464"/>
      <c r="O26" s="2464"/>
      <c r="P26" s="2464"/>
      <c r="Q26" s="2464"/>
      <c r="R26" s="2464"/>
      <c r="S26" s="2464"/>
      <c r="T26" s="2464"/>
      <c r="U26" s="2464"/>
      <c r="V26" s="2464"/>
      <c r="W26" s="2464"/>
      <c r="X26" s="2464"/>
      <c r="Y26" s="2465"/>
      <c r="Z26" s="1332">
        <f>SUM(Z32:Z39)</f>
        <v>673312.5</v>
      </c>
      <c r="AA26" s="1332">
        <f>SUM(AA32:AA39)</f>
        <v>703668.57</v>
      </c>
      <c r="AB26" s="1332">
        <f t="shared" ref="AB26" si="28">SUM(AB32:AB39)</f>
        <v>734629.99</v>
      </c>
    </row>
    <row r="27" spans="1:144" s="1303" customFormat="1" ht="16.5" hidden="1" x14ac:dyDescent="0.25">
      <c r="A27" s="1331"/>
      <c r="B27" s="1333" t="s">
        <v>1510</v>
      </c>
      <c r="C27" s="1323"/>
      <c r="D27" s="1323"/>
      <c r="E27" s="1323"/>
      <c r="F27" s="1323"/>
      <c r="G27" s="1334"/>
      <c r="H27" s="1323"/>
      <c r="I27" s="1323"/>
      <c r="J27" s="1334"/>
      <c r="K27" s="1323"/>
      <c r="L27" s="1323"/>
      <c r="M27" s="1334"/>
      <c r="N27" s="1323"/>
      <c r="O27" s="1323"/>
      <c r="P27" s="1334"/>
      <c r="Q27" s="1323"/>
      <c r="R27" s="1323"/>
      <c r="S27" s="1334"/>
      <c r="T27" s="1323"/>
      <c r="U27" s="1323"/>
      <c r="V27" s="1323"/>
      <c r="W27" s="1323"/>
      <c r="X27" s="1323"/>
      <c r="Y27" s="1323"/>
      <c r="Z27" s="370">
        <f t="shared" ref="Z27:Z41" si="29">(C27*D27-G27-J27-M27-P27-S27-V27-Y27)*9</f>
        <v>0</v>
      </c>
      <c r="AA27" s="1324">
        <f t="shared" si="16"/>
        <v>0</v>
      </c>
      <c r="AB27" s="1324">
        <f t="shared" si="17"/>
        <v>0</v>
      </c>
    </row>
    <row r="28" spans="1:144" s="1303" customFormat="1" ht="49.5" hidden="1" x14ac:dyDescent="0.25">
      <c r="A28" s="1331"/>
      <c r="B28" s="1333" t="s">
        <v>1511</v>
      </c>
      <c r="C28" s="1323"/>
      <c r="D28" s="1323"/>
      <c r="E28" s="1323"/>
      <c r="F28" s="1323"/>
      <c r="G28" s="370">
        <f t="shared" ref="G28:G41" si="30">C28*F28/100*E28</f>
        <v>0</v>
      </c>
      <c r="H28" s="1323"/>
      <c r="I28" s="1323"/>
      <c r="J28" s="370">
        <f t="shared" ref="J28:J41" si="31">C28*I28/100*H28</f>
        <v>0</v>
      </c>
      <c r="K28" s="1323"/>
      <c r="L28" s="1323"/>
      <c r="M28" s="370">
        <f t="shared" ref="M28:M41" si="32">C28*L28/100*K28</f>
        <v>0</v>
      </c>
      <c r="N28" s="1323"/>
      <c r="O28" s="1323"/>
      <c r="P28" s="370">
        <f t="shared" ref="P28:P41" si="33">C28*O28/100*N28</f>
        <v>0</v>
      </c>
      <c r="Q28" s="1323"/>
      <c r="R28" s="1323"/>
      <c r="S28" s="370">
        <f t="shared" ref="S28:S41" si="34">C28*R28/100*Q28</f>
        <v>0</v>
      </c>
      <c r="T28" s="1323"/>
      <c r="U28" s="1323"/>
      <c r="V28" s="370">
        <f t="shared" ref="V28:V41" si="35">C28*U28/100*T28</f>
        <v>0</v>
      </c>
      <c r="W28" s="1323"/>
      <c r="X28" s="1323"/>
      <c r="Y28" s="370">
        <f t="shared" ref="Y28:Y41" si="36">C28*X28/100*W28</f>
        <v>0</v>
      </c>
      <c r="Z28" s="370">
        <f t="shared" si="29"/>
        <v>0</v>
      </c>
      <c r="AA28" s="1324">
        <f t="shared" si="16"/>
        <v>0</v>
      </c>
      <c r="AB28" s="1324">
        <f t="shared" si="17"/>
        <v>0</v>
      </c>
    </row>
    <row r="29" spans="1:144" s="1303" customFormat="1" ht="33" hidden="1" x14ac:dyDescent="0.25">
      <c r="A29" s="1331"/>
      <c r="B29" s="1333" t="s">
        <v>1512</v>
      </c>
      <c r="C29" s="1323"/>
      <c r="D29" s="1323"/>
      <c r="E29" s="1323"/>
      <c r="F29" s="1323"/>
      <c r="G29" s="370">
        <f t="shared" si="30"/>
        <v>0</v>
      </c>
      <c r="H29" s="1323"/>
      <c r="I29" s="1323"/>
      <c r="J29" s="370">
        <f t="shared" si="31"/>
        <v>0</v>
      </c>
      <c r="K29" s="1323"/>
      <c r="L29" s="1323"/>
      <c r="M29" s="370">
        <f t="shared" si="32"/>
        <v>0</v>
      </c>
      <c r="N29" s="1323"/>
      <c r="O29" s="1323"/>
      <c r="P29" s="370">
        <f t="shared" si="33"/>
        <v>0</v>
      </c>
      <c r="Q29" s="1323"/>
      <c r="R29" s="1323"/>
      <c r="S29" s="370">
        <f t="shared" si="34"/>
        <v>0</v>
      </c>
      <c r="T29" s="1323"/>
      <c r="U29" s="1323"/>
      <c r="V29" s="370">
        <f t="shared" si="35"/>
        <v>0</v>
      </c>
      <c r="W29" s="1323"/>
      <c r="X29" s="1323"/>
      <c r="Y29" s="370">
        <f t="shared" si="36"/>
        <v>0</v>
      </c>
      <c r="Z29" s="370">
        <f t="shared" si="29"/>
        <v>0</v>
      </c>
      <c r="AA29" s="1324">
        <f t="shared" si="16"/>
        <v>0</v>
      </c>
      <c r="AB29" s="1324">
        <f t="shared" si="17"/>
        <v>0</v>
      </c>
    </row>
    <row r="30" spans="1:144" s="1303" customFormat="1" ht="33" hidden="1" x14ac:dyDescent="0.25">
      <c r="A30" s="1331"/>
      <c r="B30" s="1333" t="s">
        <v>1513</v>
      </c>
      <c r="C30" s="1323"/>
      <c r="D30" s="1323"/>
      <c r="E30" s="1323"/>
      <c r="F30" s="1323"/>
      <c r="G30" s="370">
        <f t="shared" si="30"/>
        <v>0</v>
      </c>
      <c r="H30" s="1323"/>
      <c r="I30" s="1323"/>
      <c r="J30" s="370">
        <f t="shared" si="31"/>
        <v>0</v>
      </c>
      <c r="K30" s="1323"/>
      <c r="L30" s="1323"/>
      <c r="M30" s="370">
        <f t="shared" si="32"/>
        <v>0</v>
      </c>
      <c r="N30" s="1323"/>
      <c r="O30" s="1323"/>
      <c r="P30" s="370">
        <f t="shared" si="33"/>
        <v>0</v>
      </c>
      <c r="Q30" s="1323"/>
      <c r="R30" s="1323"/>
      <c r="S30" s="370">
        <f t="shared" si="34"/>
        <v>0</v>
      </c>
      <c r="T30" s="1323"/>
      <c r="U30" s="1323"/>
      <c r="V30" s="370">
        <f t="shared" si="35"/>
        <v>0</v>
      </c>
      <c r="W30" s="1323"/>
      <c r="X30" s="1323"/>
      <c r="Y30" s="370">
        <f t="shared" si="36"/>
        <v>0</v>
      </c>
      <c r="Z30" s="370">
        <f t="shared" si="29"/>
        <v>0</v>
      </c>
      <c r="AA30" s="1324">
        <f t="shared" si="16"/>
        <v>0</v>
      </c>
      <c r="AB30" s="1324">
        <f t="shared" si="17"/>
        <v>0</v>
      </c>
    </row>
    <row r="31" spans="1:144" s="1303" customFormat="1" ht="33" hidden="1" x14ac:dyDescent="0.25">
      <c r="A31" s="1331"/>
      <c r="B31" s="1333" t="s">
        <v>1514</v>
      </c>
      <c r="C31" s="1323"/>
      <c r="D31" s="1323"/>
      <c r="E31" s="1323"/>
      <c r="F31" s="1323"/>
      <c r="G31" s="370">
        <f t="shared" si="30"/>
        <v>0</v>
      </c>
      <c r="H31" s="1323"/>
      <c r="I31" s="1323"/>
      <c r="J31" s="370">
        <f t="shared" si="31"/>
        <v>0</v>
      </c>
      <c r="K31" s="1323"/>
      <c r="L31" s="1323"/>
      <c r="M31" s="370">
        <f t="shared" si="32"/>
        <v>0</v>
      </c>
      <c r="N31" s="1323"/>
      <c r="O31" s="1323"/>
      <c r="P31" s="370">
        <f t="shared" si="33"/>
        <v>0</v>
      </c>
      <c r="Q31" s="1323"/>
      <c r="R31" s="1323"/>
      <c r="S31" s="370">
        <f t="shared" si="34"/>
        <v>0</v>
      </c>
      <c r="T31" s="1323"/>
      <c r="U31" s="1323"/>
      <c r="V31" s="370">
        <f t="shared" si="35"/>
        <v>0</v>
      </c>
      <c r="W31" s="1323"/>
      <c r="X31" s="1323"/>
      <c r="Y31" s="370">
        <f t="shared" si="36"/>
        <v>0</v>
      </c>
      <c r="Z31" s="370">
        <f t="shared" si="29"/>
        <v>0</v>
      </c>
      <c r="AA31" s="1324">
        <f t="shared" si="16"/>
        <v>0</v>
      </c>
      <c r="AB31" s="1324">
        <f t="shared" si="17"/>
        <v>0</v>
      </c>
    </row>
    <row r="32" spans="1:144" s="1330" customFormat="1" ht="57.6" customHeight="1" x14ac:dyDescent="0.25">
      <c r="A32" s="1335">
        <v>3</v>
      </c>
      <c r="B32" s="1336" t="s">
        <v>1515</v>
      </c>
      <c r="C32" s="1332">
        <f>C12</f>
        <v>1125</v>
      </c>
      <c r="D32" s="1326">
        <v>33</v>
      </c>
      <c r="E32" s="1326">
        <v>0</v>
      </c>
      <c r="F32" s="1337">
        <v>100</v>
      </c>
      <c r="G32" s="1338">
        <f>C32*F32/100*E32</f>
        <v>0</v>
      </c>
      <c r="H32" s="1326">
        <v>0</v>
      </c>
      <c r="I32" s="1337">
        <v>100</v>
      </c>
      <c r="J32" s="1338">
        <f t="shared" si="31"/>
        <v>0</v>
      </c>
      <c r="K32" s="1326">
        <v>4</v>
      </c>
      <c r="L32" s="1337">
        <v>100</v>
      </c>
      <c r="M32" s="1338">
        <f t="shared" si="32"/>
        <v>4500</v>
      </c>
      <c r="N32" s="1326">
        <v>4</v>
      </c>
      <c r="O32" s="1337">
        <v>50</v>
      </c>
      <c r="P32" s="1338">
        <f>C32*O32/100*N32</f>
        <v>2250</v>
      </c>
      <c r="Q32" s="1326">
        <v>0</v>
      </c>
      <c r="R32" s="1337">
        <v>70</v>
      </c>
      <c r="S32" s="1338">
        <f t="shared" si="34"/>
        <v>0</v>
      </c>
      <c r="T32" s="1326">
        <v>0</v>
      </c>
      <c r="U32" s="1326">
        <v>0</v>
      </c>
      <c r="V32" s="1338">
        <f t="shared" si="35"/>
        <v>0</v>
      </c>
      <c r="W32" s="1339">
        <v>0</v>
      </c>
      <c r="X32" s="1337">
        <v>50</v>
      </c>
      <c r="Y32" s="1338">
        <f t="shared" si="36"/>
        <v>0</v>
      </c>
      <c r="Z32" s="1338">
        <f>(C32*D32-G32-J32-M32-P32-S32-V32-Y32)*9</f>
        <v>273375</v>
      </c>
      <c r="AA32" s="1340">
        <f>Z32*1.045+57</f>
        <v>285733.88</v>
      </c>
      <c r="AB32" s="1340">
        <f t="shared" ref="AB32:AB39" si="37">AA32*1.044</f>
        <v>298306.17</v>
      </c>
      <c r="AC32" s="1303"/>
      <c r="AD32" s="1303"/>
      <c r="AE32" s="1303"/>
      <c r="AF32" s="1303"/>
      <c r="AG32" s="1303"/>
      <c r="AH32" s="1303"/>
      <c r="AI32" s="1303"/>
      <c r="AJ32" s="1303"/>
      <c r="AK32" s="1303"/>
      <c r="AL32" s="1303"/>
      <c r="AM32" s="1303"/>
      <c r="AN32" s="1303"/>
      <c r="AO32" s="1303"/>
      <c r="AP32" s="1303"/>
      <c r="AQ32" s="1303"/>
      <c r="AR32" s="1303"/>
      <c r="AS32" s="1303"/>
      <c r="AT32" s="1303"/>
      <c r="AU32" s="1303"/>
      <c r="AV32" s="1303"/>
      <c r="AW32" s="1303"/>
      <c r="AX32" s="1303"/>
      <c r="AY32" s="1303"/>
      <c r="AZ32" s="1303"/>
      <c r="BA32" s="1303"/>
      <c r="BB32" s="1303"/>
      <c r="BC32" s="1303"/>
      <c r="BD32" s="1303"/>
      <c r="BE32" s="1303"/>
      <c r="BF32" s="1303"/>
      <c r="BG32" s="1303"/>
      <c r="BH32" s="1303"/>
      <c r="BI32" s="1303"/>
      <c r="BJ32" s="1303"/>
      <c r="BK32" s="1303"/>
      <c r="BL32" s="1303"/>
      <c r="BM32" s="1303"/>
      <c r="BN32" s="1303"/>
      <c r="BO32" s="1303"/>
      <c r="BP32" s="1303"/>
      <c r="BQ32" s="1303"/>
      <c r="BR32" s="1303"/>
      <c r="BS32" s="1303"/>
      <c r="BT32" s="1303"/>
      <c r="BU32" s="1303"/>
      <c r="BV32" s="1303"/>
      <c r="BW32" s="1303"/>
      <c r="BX32" s="1303"/>
      <c r="BY32" s="1303"/>
      <c r="BZ32" s="1303"/>
      <c r="CA32" s="1303"/>
      <c r="CB32" s="1303"/>
      <c r="CC32" s="1303"/>
      <c r="CD32" s="1303"/>
      <c r="CE32" s="1303"/>
      <c r="CF32" s="1303"/>
      <c r="CG32" s="1303"/>
      <c r="CH32" s="1303"/>
      <c r="CI32" s="1303"/>
      <c r="CJ32" s="1303"/>
      <c r="CK32" s="1303"/>
      <c r="CL32" s="1303"/>
      <c r="CM32" s="1303"/>
      <c r="CN32" s="1303"/>
      <c r="CO32" s="1303"/>
      <c r="CP32" s="1303"/>
      <c r="CQ32" s="1303"/>
      <c r="CR32" s="1303"/>
      <c r="CS32" s="1303"/>
      <c r="CT32" s="1303"/>
      <c r="CU32" s="1303"/>
      <c r="CV32" s="1303"/>
      <c r="CW32" s="1303"/>
      <c r="CX32" s="1303"/>
      <c r="CY32" s="1303"/>
      <c r="CZ32" s="1303"/>
      <c r="DA32" s="1303"/>
      <c r="DB32" s="1303"/>
      <c r="DC32" s="1303"/>
      <c r="DD32" s="1303"/>
      <c r="DE32" s="1303"/>
      <c r="DF32" s="1303"/>
      <c r="DG32" s="1303"/>
      <c r="DH32" s="1303"/>
      <c r="DI32" s="1303"/>
      <c r="DJ32" s="1303"/>
      <c r="DK32" s="1303"/>
      <c r="DL32" s="1303"/>
      <c r="DM32" s="1303"/>
      <c r="DN32" s="1303"/>
      <c r="DO32" s="1303"/>
      <c r="DP32" s="1303"/>
      <c r="DQ32" s="1303"/>
      <c r="DR32" s="1303"/>
      <c r="DS32" s="1303"/>
      <c r="DT32" s="1303"/>
      <c r="DU32" s="1303"/>
      <c r="DV32" s="1303"/>
      <c r="DW32" s="1303"/>
      <c r="DX32" s="1303"/>
      <c r="DY32" s="1303"/>
      <c r="DZ32" s="1303"/>
      <c r="EA32" s="1303"/>
      <c r="EB32" s="1303"/>
      <c r="EC32" s="1303"/>
      <c r="ED32" s="1303"/>
      <c r="EE32" s="1303"/>
      <c r="EF32" s="1303"/>
      <c r="EG32" s="1303"/>
      <c r="EH32" s="1303"/>
      <c r="EI32" s="1303"/>
      <c r="EJ32" s="1303"/>
      <c r="EK32" s="1303"/>
      <c r="EL32" s="1303"/>
      <c r="EM32" s="1303"/>
      <c r="EN32" s="1303"/>
    </row>
    <row r="33" spans="1:144" s="1330" customFormat="1" ht="57.6" customHeight="1" x14ac:dyDescent="0.25">
      <c r="A33" s="1335">
        <v>4</v>
      </c>
      <c r="B33" s="1335" t="s">
        <v>1516</v>
      </c>
      <c r="C33" s="1332">
        <f>C13</f>
        <v>1125</v>
      </c>
      <c r="D33" s="1326">
        <v>43</v>
      </c>
      <c r="E33" s="1326">
        <v>0</v>
      </c>
      <c r="F33" s="1337">
        <f>F32</f>
        <v>100</v>
      </c>
      <c r="G33" s="1338">
        <f t="shared" si="30"/>
        <v>0</v>
      </c>
      <c r="H33" s="1326">
        <v>0</v>
      </c>
      <c r="I33" s="1337">
        <f>I32</f>
        <v>100</v>
      </c>
      <c r="J33" s="1338">
        <f t="shared" si="31"/>
        <v>0</v>
      </c>
      <c r="K33" s="1326">
        <v>3</v>
      </c>
      <c r="L33" s="1337">
        <f>L32</f>
        <v>100</v>
      </c>
      <c r="M33" s="1338">
        <f t="shared" si="32"/>
        <v>3375</v>
      </c>
      <c r="N33" s="1326">
        <v>1</v>
      </c>
      <c r="O33" s="1337">
        <f>O32</f>
        <v>50</v>
      </c>
      <c r="P33" s="1338">
        <f t="shared" si="33"/>
        <v>562.5</v>
      </c>
      <c r="Q33" s="1326">
        <v>0</v>
      </c>
      <c r="R33" s="1337">
        <f>R32</f>
        <v>70</v>
      </c>
      <c r="S33" s="1338">
        <f t="shared" si="34"/>
        <v>0</v>
      </c>
      <c r="T33" s="1326">
        <v>0</v>
      </c>
      <c r="U33" s="1326">
        <v>0</v>
      </c>
      <c r="V33" s="1338">
        <f t="shared" si="35"/>
        <v>0</v>
      </c>
      <c r="W33" s="1326">
        <v>0</v>
      </c>
      <c r="X33" s="1337">
        <f>X32</f>
        <v>50</v>
      </c>
      <c r="Y33" s="1338">
        <f t="shared" si="36"/>
        <v>0</v>
      </c>
      <c r="Z33" s="1338">
        <f t="shared" si="29"/>
        <v>399937.5</v>
      </c>
      <c r="AA33" s="1340">
        <f t="shared" ref="AA33:AA39" si="38">Z33*1.045</f>
        <v>417934.69</v>
      </c>
      <c r="AB33" s="1340">
        <f t="shared" si="37"/>
        <v>436323.82</v>
      </c>
      <c r="AC33" s="1303"/>
      <c r="AD33" s="1303"/>
      <c r="AE33" s="1303"/>
      <c r="AF33" s="1303"/>
      <c r="AG33" s="1303"/>
      <c r="AH33" s="1303"/>
      <c r="AI33" s="1303"/>
      <c r="AJ33" s="1303"/>
      <c r="AK33" s="1303"/>
      <c r="AL33" s="1303"/>
      <c r="AM33" s="1303"/>
      <c r="AN33" s="1303"/>
      <c r="AO33" s="1303"/>
      <c r="AP33" s="1303"/>
      <c r="AQ33" s="1303"/>
      <c r="AR33" s="1303"/>
      <c r="AS33" s="1303"/>
      <c r="AT33" s="1303"/>
      <c r="AU33" s="1303"/>
      <c r="AV33" s="1303"/>
      <c r="AW33" s="1303"/>
      <c r="AX33" s="1303"/>
      <c r="AY33" s="1303"/>
      <c r="AZ33" s="1303"/>
      <c r="BA33" s="1303"/>
      <c r="BB33" s="1303"/>
      <c r="BC33" s="1303"/>
      <c r="BD33" s="1303"/>
      <c r="BE33" s="1303"/>
      <c r="BF33" s="1303"/>
      <c r="BG33" s="1303"/>
      <c r="BH33" s="1303"/>
      <c r="BI33" s="1303"/>
      <c r="BJ33" s="1303"/>
      <c r="BK33" s="1303"/>
      <c r="BL33" s="1303"/>
      <c r="BM33" s="1303"/>
      <c r="BN33" s="1303"/>
      <c r="BO33" s="1303"/>
      <c r="BP33" s="1303"/>
      <c r="BQ33" s="1303"/>
      <c r="BR33" s="1303"/>
      <c r="BS33" s="1303"/>
      <c r="BT33" s="1303"/>
      <c r="BU33" s="1303"/>
      <c r="BV33" s="1303"/>
      <c r="BW33" s="1303"/>
      <c r="BX33" s="1303"/>
      <c r="BY33" s="1303"/>
      <c r="BZ33" s="1303"/>
      <c r="CA33" s="1303"/>
      <c r="CB33" s="1303"/>
      <c r="CC33" s="1303"/>
      <c r="CD33" s="1303"/>
      <c r="CE33" s="1303"/>
      <c r="CF33" s="1303"/>
      <c r="CG33" s="1303"/>
      <c r="CH33" s="1303"/>
      <c r="CI33" s="1303"/>
      <c r="CJ33" s="1303"/>
      <c r="CK33" s="1303"/>
      <c r="CL33" s="1303"/>
      <c r="CM33" s="1303"/>
      <c r="CN33" s="1303"/>
      <c r="CO33" s="1303"/>
      <c r="CP33" s="1303"/>
      <c r="CQ33" s="1303"/>
      <c r="CR33" s="1303"/>
      <c r="CS33" s="1303"/>
      <c r="CT33" s="1303"/>
      <c r="CU33" s="1303"/>
      <c r="CV33" s="1303"/>
      <c r="CW33" s="1303"/>
      <c r="CX33" s="1303"/>
      <c r="CY33" s="1303"/>
      <c r="CZ33" s="1303"/>
      <c r="DA33" s="1303"/>
      <c r="DB33" s="1303"/>
      <c r="DC33" s="1303"/>
      <c r="DD33" s="1303"/>
      <c r="DE33" s="1303"/>
      <c r="DF33" s="1303"/>
      <c r="DG33" s="1303"/>
      <c r="DH33" s="1303"/>
      <c r="DI33" s="1303"/>
      <c r="DJ33" s="1303"/>
      <c r="DK33" s="1303"/>
      <c r="DL33" s="1303"/>
      <c r="DM33" s="1303"/>
      <c r="DN33" s="1303"/>
      <c r="DO33" s="1303"/>
      <c r="DP33" s="1303"/>
      <c r="DQ33" s="1303"/>
      <c r="DR33" s="1303"/>
      <c r="DS33" s="1303"/>
      <c r="DT33" s="1303"/>
      <c r="DU33" s="1303"/>
      <c r="DV33" s="1303"/>
      <c r="DW33" s="1303"/>
      <c r="DX33" s="1303"/>
      <c r="DY33" s="1303"/>
      <c r="DZ33" s="1303"/>
      <c r="EA33" s="1303"/>
      <c r="EB33" s="1303"/>
      <c r="EC33" s="1303"/>
      <c r="ED33" s="1303"/>
      <c r="EE33" s="1303"/>
      <c r="EF33" s="1303"/>
      <c r="EG33" s="1303"/>
      <c r="EH33" s="1303"/>
      <c r="EI33" s="1303"/>
      <c r="EJ33" s="1303"/>
      <c r="EK33" s="1303"/>
      <c r="EL33" s="1303"/>
      <c r="EM33" s="1303"/>
      <c r="EN33" s="1303"/>
    </row>
    <row r="34" spans="1:144" s="1330" customFormat="1" ht="57.6" hidden="1" customHeight="1" x14ac:dyDescent="0.25">
      <c r="A34" s="1335"/>
      <c r="B34" s="1341" t="s">
        <v>1517</v>
      </c>
      <c r="C34" s="1323"/>
      <c r="D34" s="1326"/>
      <c r="E34" s="1326"/>
      <c r="F34" s="1337"/>
      <c r="G34" s="1338">
        <f t="shared" si="30"/>
        <v>0</v>
      </c>
      <c r="H34" s="1326"/>
      <c r="I34" s="1337"/>
      <c r="J34" s="1338">
        <f t="shared" si="31"/>
        <v>0</v>
      </c>
      <c r="K34" s="1326"/>
      <c r="L34" s="1337"/>
      <c r="M34" s="1338">
        <f t="shared" si="32"/>
        <v>0</v>
      </c>
      <c r="N34" s="1326"/>
      <c r="O34" s="1337"/>
      <c r="P34" s="1338">
        <f t="shared" si="33"/>
        <v>0</v>
      </c>
      <c r="Q34" s="1326"/>
      <c r="R34" s="1337"/>
      <c r="S34" s="1338">
        <f t="shared" si="34"/>
        <v>0</v>
      </c>
      <c r="T34" s="1326"/>
      <c r="U34" s="1326"/>
      <c r="V34" s="1338">
        <f t="shared" si="35"/>
        <v>0</v>
      </c>
      <c r="W34" s="1326"/>
      <c r="X34" s="1337"/>
      <c r="Y34" s="1338">
        <f t="shared" si="36"/>
        <v>0</v>
      </c>
      <c r="Z34" s="1338">
        <f t="shared" si="29"/>
        <v>0</v>
      </c>
      <c r="AA34" s="1340">
        <f t="shared" si="38"/>
        <v>0</v>
      </c>
      <c r="AB34" s="1340">
        <f t="shared" si="37"/>
        <v>0</v>
      </c>
      <c r="AC34" s="1303"/>
      <c r="AD34" s="1303"/>
      <c r="AE34" s="1303"/>
      <c r="AF34" s="1303"/>
      <c r="AG34" s="1303"/>
      <c r="AH34" s="1303"/>
      <c r="AI34" s="1303"/>
      <c r="AJ34" s="1303"/>
      <c r="AK34" s="1303"/>
      <c r="AL34" s="1303"/>
      <c r="AM34" s="1303"/>
      <c r="AN34" s="1303"/>
      <c r="AO34" s="1303"/>
      <c r="AP34" s="1303"/>
      <c r="AQ34" s="1303"/>
      <c r="AR34" s="1303"/>
      <c r="AS34" s="1303"/>
      <c r="AT34" s="1303"/>
      <c r="AU34" s="1303"/>
      <c r="AV34" s="1303"/>
      <c r="AW34" s="1303"/>
      <c r="AX34" s="1303"/>
      <c r="AY34" s="1303"/>
      <c r="AZ34" s="1303"/>
      <c r="BA34" s="1303"/>
      <c r="BB34" s="1303"/>
      <c r="BC34" s="1303"/>
      <c r="BD34" s="1303"/>
      <c r="BE34" s="1303"/>
      <c r="BF34" s="1303"/>
      <c r="BG34" s="1303"/>
      <c r="BH34" s="1303"/>
      <c r="BI34" s="1303"/>
      <c r="BJ34" s="1303"/>
      <c r="BK34" s="1303"/>
      <c r="BL34" s="1303"/>
      <c r="BM34" s="1303"/>
      <c r="BN34" s="1303"/>
      <c r="BO34" s="1303"/>
      <c r="BP34" s="1303"/>
      <c r="BQ34" s="1303"/>
      <c r="BR34" s="1303"/>
      <c r="BS34" s="1303"/>
      <c r="BT34" s="1303"/>
      <c r="BU34" s="1303"/>
      <c r="BV34" s="1303"/>
      <c r="BW34" s="1303"/>
      <c r="BX34" s="1303"/>
      <c r="BY34" s="1303"/>
      <c r="BZ34" s="1303"/>
      <c r="CA34" s="1303"/>
      <c r="CB34" s="1303"/>
      <c r="CC34" s="1303"/>
      <c r="CD34" s="1303"/>
      <c r="CE34" s="1303"/>
      <c r="CF34" s="1303"/>
      <c r="CG34" s="1303"/>
      <c r="CH34" s="1303"/>
      <c r="CI34" s="1303"/>
      <c r="CJ34" s="1303"/>
      <c r="CK34" s="1303"/>
      <c r="CL34" s="1303"/>
      <c r="CM34" s="1303"/>
      <c r="CN34" s="1303"/>
      <c r="CO34" s="1303"/>
      <c r="CP34" s="1303"/>
      <c r="CQ34" s="1303"/>
      <c r="CR34" s="1303"/>
      <c r="CS34" s="1303"/>
      <c r="CT34" s="1303"/>
      <c r="CU34" s="1303"/>
      <c r="CV34" s="1303"/>
      <c r="CW34" s="1303"/>
      <c r="CX34" s="1303"/>
      <c r="CY34" s="1303"/>
      <c r="CZ34" s="1303"/>
      <c r="DA34" s="1303"/>
      <c r="DB34" s="1303"/>
      <c r="DC34" s="1303"/>
      <c r="DD34" s="1303"/>
      <c r="DE34" s="1303"/>
      <c r="DF34" s="1303"/>
      <c r="DG34" s="1303"/>
      <c r="DH34" s="1303"/>
      <c r="DI34" s="1303"/>
      <c r="DJ34" s="1303"/>
      <c r="DK34" s="1303"/>
      <c r="DL34" s="1303"/>
      <c r="DM34" s="1303"/>
      <c r="DN34" s="1303"/>
      <c r="DO34" s="1303"/>
      <c r="DP34" s="1303"/>
      <c r="DQ34" s="1303"/>
      <c r="DR34" s="1303"/>
      <c r="DS34" s="1303"/>
      <c r="DT34" s="1303"/>
      <c r="DU34" s="1303"/>
      <c r="DV34" s="1303"/>
      <c r="DW34" s="1303"/>
      <c r="DX34" s="1303"/>
      <c r="DY34" s="1303"/>
      <c r="DZ34" s="1303"/>
      <c r="EA34" s="1303"/>
      <c r="EB34" s="1303"/>
      <c r="EC34" s="1303"/>
      <c r="ED34" s="1303"/>
      <c r="EE34" s="1303"/>
      <c r="EF34" s="1303"/>
      <c r="EG34" s="1303"/>
      <c r="EH34" s="1303"/>
      <c r="EI34" s="1303"/>
      <c r="EJ34" s="1303"/>
      <c r="EK34" s="1303"/>
      <c r="EL34" s="1303"/>
      <c r="EM34" s="1303"/>
      <c r="EN34" s="1303"/>
    </row>
    <row r="35" spans="1:144" s="1330" customFormat="1" ht="57.6" hidden="1" customHeight="1" x14ac:dyDescent="0.25">
      <c r="A35" s="1335"/>
      <c r="B35" s="1341" t="s">
        <v>1518</v>
      </c>
      <c r="C35" s="1323"/>
      <c r="D35" s="1326"/>
      <c r="E35" s="1326"/>
      <c r="F35" s="1337"/>
      <c r="G35" s="1338">
        <f t="shared" si="30"/>
        <v>0</v>
      </c>
      <c r="H35" s="1326"/>
      <c r="I35" s="1337"/>
      <c r="J35" s="1338">
        <f t="shared" si="31"/>
        <v>0</v>
      </c>
      <c r="K35" s="1326"/>
      <c r="L35" s="1337"/>
      <c r="M35" s="1338">
        <f t="shared" si="32"/>
        <v>0</v>
      </c>
      <c r="N35" s="1326"/>
      <c r="O35" s="1337"/>
      <c r="P35" s="1338">
        <f t="shared" si="33"/>
        <v>0</v>
      </c>
      <c r="Q35" s="1326"/>
      <c r="R35" s="1337"/>
      <c r="S35" s="1338">
        <f t="shared" si="34"/>
        <v>0</v>
      </c>
      <c r="T35" s="1326"/>
      <c r="U35" s="1326"/>
      <c r="V35" s="1338">
        <f t="shared" si="35"/>
        <v>0</v>
      </c>
      <c r="W35" s="1326"/>
      <c r="X35" s="1337"/>
      <c r="Y35" s="1338">
        <f t="shared" si="36"/>
        <v>0</v>
      </c>
      <c r="Z35" s="1338">
        <f t="shared" si="29"/>
        <v>0</v>
      </c>
      <c r="AA35" s="1340">
        <f t="shared" si="38"/>
        <v>0</v>
      </c>
      <c r="AB35" s="1340">
        <f t="shared" si="37"/>
        <v>0</v>
      </c>
      <c r="AC35" s="1303"/>
      <c r="AD35" s="1303"/>
      <c r="AE35" s="1303"/>
      <c r="AF35" s="1303"/>
      <c r="AG35" s="1303"/>
      <c r="AH35" s="1303"/>
      <c r="AI35" s="1303"/>
      <c r="AJ35" s="1303"/>
      <c r="AK35" s="1303"/>
      <c r="AL35" s="1303"/>
      <c r="AM35" s="1303"/>
      <c r="AN35" s="1303"/>
      <c r="AO35" s="1303"/>
      <c r="AP35" s="1303"/>
      <c r="AQ35" s="1303"/>
      <c r="AR35" s="1303"/>
      <c r="AS35" s="1303"/>
      <c r="AT35" s="1303"/>
      <c r="AU35" s="1303"/>
      <c r="AV35" s="1303"/>
      <c r="AW35" s="1303"/>
      <c r="AX35" s="1303"/>
      <c r="AY35" s="1303"/>
      <c r="AZ35" s="1303"/>
      <c r="BA35" s="1303"/>
      <c r="BB35" s="1303"/>
      <c r="BC35" s="1303"/>
      <c r="BD35" s="1303"/>
      <c r="BE35" s="1303"/>
      <c r="BF35" s="1303"/>
      <c r="BG35" s="1303"/>
      <c r="BH35" s="1303"/>
      <c r="BI35" s="1303"/>
      <c r="BJ35" s="1303"/>
      <c r="BK35" s="1303"/>
      <c r="BL35" s="1303"/>
      <c r="BM35" s="1303"/>
      <c r="BN35" s="1303"/>
      <c r="BO35" s="1303"/>
      <c r="BP35" s="1303"/>
      <c r="BQ35" s="1303"/>
      <c r="BR35" s="1303"/>
      <c r="BS35" s="1303"/>
      <c r="BT35" s="1303"/>
      <c r="BU35" s="1303"/>
      <c r="BV35" s="1303"/>
      <c r="BW35" s="1303"/>
      <c r="BX35" s="1303"/>
      <c r="BY35" s="1303"/>
      <c r="BZ35" s="1303"/>
      <c r="CA35" s="1303"/>
      <c r="CB35" s="1303"/>
      <c r="CC35" s="1303"/>
      <c r="CD35" s="1303"/>
      <c r="CE35" s="1303"/>
      <c r="CF35" s="1303"/>
      <c r="CG35" s="1303"/>
      <c r="CH35" s="1303"/>
      <c r="CI35" s="1303"/>
      <c r="CJ35" s="1303"/>
      <c r="CK35" s="1303"/>
      <c r="CL35" s="1303"/>
      <c r="CM35" s="1303"/>
      <c r="CN35" s="1303"/>
      <c r="CO35" s="1303"/>
      <c r="CP35" s="1303"/>
      <c r="CQ35" s="1303"/>
      <c r="CR35" s="1303"/>
      <c r="CS35" s="1303"/>
      <c r="CT35" s="1303"/>
      <c r="CU35" s="1303"/>
      <c r="CV35" s="1303"/>
      <c r="CW35" s="1303"/>
      <c r="CX35" s="1303"/>
      <c r="CY35" s="1303"/>
      <c r="CZ35" s="1303"/>
      <c r="DA35" s="1303"/>
      <c r="DB35" s="1303"/>
      <c r="DC35" s="1303"/>
      <c r="DD35" s="1303"/>
      <c r="DE35" s="1303"/>
      <c r="DF35" s="1303"/>
      <c r="DG35" s="1303"/>
      <c r="DH35" s="1303"/>
      <c r="DI35" s="1303"/>
      <c r="DJ35" s="1303"/>
      <c r="DK35" s="1303"/>
      <c r="DL35" s="1303"/>
      <c r="DM35" s="1303"/>
      <c r="DN35" s="1303"/>
      <c r="DO35" s="1303"/>
      <c r="DP35" s="1303"/>
      <c r="DQ35" s="1303"/>
      <c r="DR35" s="1303"/>
      <c r="DS35" s="1303"/>
      <c r="DT35" s="1303"/>
      <c r="DU35" s="1303"/>
      <c r="DV35" s="1303"/>
      <c r="DW35" s="1303"/>
      <c r="DX35" s="1303"/>
      <c r="DY35" s="1303"/>
      <c r="DZ35" s="1303"/>
      <c r="EA35" s="1303"/>
      <c r="EB35" s="1303"/>
      <c r="EC35" s="1303"/>
      <c r="ED35" s="1303"/>
      <c r="EE35" s="1303"/>
      <c r="EF35" s="1303"/>
      <c r="EG35" s="1303"/>
      <c r="EH35" s="1303"/>
      <c r="EI35" s="1303"/>
      <c r="EJ35" s="1303"/>
      <c r="EK35" s="1303"/>
      <c r="EL35" s="1303"/>
      <c r="EM35" s="1303"/>
      <c r="EN35" s="1303"/>
    </row>
    <row r="36" spans="1:144" s="1330" customFormat="1" ht="57.6" hidden="1" customHeight="1" x14ac:dyDescent="0.25">
      <c r="A36" s="1335"/>
      <c r="B36" s="1341" t="s">
        <v>1519</v>
      </c>
      <c r="C36" s="1323"/>
      <c r="D36" s="1326"/>
      <c r="E36" s="1326"/>
      <c r="F36" s="1337"/>
      <c r="G36" s="1338">
        <f t="shared" si="30"/>
        <v>0</v>
      </c>
      <c r="H36" s="1326"/>
      <c r="I36" s="1337"/>
      <c r="J36" s="1338">
        <f t="shared" si="31"/>
        <v>0</v>
      </c>
      <c r="K36" s="1326"/>
      <c r="L36" s="1337"/>
      <c r="M36" s="1338">
        <f t="shared" si="32"/>
        <v>0</v>
      </c>
      <c r="N36" s="1326"/>
      <c r="O36" s="1337"/>
      <c r="P36" s="1338">
        <f t="shared" si="33"/>
        <v>0</v>
      </c>
      <c r="Q36" s="1326"/>
      <c r="R36" s="1337"/>
      <c r="S36" s="1338">
        <f t="shared" si="34"/>
        <v>0</v>
      </c>
      <c r="T36" s="1326"/>
      <c r="U36" s="1326"/>
      <c r="V36" s="1338">
        <f t="shared" si="35"/>
        <v>0</v>
      </c>
      <c r="W36" s="1326"/>
      <c r="X36" s="1337"/>
      <c r="Y36" s="1338">
        <f t="shared" si="36"/>
        <v>0</v>
      </c>
      <c r="Z36" s="1338">
        <f t="shared" si="29"/>
        <v>0</v>
      </c>
      <c r="AA36" s="1340">
        <f t="shared" si="38"/>
        <v>0</v>
      </c>
      <c r="AB36" s="1340">
        <f t="shared" si="37"/>
        <v>0</v>
      </c>
      <c r="AC36" s="1303"/>
      <c r="AD36" s="1303"/>
      <c r="AE36" s="1303"/>
      <c r="AF36" s="1303"/>
      <c r="AG36" s="1303"/>
      <c r="AH36" s="1303"/>
      <c r="AI36" s="1303"/>
      <c r="AJ36" s="1303"/>
      <c r="AK36" s="1303"/>
      <c r="AL36" s="1303"/>
      <c r="AM36" s="1303"/>
      <c r="AN36" s="1303"/>
      <c r="AO36" s="1303"/>
      <c r="AP36" s="1303"/>
      <c r="AQ36" s="1303"/>
      <c r="AR36" s="1303"/>
      <c r="AS36" s="1303"/>
      <c r="AT36" s="1303"/>
      <c r="AU36" s="1303"/>
      <c r="AV36" s="1303"/>
      <c r="AW36" s="1303"/>
      <c r="AX36" s="1303"/>
      <c r="AY36" s="1303"/>
      <c r="AZ36" s="1303"/>
      <c r="BA36" s="1303"/>
      <c r="BB36" s="1303"/>
      <c r="BC36" s="1303"/>
      <c r="BD36" s="1303"/>
      <c r="BE36" s="1303"/>
      <c r="BF36" s="1303"/>
      <c r="BG36" s="1303"/>
      <c r="BH36" s="1303"/>
      <c r="BI36" s="1303"/>
      <c r="BJ36" s="1303"/>
      <c r="BK36" s="1303"/>
      <c r="BL36" s="1303"/>
      <c r="BM36" s="1303"/>
      <c r="BN36" s="1303"/>
      <c r="BO36" s="1303"/>
      <c r="BP36" s="1303"/>
      <c r="BQ36" s="1303"/>
      <c r="BR36" s="1303"/>
      <c r="BS36" s="1303"/>
      <c r="BT36" s="1303"/>
      <c r="BU36" s="1303"/>
      <c r="BV36" s="1303"/>
      <c r="BW36" s="1303"/>
      <c r="BX36" s="1303"/>
      <c r="BY36" s="1303"/>
      <c r="BZ36" s="1303"/>
      <c r="CA36" s="1303"/>
      <c r="CB36" s="1303"/>
      <c r="CC36" s="1303"/>
      <c r="CD36" s="1303"/>
      <c r="CE36" s="1303"/>
      <c r="CF36" s="1303"/>
      <c r="CG36" s="1303"/>
      <c r="CH36" s="1303"/>
      <c r="CI36" s="1303"/>
      <c r="CJ36" s="1303"/>
      <c r="CK36" s="1303"/>
      <c r="CL36" s="1303"/>
      <c r="CM36" s="1303"/>
      <c r="CN36" s="1303"/>
      <c r="CO36" s="1303"/>
      <c r="CP36" s="1303"/>
      <c r="CQ36" s="1303"/>
      <c r="CR36" s="1303"/>
      <c r="CS36" s="1303"/>
      <c r="CT36" s="1303"/>
      <c r="CU36" s="1303"/>
      <c r="CV36" s="1303"/>
      <c r="CW36" s="1303"/>
      <c r="CX36" s="1303"/>
      <c r="CY36" s="1303"/>
      <c r="CZ36" s="1303"/>
      <c r="DA36" s="1303"/>
      <c r="DB36" s="1303"/>
      <c r="DC36" s="1303"/>
      <c r="DD36" s="1303"/>
      <c r="DE36" s="1303"/>
      <c r="DF36" s="1303"/>
      <c r="DG36" s="1303"/>
      <c r="DH36" s="1303"/>
      <c r="DI36" s="1303"/>
      <c r="DJ36" s="1303"/>
      <c r="DK36" s="1303"/>
      <c r="DL36" s="1303"/>
      <c r="DM36" s="1303"/>
      <c r="DN36" s="1303"/>
      <c r="DO36" s="1303"/>
      <c r="DP36" s="1303"/>
      <c r="DQ36" s="1303"/>
      <c r="DR36" s="1303"/>
      <c r="DS36" s="1303"/>
      <c r="DT36" s="1303"/>
      <c r="DU36" s="1303"/>
      <c r="DV36" s="1303"/>
      <c r="DW36" s="1303"/>
      <c r="DX36" s="1303"/>
      <c r="DY36" s="1303"/>
      <c r="DZ36" s="1303"/>
      <c r="EA36" s="1303"/>
      <c r="EB36" s="1303"/>
      <c r="EC36" s="1303"/>
      <c r="ED36" s="1303"/>
      <c r="EE36" s="1303"/>
      <c r="EF36" s="1303"/>
      <c r="EG36" s="1303"/>
      <c r="EH36" s="1303"/>
      <c r="EI36" s="1303"/>
      <c r="EJ36" s="1303"/>
      <c r="EK36" s="1303"/>
      <c r="EL36" s="1303"/>
      <c r="EM36" s="1303"/>
      <c r="EN36" s="1303"/>
    </row>
    <row r="37" spans="1:144" s="1330" customFormat="1" ht="57.6" hidden="1" customHeight="1" x14ac:dyDescent="0.25">
      <c r="A37" s="1335"/>
      <c r="B37" s="1341" t="s">
        <v>1520</v>
      </c>
      <c r="C37" s="1323"/>
      <c r="D37" s="1326"/>
      <c r="E37" s="1326"/>
      <c r="F37" s="1337"/>
      <c r="G37" s="1338">
        <f t="shared" si="30"/>
        <v>0</v>
      </c>
      <c r="H37" s="1326"/>
      <c r="I37" s="1337"/>
      <c r="J37" s="1338">
        <f t="shared" si="31"/>
        <v>0</v>
      </c>
      <c r="K37" s="1326"/>
      <c r="L37" s="1337"/>
      <c r="M37" s="1338">
        <f t="shared" si="32"/>
        <v>0</v>
      </c>
      <c r="N37" s="1326"/>
      <c r="O37" s="1337"/>
      <c r="P37" s="1338">
        <f t="shared" si="33"/>
        <v>0</v>
      </c>
      <c r="Q37" s="1326"/>
      <c r="R37" s="1337"/>
      <c r="S37" s="1338">
        <f t="shared" si="34"/>
        <v>0</v>
      </c>
      <c r="T37" s="1326"/>
      <c r="U37" s="1326"/>
      <c r="V37" s="1338">
        <f t="shared" si="35"/>
        <v>0</v>
      </c>
      <c r="W37" s="1326"/>
      <c r="X37" s="1337"/>
      <c r="Y37" s="1338">
        <f t="shared" si="36"/>
        <v>0</v>
      </c>
      <c r="Z37" s="1338">
        <f t="shared" si="29"/>
        <v>0</v>
      </c>
      <c r="AA37" s="1340">
        <f t="shared" si="38"/>
        <v>0</v>
      </c>
      <c r="AB37" s="1340">
        <f t="shared" si="37"/>
        <v>0</v>
      </c>
      <c r="AC37" s="1303"/>
      <c r="AD37" s="1303"/>
      <c r="AE37" s="1303"/>
      <c r="AF37" s="1303"/>
      <c r="AG37" s="1303"/>
      <c r="AH37" s="1303"/>
      <c r="AI37" s="1303"/>
      <c r="AJ37" s="1303"/>
      <c r="AK37" s="1303"/>
      <c r="AL37" s="1303"/>
      <c r="AM37" s="1303"/>
      <c r="AN37" s="1303"/>
      <c r="AO37" s="1303"/>
      <c r="AP37" s="1303"/>
      <c r="AQ37" s="1303"/>
      <c r="AR37" s="1303"/>
      <c r="AS37" s="1303"/>
      <c r="AT37" s="1303"/>
      <c r="AU37" s="1303"/>
      <c r="AV37" s="1303"/>
      <c r="AW37" s="1303"/>
      <c r="AX37" s="1303"/>
      <c r="AY37" s="1303"/>
      <c r="AZ37" s="1303"/>
      <c r="BA37" s="1303"/>
      <c r="BB37" s="1303"/>
      <c r="BC37" s="1303"/>
      <c r="BD37" s="1303"/>
      <c r="BE37" s="1303"/>
      <c r="BF37" s="1303"/>
      <c r="BG37" s="1303"/>
      <c r="BH37" s="1303"/>
      <c r="BI37" s="1303"/>
      <c r="BJ37" s="1303"/>
      <c r="BK37" s="1303"/>
      <c r="BL37" s="1303"/>
      <c r="BM37" s="1303"/>
      <c r="BN37" s="1303"/>
      <c r="BO37" s="1303"/>
      <c r="BP37" s="1303"/>
      <c r="BQ37" s="1303"/>
      <c r="BR37" s="1303"/>
      <c r="BS37" s="1303"/>
      <c r="BT37" s="1303"/>
      <c r="BU37" s="1303"/>
      <c r="BV37" s="1303"/>
      <c r="BW37" s="1303"/>
      <c r="BX37" s="1303"/>
      <c r="BY37" s="1303"/>
      <c r="BZ37" s="1303"/>
      <c r="CA37" s="1303"/>
      <c r="CB37" s="1303"/>
      <c r="CC37" s="1303"/>
      <c r="CD37" s="1303"/>
      <c r="CE37" s="1303"/>
      <c r="CF37" s="1303"/>
      <c r="CG37" s="1303"/>
      <c r="CH37" s="1303"/>
      <c r="CI37" s="1303"/>
      <c r="CJ37" s="1303"/>
      <c r="CK37" s="1303"/>
      <c r="CL37" s="1303"/>
      <c r="CM37" s="1303"/>
      <c r="CN37" s="1303"/>
      <c r="CO37" s="1303"/>
      <c r="CP37" s="1303"/>
      <c r="CQ37" s="1303"/>
      <c r="CR37" s="1303"/>
      <c r="CS37" s="1303"/>
      <c r="CT37" s="1303"/>
      <c r="CU37" s="1303"/>
      <c r="CV37" s="1303"/>
      <c r="CW37" s="1303"/>
      <c r="CX37" s="1303"/>
      <c r="CY37" s="1303"/>
      <c r="CZ37" s="1303"/>
      <c r="DA37" s="1303"/>
      <c r="DB37" s="1303"/>
      <c r="DC37" s="1303"/>
      <c r="DD37" s="1303"/>
      <c r="DE37" s="1303"/>
      <c r="DF37" s="1303"/>
      <c r="DG37" s="1303"/>
      <c r="DH37" s="1303"/>
      <c r="DI37" s="1303"/>
      <c r="DJ37" s="1303"/>
      <c r="DK37" s="1303"/>
      <c r="DL37" s="1303"/>
      <c r="DM37" s="1303"/>
      <c r="DN37" s="1303"/>
      <c r="DO37" s="1303"/>
      <c r="DP37" s="1303"/>
      <c r="DQ37" s="1303"/>
      <c r="DR37" s="1303"/>
      <c r="DS37" s="1303"/>
      <c r="DT37" s="1303"/>
      <c r="DU37" s="1303"/>
      <c r="DV37" s="1303"/>
      <c r="DW37" s="1303"/>
      <c r="DX37" s="1303"/>
      <c r="DY37" s="1303"/>
      <c r="DZ37" s="1303"/>
      <c r="EA37" s="1303"/>
      <c r="EB37" s="1303"/>
      <c r="EC37" s="1303"/>
      <c r="ED37" s="1303"/>
      <c r="EE37" s="1303"/>
      <c r="EF37" s="1303"/>
      <c r="EG37" s="1303"/>
      <c r="EH37" s="1303"/>
      <c r="EI37" s="1303"/>
      <c r="EJ37" s="1303"/>
      <c r="EK37" s="1303"/>
      <c r="EL37" s="1303"/>
      <c r="EM37" s="1303"/>
      <c r="EN37" s="1303"/>
    </row>
    <row r="38" spans="1:144" s="1330" customFormat="1" ht="57.6" hidden="1" customHeight="1" x14ac:dyDescent="0.25">
      <c r="A38" s="1335"/>
      <c r="B38" s="1341" t="s">
        <v>1521</v>
      </c>
      <c r="C38" s="1323"/>
      <c r="D38" s="1326"/>
      <c r="E38" s="1326"/>
      <c r="F38" s="1337"/>
      <c r="G38" s="1338">
        <f t="shared" si="30"/>
        <v>0</v>
      </c>
      <c r="H38" s="1326"/>
      <c r="I38" s="1337"/>
      <c r="J38" s="1338">
        <f t="shared" si="31"/>
        <v>0</v>
      </c>
      <c r="K38" s="1326"/>
      <c r="L38" s="1337"/>
      <c r="M38" s="1338">
        <f t="shared" si="32"/>
        <v>0</v>
      </c>
      <c r="N38" s="1326"/>
      <c r="O38" s="1337"/>
      <c r="P38" s="1338">
        <f t="shared" si="33"/>
        <v>0</v>
      </c>
      <c r="Q38" s="1326"/>
      <c r="R38" s="1337"/>
      <c r="S38" s="1338">
        <f t="shared" si="34"/>
        <v>0</v>
      </c>
      <c r="T38" s="1326"/>
      <c r="U38" s="1326"/>
      <c r="V38" s="1338">
        <f t="shared" si="35"/>
        <v>0</v>
      </c>
      <c r="W38" s="1326"/>
      <c r="X38" s="1337"/>
      <c r="Y38" s="1338">
        <f t="shared" si="36"/>
        <v>0</v>
      </c>
      <c r="Z38" s="1338">
        <f t="shared" si="29"/>
        <v>0</v>
      </c>
      <c r="AA38" s="1340">
        <f t="shared" si="38"/>
        <v>0</v>
      </c>
      <c r="AB38" s="1340">
        <f t="shared" si="37"/>
        <v>0</v>
      </c>
      <c r="AC38" s="1303"/>
      <c r="AD38" s="1303"/>
      <c r="AE38" s="1303"/>
      <c r="AF38" s="1303"/>
      <c r="AG38" s="1303"/>
      <c r="AH38" s="1303"/>
      <c r="AI38" s="1303"/>
      <c r="AJ38" s="1303"/>
      <c r="AK38" s="1303"/>
      <c r="AL38" s="1303"/>
      <c r="AM38" s="1303"/>
      <c r="AN38" s="1303"/>
      <c r="AO38" s="1303"/>
      <c r="AP38" s="1303"/>
      <c r="AQ38" s="1303"/>
      <c r="AR38" s="1303"/>
      <c r="AS38" s="1303"/>
      <c r="AT38" s="1303"/>
      <c r="AU38" s="1303"/>
      <c r="AV38" s="1303"/>
      <c r="AW38" s="1303"/>
      <c r="AX38" s="1303"/>
      <c r="AY38" s="1303"/>
      <c r="AZ38" s="1303"/>
      <c r="BA38" s="1303"/>
      <c r="BB38" s="1303"/>
      <c r="BC38" s="1303"/>
      <c r="BD38" s="1303"/>
      <c r="BE38" s="1303"/>
      <c r="BF38" s="1303"/>
      <c r="BG38" s="1303"/>
      <c r="BH38" s="1303"/>
      <c r="BI38" s="1303"/>
      <c r="BJ38" s="1303"/>
      <c r="BK38" s="1303"/>
      <c r="BL38" s="1303"/>
      <c r="BM38" s="1303"/>
      <c r="BN38" s="1303"/>
      <c r="BO38" s="1303"/>
      <c r="BP38" s="1303"/>
      <c r="BQ38" s="1303"/>
      <c r="BR38" s="1303"/>
      <c r="BS38" s="1303"/>
      <c r="BT38" s="1303"/>
      <c r="BU38" s="1303"/>
      <c r="BV38" s="1303"/>
      <c r="BW38" s="1303"/>
      <c r="BX38" s="1303"/>
      <c r="BY38" s="1303"/>
      <c r="BZ38" s="1303"/>
      <c r="CA38" s="1303"/>
      <c r="CB38" s="1303"/>
      <c r="CC38" s="1303"/>
      <c r="CD38" s="1303"/>
      <c r="CE38" s="1303"/>
      <c r="CF38" s="1303"/>
      <c r="CG38" s="1303"/>
      <c r="CH38" s="1303"/>
      <c r="CI38" s="1303"/>
      <c r="CJ38" s="1303"/>
      <c r="CK38" s="1303"/>
      <c r="CL38" s="1303"/>
      <c r="CM38" s="1303"/>
      <c r="CN38" s="1303"/>
      <c r="CO38" s="1303"/>
      <c r="CP38" s="1303"/>
      <c r="CQ38" s="1303"/>
      <c r="CR38" s="1303"/>
      <c r="CS38" s="1303"/>
      <c r="CT38" s="1303"/>
      <c r="CU38" s="1303"/>
      <c r="CV38" s="1303"/>
      <c r="CW38" s="1303"/>
      <c r="CX38" s="1303"/>
      <c r="CY38" s="1303"/>
      <c r="CZ38" s="1303"/>
      <c r="DA38" s="1303"/>
      <c r="DB38" s="1303"/>
      <c r="DC38" s="1303"/>
      <c r="DD38" s="1303"/>
      <c r="DE38" s="1303"/>
      <c r="DF38" s="1303"/>
      <c r="DG38" s="1303"/>
      <c r="DH38" s="1303"/>
      <c r="DI38" s="1303"/>
      <c r="DJ38" s="1303"/>
      <c r="DK38" s="1303"/>
      <c r="DL38" s="1303"/>
      <c r="DM38" s="1303"/>
      <c r="DN38" s="1303"/>
      <c r="DO38" s="1303"/>
      <c r="DP38" s="1303"/>
      <c r="DQ38" s="1303"/>
      <c r="DR38" s="1303"/>
      <c r="DS38" s="1303"/>
      <c r="DT38" s="1303"/>
      <c r="DU38" s="1303"/>
      <c r="DV38" s="1303"/>
      <c r="DW38" s="1303"/>
      <c r="DX38" s="1303"/>
      <c r="DY38" s="1303"/>
      <c r="DZ38" s="1303"/>
      <c r="EA38" s="1303"/>
      <c r="EB38" s="1303"/>
      <c r="EC38" s="1303"/>
      <c r="ED38" s="1303"/>
      <c r="EE38" s="1303"/>
      <c r="EF38" s="1303"/>
      <c r="EG38" s="1303"/>
      <c r="EH38" s="1303"/>
      <c r="EI38" s="1303"/>
      <c r="EJ38" s="1303"/>
      <c r="EK38" s="1303"/>
      <c r="EL38" s="1303"/>
      <c r="EM38" s="1303"/>
      <c r="EN38" s="1303"/>
    </row>
    <row r="39" spans="1:144" s="1330" customFormat="1" ht="57.6" customHeight="1" x14ac:dyDescent="0.25">
      <c r="A39" s="1335">
        <v>5</v>
      </c>
      <c r="B39" s="1335" t="s">
        <v>1522</v>
      </c>
      <c r="C39" s="1332">
        <f>C14</f>
        <v>1688</v>
      </c>
      <c r="D39" s="1326">
        <v>0</v>
      </c>
      <c r="E39" s="1326">
        <v>0</v>
      </c>
      <c r="F39" s="1337">
        <v>100</v>
      </c>
      <c r="G39" s="1338">
        <f t="shared" si="30"/>
        <v>0</v>
      </c>
      <c r="H39" s="1326">
        <v>0</v>
      </c>
      <c r="I39" s="1337">
        <v>100</v>
      </c>
      <c r="J39" s="1338">
        <f t="shared" si="31"/>
        <v>0</v>
      </c>
      <c r="K39" s="1339">
        <v>0</v>
      </c>
      <c r="L39" s="1337">
        <v>100</v>
      </c>
      <c r="M39" s="1338">
        <f t="shared" si="32"/>
        <v>0</v>
      </c>
      <c r="N39" s="1326">
        <v>0</v>
      </c>
      <c r="O39" s="1337">
        <v>50</v>
      </c>
      <c r="P39" s="1338">
        <f t="shared" si="33"/>
        <v>0</v>
      </c>
      <c r="Q39" s="1326">
        <v>0</v>
      </c>
      <c r="R39" s="1337">
        <v>70</v>
      </c>
      <c r="S39" s="1338">
        <f t="shared" si="34"/>
        <v>0</v>
      </c>
      <c r="T39" s="1326">
        <v>0</v>
      </c>
      <c r="U39" s="1326">
        <v>0</v>
      </c>
      <c r="V39" s="1338">
        <f t="shared" si="35"/>
        <v>0</v>
      </c>
      <c r="W39" s="1326">
        <v>0</v>
      </c>
      <c r="X39" s="1337">
        <v>50</v>
      </c>
      <c r="Y39" s="1338">
        <f t="shared" si="36"/>
        <v>0</v>
      </c>
      <c r="Z39" s="1338">
        <f t="shared" si="29"/>
        <v>0</v>
      </c>
      <c r="AA39" s="1340">
        <f t="shared" si="38"/>
        <v>0</v>
      </c>
      <c r="AB39" s="1340">
        <f t="shared" si="37"/>
        <v>0</v>
      </c>
      <c r="AC39" s="1303"/>
      <c r="AD39" s="1303"/>
      <c r="AE39" s="1303"/>
      <c r="AF39" s="1303"/>
      <c r="AG39" s="1303"/>
      <c r="AH39" s="1303"/>
      <c r="AI39" s="1303"/>
      <c r="AJ39" s="1303"/>
      <c r="AK39" s="1303"/>
      <c r="AL39" s="1303"/>
      <c r="AM39" s="1303"/>
      <c r="AN39" s="1303"/>
      <c r="AO39" s="1303"/>
      <c r="AP39" s="1303"/>
      <c r="AQ39" s="1303"/>
      <c r="AR39" s="1303"/>
      <c r="AS39" s="1303"/>
      <c r="AT39" s="1303"/>
      <c r="AU39" s="1303"/>
      <c r="AV39" s="1303"/>
      <c r="AW39" s="1303"/>
      <c r="AX39" s="1303"/>
      <c r="AY39" s="1303"/>
      <c r="AZ39" s="1303"/>
      <c r="BA39" s="1303"/>
      <c r="BB39" s="1303"/>
      <c r="BC39" s="1303"/>
      <c r="BD39" s="1303"/>
      <c r="BE39" s="1303"/>
      <c r="BF39" s="1303"/>
      <c r="BG39" s="1303"/>
      <c r="BH39" s="1303"/>
      <c r="BI39" s="1303"/>
      <c r="BJ39" s="1303"/>
      <c r="BK39" s="1303"/>
      <c r="BL39" s="1303"/>
      <c r="BM39" s="1303"/>
      <c r="BN39" s="1303"/>
      <c r="BO39" s="1303"/>
      <c r="BP39" s="1303"/>
      <c r="BQ39" s="1303"/>
      <c r="BR39" s="1303"/>
      <c r="BS39" s="1303"/>
      <c r="BT39" s="1303"/>
      <c r="BU39" s="1303"/>
      <c r="BV39" s="1303"/>
      <c r="BW39" s="1303"/>
      <c r="BX39" s="1303"/>
      <c r="BY39" s="1303"/>
      <c r="BZ39" s="1303"/>
      <c r="CA39" s="1303"/>
      <c r="CB39" s="1303"/>
      <c r="CC39" s="1303"/>
      <c r="CD39" s="1303"/>
      <c r="CE39" s="1303"/>
      <c r="CF39" s="1303"/>
      <c r="CG39" s="1303"/>
      <c r="CH39" s="1303"/>
      <c r="CI39" s="1303"/>
      <c r="CJ39" s="1303"/>
      <c r="CK39" s="1303"/>
      <c r="CL39" s="1303"/>
      <c r="CM39" s="1303"/>
      <c r="CN39" s="1303"/>
      <c r="CO39" s="1303"/>
      <c r="CP39" s="1303"/>
      <c r="CQ39" s="1303"/>
      <c r="CR39" s="1303"/>
      <c r="CS39" s="1303"/>
      <c r="CT39" s="1303"/>
      <c r="CU39" s="1303"/>
      <c r="CV39" s="1303"/>
      <c r="CW39" s="1303"/>
      <c r="CX39" s="1303"/>
      <c r="CY39" s="1303"/>
      <c r="CZ39" s="1303"/>
      <c r="DA39" s="1303"/>
      <c r="DB39" s="1303"/>
      <c r="DC39" s="1303"/>
      <c r="DD39" s="1303"/>
      <c r="DE39" s="1303"/>
      <c r="DF39" s="1303"/>
      <c r="DG39" s="1303"/>
      <c r="DH39" s="1303"/>
      <c r="DI39" s="1303"/>
      <c r="DJ39" s="1303"/>
      <c r="DK39" s="1303"/>
      <c r="DL39" s="1303"/>
      <c r="DM39" s="1303"/>
      <c r="DN39" s="1303"/>
      <c r="DO39" s="1303"/>
      <c r="DP39" s="1303"/>
      <c r="DQ39" s="1303"/>
      <c r="DR39" s="1303"/>
      <c r="DS39" s="1303"/>
      <c r="DT39" s="1303"/>
      <c r="DU39" s="1303"/>
      <c r="DV39" s="1303"/>
      <c r="DW39" s="1303"/>
      <c r="DX39" s="1303"/>
      <c r="DY39" s="1303"/>
      <c r="DZ39" s="1303"/>
      <c r="EA39" s="1303"/>
      <c r="EB39" s="1303"/>
      <c r="EC39" s="1303"/>
      <c r="ED39" s="1303"/>
      <c r="EE39" s="1303"/>
      <c r="EF39" s="1303"/>
      <c r="EG39" s="1303"/>
      <c r="EH39" s="1303"/>
      <c r="EI39" s="1303"/>
      <c r="EJ39" s="1303"/>
      <c r="EK39" s="1303"/>
      <c r="EL39" s="1303"/>
      <c r="EM39" s="1303"/>
      <c r="EN39" s="1303"/>
    </row>
    <row r="40" spans="1:144" s="1303" customFormat="1" ht="28.5" hidden="1" x14ac:dyDescent="0.25">
      <c r="A40" s="1321"/>
      <c r="B40" s="1342" t="s">
        <v>1523</v>
      </c>
      <c r="C40" s="1323"/>
      <c r="D40" s="1323"/>
      <c r="E40" s="1323"/>
      <c r="F40" s="1323"/>
      <c r="G40" s="370">
        <f t="shared" si="30"/>
        <v>0</v>
      </c>
      <c r="H40" s="1323"/>
      <c r="I40" s="1323"/>
      <c r="J40" s="370">
        <f t="shared" si="31"/>
        <v>0</v>
      </c>
      <c r="K40" s="1323"/>
      <c r="L40" s="1323"/>
      <c r="M40" s="370">
        <f t="shared" si="32"/>
        <v>0</v>
      </c>
      <c r="N40" s="1323"/>
      <c r="O40" s="1323"/>
      <c r="P40" s="370">
        <f t="shared" si="33"/>
        <v>0</v>
      </c>
      <c r="Q40" s="1323"/>
      <c r="R40" s="1323"/>
      <c r="S40" s="370">
        <f t="shared" si="34"/>
        <v>0</v>
      </c>
      <c r="T40" s="1323"/>
      <c r="U40" s="1323"/>
      <c r="V40" s="370">
        <f t="shared" si="35"/>
        <v>0</v>
      </c>
      <c r="W40" s="1323"/>
      <c r="X40" s="1323"/>
      <c r="Y40" s="370">
        <f t="shared" si="36"/>
        <v>0</v>
      </c>
      <c r="Z40" s="370">
        <f t="shared" si="29"/>
        <v>0</v>
      </c>
      <c r="AA40" s="1343">
        <f t="shared" si="16"/>
        <v>0</v>
      </c>
      <c r="AB40" s="1344">
        <f t="shared" ref="AB40:AB41" si="39">AA40*1.05</f>
        <v>0</v>
      </c>
    </row>
    <row r="41" spans="1:144" s="1303" customFormat="1" ht="42.75" hidden="1" x14ac:dyDescent="0.25">
      <c r="A41" s="1321"/>
      <c r="B41" s="1342" t="s">
        <v>1524</v>
      </c>
      <c r="C41" s="1323"/>
      <c r="D41" s="1323"/>
      <c r="E41" s="1323"/>
      <c r="F41" s="1323"/>
      <c r="G41" s="370">
        <f t="shared" si="30"/>
        <v>0</v>
      </c>
      <c r="H41" s="1323"/>
      <c r="I41" s="1323"/>
      <c r="J41" s="370">
        <f t="shared" si="31"/>
        <v>0</v>
      </c>
      <c r="K41" s="1323"/>
      <c r="L41" s="1323"/>
      <c r="M41" s="370">
        <f t="shared" si="32"/>
        <v>0</v>
      </c>
      <c r="N41" s="1323"/>
      <c r="O41" s="1323"/>
      <c r="P41" s="370">
        <f t="shared" si="33"/>
        <v>0</v>
      </c>
      <c r="Q41" s="1323"/>
      <c r="R41" s="1323"/>
      <c r="S41" s="370">
        <f t="shared" si="34"/>
        <v>0</v>
      </c>
      <c r="T41" s="1323"/>
      <c r="U41" s="1323"/>
      <c r="V41" s="370">
        <f t="shared" si="35"/>
        <v>0</v>
      </c>
      <c r="W41" s="1323"/>
      <c r="X41" s="1323"/>
      <c r="Y41" s="370">
        <f t="shared" si="36"/>
        <v>0</v>
      </c>
      <c r="Z41" s="370">
        <f t="shared" si="29"/>
        <v>0</v>
      </c>
      <c r="AA41" s="1343">
        <f t="shared" si="16"/>
        <v>0</v>
      </c>
      <c r="AB41" s="1344">
        <f t="shared" si="39"/>
        <v>0</v>
      </c>
    </row>
    <row r="45" spans="1:144" s="1345" customFormat="1" ht="20.25" x14ac:dyDescent="0.3">
      <c r="B45" s="2452" t="s">
        <v>14</v>
      </c>
      <c r="C45" s="2452"/>
      <c r="F45" s="2453" t="s">
        <v>1473</v>
      </c>
      <c r="G45" s="2453"/>
      <c r="Z45" s="1346"/>
      <c r="AA45" s="1346"/>
      <c r="AB45" s="1346"/>
      <c r="AC45" s="1347"/>
      <c r="AD45" s="1347"/>
      <c r="AE45" s="1347"/>
      <c r="AF45" s="1347"/>
      <c r="AG45" s="1347"/>
      <c r="AH45" s="1347"/>
      <c r="AI45" s="1347"/>
      <c r="AJ45" s="1347"/>
      <c r="AK45" s="1347"/>
      <c r="AL45" s="1347"/>
      <c r="AM45" s="1347"/>
      <c r="AN45" s="1347"/>
      <c r="AO45" s="1347"/>
      <c r="AP45" s="1347"/>
      <c r="AQ45" s="1347"/>
      <c r="AR45" s="1347"/>
      <c r="AS45" s="1347"/>
      <c r="AT45" s="1347"/>
      <c r="AU45" s="1347"/>
      <c r="AV45" s="1347"/>
      <c r="AW45" s="1347"/>
      <c r="AX45" s="1347"/>
      <c r="AY45" s="1347"/>
      <c r="AZ45" s="1347"/>
      <c r="BA45" s="1347"/>
      <c r="BB45" s="1347"/>
      <c r="BC45" s="1347"/>
      <c r="BD45" s="1347"/>
      <c r="BE45" s="1347"/>
      <c r="BF45" s="1347"/>
      <c r="BG45" s="1347"/>
      <c r="BH45" s="1347"/>
      <c r="BI45" s="1347"/>
      <c r="BJ45" s="1347"/>
      <c r="BK45" s="1347"/>
      <c r="BL45" s="1347"/>
      <c r="BM45" s="1347"/>
      <c r="BN45" s="1347"/>
      <c r="BO45" s="1347"/>
      <c r="BP45" s="1347"/>
      <c r="BQ45" s="1347"/>
      <c r="BR45" s="1347"/>
      <c r="BS45" s="1347"/>
      <c r="BT45" s="1347"/>
      <c r="BU45" s="1347"/>
      <c r="BV45" s="1347"/>
      <c r="BW45" s="1347"/>
      <c r="BX45" s="1347"/>
      <c r="BY45" s="1347"/>
      <c r="BZ45" s="1347"/>
      <c r="CA45" s="1347"/>
      <c r="CB45" s="1347"/>
      <c r="CC45" s="1347"/>
      <c r="CD45" s="1347"/>
      <c r="CE45" s="1347"/>
      <c r="CF45" s="1347"/>
      <c r="CG45" s="1347"/>
      <c r="CH45" s="1347"/>
      <c r="CI45" s="1347"/>
      <c r="CJ45" s="1347"/>
      <c r="CK45" s="1347"/>
      <c r="CL45" s="1347"/>
      <c r="CM45" s="1347"/>
      <c r="CN45" s="1347"/>
      <c r="CO45" s="1347"/>
      <c r="CP45" s="1347"/>
      <c r="CQ45" s="1347"/>
      <c r="CR45" s="1347"/>
      <c r="CS45" s="1347"/>
      <c r="CT45" s="1347"/>
      <c r="CU45" s="1347"/>
      <c r="CV45" s="1347"/>
      <c r="CW45" s="1347"/>
      <c r="CX45" s="1347"/>
      <c r="CY45" s="1347"/>
      <c r="CZ45" s="1347"/>
      <c r="DA45" s="1347"/>
      <c r="DB45" s="1347"/>
      <c r="DC45" s="1347"/>
      <c r="DD45" s="1347"/>
      <c r="DE45" s="1347"/>
      <c r="DF45" s="1347"/>
      <c r="DG45" s="1347"/>
      <c r="DH45" s="1347"/>
      <c r="DI45" s="1347"/>
      <c r="DJ45" s="1347"/>
      <c r="DK45" s="1347"/>
      <c r="DL45" s="1347"/>
      <c r="DM45" s="1347"/>
      <c r="DN45" s="1347"/>
      <c r="DO45" s="1347"/>
      <c r="DP45" s="1347"/>
      <c r="DQ45" s="1347"/>
      <c r="DR45" s="1347"/>
      <c r="DS45" s="1347"/>
      <c r="DT45" s="1347"/>
      <c r="DU45" s="1347"/>
      <c r="DV45" s="1347"/>
      <c r="DW45" s="1347"/>
      <c r="DX45" s="1347"/>
      <c r="DY45" s="1347"/>
      <c r="DZ45" s="1347"/>
      <c r="EA45" s="1347"/>
      <c r="EB45" s="1347"/>
      <c r="EC45" s="1347"/>
      <c r="ED45" s="1347"/>
      <c r="EE45" s="1347"/>
      <c r="EF45" s="1347"/>
      <c r="EG45" s="1347"/>
      <c r="EH45" s="1347"/>
      <c r="EI45" s="1347"/>
      <c r="EJ45" s="1347"/>
      <c r="EK45" s="1347"/>
      <c r="EL45" s="1347"/>
      <c r="EM45" s="1347"/>
      <c r="EN45" s="1347"/>
    </row>
    <row r="46" spans="1:144" x14ac:dyDescent="0.25">
      <c r="B46" s="1348"/>
    </row>
    <row r="47" spans="1:144" x14ac:dyDescent="0.25">
      <c r="B47" s="1348" t="s">
        <v>1525</v>
      </c>
    </row>
  </sheetData>
  <mergeCells count="23">
    <mergeCell ref="A2:AB2"/>
    <mergeCell ref="A4:AB4"/>
    <mergeCell ref="N5:Y5"/>
    <mergeCell ref="A6:A8"/>
    <mergeCell ref="B6:B8"/>
    <mergeCell ref="C6:C8"/>
    <mergeCell ref="D6:D8"/>
    <mergeCell ref="E6:Y6"/>
    <mergeCell ref="Z6:Z8"/>
    <mergeCell ref="AA6:AA8"/>
    <mergeCell ref="AB6:AB8"/>
    <mergeCell ref="E7:G7"/>
    <mergeCell ref="H7:J7"/>
    <mergeCell ref="K7:M7"/>
    <mergeCell ref="N7:P7"/>
    <mergeCell ref="Q7:S7"/>
    <mergeCell ref="B45:C45"/>
    <mergeCell ref="F45:G45"/>
    <mergeCell ref="T7:V7"/>
    <mergeCell ref="W7:Y7"/>
    <mergeCell ref="A9:AB9"/>
    <mergeCell ref="A17:Y17"/>
    <mergeCell ref="A26:Y26"/>
  </mergeCells>
  <printOptions horizontalCentered="1"/>
  <pageMargins left="0.78740157480314965" right="0.39370078740157483" top="0.39370078740157483" bottom="0.39370078740157483" header="0" footer="0"/>
  <pageSetup paperSize="9" scale="41" orientation="landscape" r:id="rId1"/>
  <colBreaks count="1" manualBreakCount="1">
    <brk id="2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T20"/>
  <sheetViews>
    <sheetView view="pageBreakPreview" zoomScale="80" zoomScaleNormal="100" zoomScaleSheetLayoutView="80" workbookViewId="0">
      <pane xSplit="5" ySplit="8" topLeftCell="F9" activePane="bottomRight" state="frozen"/>
      <selection activeCell="F16" sqref="F16"/>
      <selection pane="topRight" activeCell="F16" sqref="F16"/>
      <selection pane="bottomLeft" activeCell="F16" sqref="F16"/>
      <selection pane="bottomRight" activeCell="H27" sqref="H27"/>
    </sheetView>
  </sheetViews>
  <sheetFormatPr defaultRowHeight="15" x14ac:dyDescent="0.25"/>
  <cols>
    <col min="1" max="1" width="6.1640625" style="313" customWidth="1"/>
    <col min="2" max="3" width="24.33203125" style="313" customWidth="1"/>
    <col min="4" max="4" width="28.6640625" style="313" customWidth="1"/>
    <col min="5" max="5" width="11.33203125" style="313" customWidth="1"/>
    <col min="6" max="14" width="18.5" style="313" customWidth="1"/>
    <col min="15" max="16384" width="9.33203125" style="313"/>
  </cols>
  <sheetData>
    <row r="1" spans="1:14" ht="18.75" x14ac:dyDescent="0.3">
      <c r="H1" s="1350"/>
      <c r="K1" s="1350"/>
      <c r="N1" s="1350"/>
    </row>
    <row r="2" spans="1:14" x14ac:dyDescent="0.25">
      <c r="H2" s="1351"/>
      <c r="K2" s="1351"/>
      <c r="N2" s="1351"/>
    </row>
    <row r="3" spans="1:14" ht="18.75" x14ac:dyDescent="0.3">
      <c r="A3" s="2480" t="s">
        <v>1526</v>
      </c>
      <c r="B3" s="2480"/>
      <c r="C3" s="2480"/>
      <c r="D3" s="2480"/>
      <c r="E3" s="2480"/>
      <c r="F3" s="2480"/>
      <c r="G3" s="2480"/>
      <c r="H3" s="2480"/>
      <c r="I3" s="2480"/>
      <c r="J3" s="2480"/>
      <c r="K3" s="2480"/>
      <c r="L3" s="2480"/>
      <c r="M3" s="2480"/>
      <c r="N3" s="2480"/>
    </row>
    <row r="4" spans="1:14" ht="18.75" x14ac:dyDescent="0.3">
      <c r="A4" s="2480" t="s">
        <v>1253</v>
      </c>
      <c r="B4" s="2480"/>
      <c r="C4" s="2480"/>
      <c r="D4" s="2480"/>
      <c r="E4" s="2480"/>
      <c r="F4" s="2480"/>
      <c r="G4" s="2480"/>
      <c r="H4" s="2480"/>
      <c r="I4" s="2480"/>
      <c r="J4" s="2480"/>
      <c r="K4" s="2480"/>
      <c r="L4" s="2480"/>
      <c r="M4" s="2480"/>
      <c r="N4" s="2480"/>
    </row>
    <row r="5" spans="1:14" x14ac:dyDescent="0.25">
      <c r="N5" s="1364">
        <v>43829</v>
      </c>
    </row>
    <row r="6" spans="1:14" s="332" customFormat="1" ht="46.5" customHeight="1" x14ac:dyDescent="0.25">
      <c r="A6" s="2481" t="s">
        <v>78</v>
      </c>
      <c r="B6" s="2481" t="s">
        <v>188</v>
      </c>
      <c r="C6" s="2481" t="s">
        <v>248</v>
      </c>
      <c r="D6" s="2481"/>
      <c r="E6" s="2482" t="s">
        <v>249</v>
      </c>
      <c r="F6" s="1352" t="s">
        <v>869</v>
      </c>
      <c r="G6" s="330" t="s">
        <v>870</v>
      </c>
      <c r="H6" s="330" t="s">
        <v>871</v>
      </c>
      <c r="I6" s="1352" t="s">
        <v>869</v>
      </c>
      <c r="J6" s="330" t="s">
        <v>870</v>
      </c>
      <c r="K6" s="330" t="s">
        <v>871</v>
      </c>
      <c r="L6" s="1352" t="s">
        <v>869</v>
      </c>
      <c r="M6" s="330" t="s">
        <v>870</v>
      </c>
      <c r="N6" s="330" t="s">
        <v>871</v>
      </c>
    </row>
    <row r="7" spans="1:14" s="332" customFormat="1" x14ac:dyDescent="0.25">
      <c r="A7" s="2481"/>
      <c r="B7" s="2481"/>
      <c r="C7" s="2481"/>
      <c r="D7" s="2481"/>
      <c r="E7" s="2483"/>
      <c r="F7" s="2484" t="s">
        <v>232</v>
      </c>
      <c r="G7" s="2485"/>
      <c r="H7" s="2486"/>
      <c r="I7" s="2484" t="s">
        <v>233</v>
      </c>
      <c r="J7" s="2485"/>
      <c r="K7" s="2486"/>
      <c r="L7" s="2484" t="s">
        <v>234</v>
      </c>
      <c r="M7" s="2485"/>
      <c r="N7" s="2486"/>
    </row>
    <row r="8" spans="1:14" s="323" customFormat="1" x14ac:dyDescent="0.25">
      <c r="A8" s="1353">
        <v>1</v>
      </c>
      <c r="B8" s="1354">
        <v>2</v>
      </c>
      <c r="C8" s="1353">
        <v>3</v>
      </c>
      <c r="D8" s="1354">
        <v>4</v>
      </c>
      <c r="E8" s="1353">
        <v>5</v>
      </c>
      <c r="F8" s="1354">
        <v>10</v>
      </c>
      <c r="G8" s="1353">
        <v>15</v>
      </c>
      <c r="H8" s="1354">
        <v>20</v>
      </c>
      <c r="I8" s="1354">
        <v>10</v>
      </c>
      <c r="J8" s="1353">
        <v>15</v>
      </c>
      <c r="K8" s="1354">
        <v>20</v>
      </c>
      <c r="L8" s="1354">
        <v>10</v>
      </c>
      <c r="M8" s="1353">
        <v>15</v>
      </c>
      <c r="N8" s="1354">
        <v>20</v>
      </c>
    </row>
    <row r="9" spans="1:14" s="323" customFormat="1" ht="25.5" customHeight="1" x14ac:dyDescent="0.25">
      <c r="A9" s="2473">
        <v>1</v>
      </c>
      <c r="B9" s="2475" t="s">
        <v>1256</v>
      </c>
      <c r="C9" s="2477" t="s">
        <v>1527</v>
      </c>
      <c r="D9" s="1355" t="s">
        <v>1528</v>
      </c>
      <c r="E9" s="1353" t="s">
        <v>1529</v>
      </c>
      <c r="F9" s="1356">
        <v>72</v>
      </c>
      <c r="G9" s="1357">
        <f>H9/F9/3*1000</f>
        <v>1944.44</v>
      </c>
      <c r="H9" s="1358">
        <v>420</v>
      </c>
      <c r="I9" s="1356">
        <v>72</v>
      </c>
      <c r="J9" s="1357">
        <f>K9/I9/3*1000</f>
        <v>1944.44</v>
      </c>
      <c r="K9" s="1358">
        <v>420</v>
      </c>
      <c r="L9" s="1356">
        <v>72</v>
      </c>
      <c r="M9" s="1357">
        <f>N9/L9/3*1000</f>
        <v>1944.44</v>
      </c>
      <c r="N9" s="1358">
        <v>420</v>
      </c>
    </row>
    <row r="10" spans="1:14" s="323" customFormat="1" ht="25.5" customHeight="1" x14ac:dyDescent="0.25">
      <c r="A10" s="2473"/>
      <c r="B10" s="2475"/>
      <c r="C10" s="2477"/>
      <c r="D10" s="1355" t="s">
        <v>1530</v>
      </c>
      <c r="E10" s="1353" t="s">
        <v>344</v>
      </c>
      <c r="F10" s="1356"/>
      <c r="G10" s="1356"/>
      <c r="H10" s="1356"/>
      <c r="I10" s="1356"/>
      <c r="J10" s="1356"/>
      <c r="K10" s="1356"/>
      <c r="L10" s="1356"/>
      <c r="M10" s="1356"/>
      <c r="N10" s="1356"/>
    </row>
    <row r="11" spans="1:14" s="323" customFormat="1" ht="25.5" customHeight="1" x14ac:dyDescent="0.25">
      <c r="A11" s="2474"/>
      <c r="B11" s="2476"/>
      <c r="C11" s="2477"/>
      <c r="D11" s="1355" t="s">
        <v>1531</v>
      </c>
      <c r="E11" s="1353" t="s">
        <v>344</v>
      </c>
      <c r="F11" s="1356"/>
      <c r="G11" s="1356"/>
      <c r="H11" s="1356"/>
      <c r="I11" s="1356"/>
      <c r="J11" s="1356"/>
      <c r="K11" s="1356"/>
      <c r="L11" s="1356"/>
      <c r="M11" s="1356"/>
      <c r="N11" s="1356"/>
    </row>
    <row r="12" spans="1:14" s="332" customFormat="1" ht="21.75" customHeight="1" x14ac:dyDescent="0.25">
      <c r="A12" s="2478" t="s">
        <v>872</v>
      </c>
      <c r="B12" s="2478"/>
      <c r="C12" s="1359"/>
      <c r="D12" s="329"/>
      <c r="E12" s="329"/>
      <c r="F12" s="329">
        <f>SUM(F9:F11)</f>
        <v>72</v>
      </c>
      <c r="G12" s="329"/>
      <c r="H12" s="1360">
        <f>SUM(H9:H11)</f>
        <v>420</v>
      </c>
      <c r="I12" s="329">
        <f>SUM(I9:I11)</f>
        <v>72</v>
      </c>
      <c r="J12" s="329"/>
      <c r="K12" s="1360">
        <f>SUM(K9:K11)</f>
        <v>420</v>
      </c>
      <c r="L12" s="329">
        <f>SUM(L9:L11)</f>
        <v>72</v>
      </c>
      <c r="M12" s="329"/>
      <c r="N12" s="1360">
        <f>SUM(N9:N11)</f>
        <v>420</v>
      </c>
    </row>
    <row r="14" spans="1:14" x14ac:dyDescent="0.25">
      <c r="B14" s="313" t="s">
        <v>1301</v>
      </c>
      <c r="G14" s="1361"/>
      <c r="J14" s="1361"/>
      <c r="M14" s="1361"/>
    </row>
    <row r="15" spans="1:14" x14ac:dyDescent="0.25">
      <c r="G15" s="1361"/>
      <c r="J15" s="1361"/>
      <c r="M15" s="1361"/>
    </row>
    <row r="16" spans="1:14" x14ac:dyDescent="0.25">
      <c r="B16" s="313" t="s">
        <v>886</v>
      </c>
      <c r="C16" s="313" t="s">
        <v>1532</v>
      </c>
      <c r="G16" s="1361"/>
      <c r="J16" s="1361"/>
      <c r="M16" s="1361"/>
    </row>
    <row r="17" spans="2:20" x14ac:dyDescent="0.25">
      <c r="B17" s="313" t="s">
        <v>1533</v>
      </c>
      <c r="C17" s="313" t="s">
        <v>1534</v>
      </c>
      <c r="G17" s="1361"/>
      <c r="J17" s="1361"/>
      <c r="M17" s="1361"/>
    </row>
    <row r="18" spans="2:20" ht="15" customHeight="1" x14ac:dyDescent="0.25">
      <c r="G18" s="1361"/>
      <c r="H18" s="1362"/>
      <c r="J18" s="1361"/>
      <c r="K18" s="1362"/>
      <c r="M18" s="1361"/>
      <c r="N18" s="1362"/>
      <c r="O18" s="2479"/>
      <c r="P18" s="2479"/>
      <c r="Q18" s="2479"/>
      <c r="R18" s="2479"/>
      <c r="S18" s="2479"/>
      <c r="T18" s="2479"/>
    </row>
    <row r="19" spans="2:20" x14ac:dyDescent="0.25">
      <c r="H19" s="1363"/>
      <c r="K19" s="1363"/>
      <c r="N19" s="1363"/>
      <c r="O19" s="2479"/>
      <c r="P19" s="2479"/>
      <c r="Q19" s="2479"/>
      <c r="R19" s="2479"/>
      <c r="S19" s="2479"/>
      <c r="T19" s="2479"/>
    </row>
    <row r="20" spans="2:20" x14ac:dyDescent="0.25">
      <c r="O20" s="2479"/>
      <c r="P20" s="2479"/>
      <c r="Q20" s="2479"/>
      <c r="R20" s="2479"/>
      <c r="S20" s="2479"/>
      <c r="T20" s="2479"/>
    </row>
  </sheetData>
  <autoFilter ref="A8:T12" xr:uid="{00000000-0009-0000-0000-00000F000000}"/>
  <mergeCells count="14">
    <mergeCell ref="A3:N3"/>
    <mergeCell ref="A4:N4"/>
    <mergeCell ref="A6:A7"/>
    <mergeCell ref="B6:B7"/>
    <mergeCell ref="C6:D7"/>
    <mergeCell ref="E6:E7"/>
    <mergeCell ref="F7:H7"/>
    <mergeCell ref="I7:K7"/>
    <mergeCell ref="L7:N7"/>
    <mergeCell ref="A9:A11"/>
    <mergeCell ref="B9:B11"/>
    <mergeCell ref="C9:C11"/>
    <mergeCell ref="A12:B12"/>
    <mergeCell ref="O18:T20"/>
  </mergeCells>
  <pageMargins left="0.31496062992125984" right="0.11811023622047245" top="0.74803149606299213" bottom="0.74803149606299213" header="0.31496062992125984" footer="0.31496062992125984"/>
  <pageSetup paperSize="9" scale="61" fitToWidth="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P17"/>
  <sheetViews>
    <sheetView view="pageBreakPreview" zoomScaleNormal="70" zoomScaleSheetLayoutView="100" workbookViewId="0">
      <selection activeCell="B15" sqref="B15"/>
    </sheetView>
  </sheetViews>
  <sheetFormatPr defaultColWidth="10.6640625" defaultRowHeight="15" x14ac:dyDescent="0.25"/>
  <cols>
    <col min="1" max="1" width="5.6640625" style="511" customWidth="1"/>
    <col min="2" max="2" width="34" style="511" customWidth="1"/>
    <col min="3" max="3" width="10.6640625" style="511"/>
    <col min="4" max="4" width="21.5" style="511" customWidth="1"/>
    <col min="5" max="5" width="17" style="511" customWidth="1"/>
    <col min="6" max="6" width="21.5" style="511" customWidth="1"/>
    <col min="7" max="7" width="17.83203125" style="511" customWidth="1"/>
    <col min="8" max="11" width="18.1640625" style="511" customWidth="1"/>
    <col min="12" max="12" width="20.83203125" style="511" customWidth="1"/>
    <col min="13" max="15" width="18.1640625" style="511" customWidth="1"/>
    <col min="16" max="16" width="23.83203125" style="511" customWidth="1"/>
    <col min="17" max="16384" width="10.6640625" style="511"/>
  </cols>
  <sheetData>
    <row r="1" spans="1:16" ht="33" customHeight="1" x14ac:dyDescent="0.25">
      <c r="B1" s="2491" t="s">
        <v>873</v>
      </c>
      <c r="C1" s="2491"/>
      <c r="D1" s="2491"/>
      <c r="E1" s="2491"/>
      <c r="F1" s="2491"/>
      <c r="G1" s="2491"/>
      <c r="H1" s="2491"/>
      <c r="I1" s="2491"/>
      <c r="J1" s="2491"/>
      <c r="K1" s="2491"/>
      <c r="L1" s="2491"/>
      <c r="M1" s="2491"/>
      <c r="N1" s="2491"/>
      <c r="O1" s="2491"/>
    </row>
    <row r="3" spans="1:16" s="512" customFormat="1" ht="28.5" customHeight="1" x14ac:dyDescent="0.25">
      <c r="A3" s="2492" t="s">
        <v>874</v>
      </c>
      <c r="B3" s="2494" t="s">
        <v>188</v>
      </c>
      <c r="C3" s="2494" t="s">
        <v>417</v>
      </c>
      <c r="D3" s="2487" t="s">
        <v>875</v>
      </c>
      <c r="E3" s="2487" t="s">
        <v>876</v>
      </c>
      <c r="F3" s="2487" t="s">
        <v>877</v>
      </c>
      <c r="G3" s="2487" t="s">
        <v>878</v>
      </c>
      <c r="H3" s="2489" t="s">
        <v>879</v>
      </c>
      <c r="I3" s="2489"/>
      <c r="J3" s="2489"/>
      <c r="K3" s="2487" t="s">
        <v>880</v>
      </c>
      <c r="L3" s="2487" t="s">
        <v>881</v>
      </c>
      <c r="M3" s="2489" t="s">
        <v>857</v>
      </c>
      <c r="N3" s="2489"/>
      <c r="O3" s="2489"/>
      <c r="P3" s="2487"/>
    </row>
    <row r="4" spans="1:16" ht="30" x14ac:dyDescent="0.25">
      <c r="A4" s="2493"/>
      <c r="B4" s="2494"/>
      <c r="C4" s="2494"/>
      <c r="D4" s="2488"/>
      <c r="E4" s="2488"/>
      <c r="F4" s="2488"/>
      <c r="G4" s="2488"/>
      <c r="H4" s="513" t="s">
        <v>882</v>
      </c>
      <c r="I4" s="513" t="s">
        <v>370</v>
      </c>
      <c r="J4" s="513" t="s">
        <v>883</v>
      </c>
      <c r="K4" s="2488"/>
      <c r="L4" s="2488"/>
      <c r="M4" s="513" t="s">
        <v>232</v>
      </c>
      <c r="N4" s="513" t="s">
        <v>233</v>
      </c>
      <c r="O4" s="513" t="s">
        <v>234</v>
      </c>
      <c r="P4" s="2490"/>
    </row>
    <row r="5" spans="1:16" s="515" customFormat="1" x14ac:dyDescent="0.2">
      <c r="A5" s="514">
        <v>1</v>
      </c>
      <c r="B5" s="513">
        <v>2</v>
      </c>
      <c r="C5" s="514">
        <v>3</v>
      </c>
      <c r="D5" s="513">
        <v>4</v>
      </c>
      <c r="E5" s="514">
        <v>5</v>
      </c>
      <c r="F5" s="513">
        <v>6</v>
      </c>
      <c r="G5" s="514">
        <v>7</v>
      </c>
      <c r="H5" s="513">
        <v>8</v>
      </c>
      <c r="I5" s="514">
        <v>9</v>
      </c>
      <c r="J5" s="513">
        <v>10</v>
      </c>
      <c r="K5" s="514">
        <v>11</v>
      </c>
      <c r="L5" s="513">
        <v>12</v>
      </c>
      <c r="M5" s="514">
        <v>13</v>
      </c>
      <c r="N5" s="513">
        <v>14</v>
      </c>
      <c r="O5" s="514">
        <v>15</v>
      </c>
      <c r="P5" s="514"/>
    </row>
    <row r="6" spans="1:16" ht="14.25" customHeight="1" x14ac:dyDescent="0.25">
      <c r="A6" s="516"/>
      <c r="B6" s="513"/>
      <c r="C6" s="513"/>
      <c r="D6" s="513"/>
      <c r="E6" s="513"/>
      <c r="F6" s="513"/>
      <c r="G6" s="513"/>
      <c r="H6" s="513"/>
      <c r="I6" s="513"/>
      <c r="J6" s="513"/>
      <c r="K6" s="513"/>
      <c r="L6" s="513"/>
      <c r="M6" s="517"/>
      <c r="N6" s="517"/>
      <c r="O6" s="517"/>
      <c r="P6" s="516"/>
    </row>
    <row r="7" spans="1:16" s="672" customFormat="1" ht="14.25" customHeight="1" x14ac:dyDescent="0.25">
      <c r="A7" s="675"/>
      <c r="B7" s="504"/>
      <c r="C7" s="504"/>
      <c r="D7" s="540"/>
      <c r="E7" s="540"/>
      <c r="F7" s="540"/>
      <c r="G7" s="730"/>
      <c r="H7" s="504"/>
      <c r="I7" s="504"/>
      <c r="J7" s="504"/>
      <c r="K7" s="504"/>
      <c r="L7" s="504"/>
      <c r="M7" s="504"/>
      <c r="N7" s="504"/>
      <c r="O7" s="504"/>
      <c r="P7" s="675"/>
    </row>
    <row r="8" spans="1:16" s="672" customFormat="1" ht="14.25" customHeight="1" x14ac:dyDescent="0.25">
      <c r="A8" s="675"/>
      <c r="B8" s="504"/>
      <c r="C8" s="504"/>
      <c r="D8" s="540"/>
      <c r="E8" s="540"/>
      <c r="F8" s="540"/>
      <c r="G8" s="730"/>
      <c r="H8" s="504"/>
      <c r="I8" s="504"/>
      <c r="J8" s="504"/>
      <c r="K8" s="680"/>
      <c r="L8" s="504"/>
      <c r="M8" s="504"/>
      <c r="N8" s="504"/>
      <c r="O8" s="504"/>
      <c r="P8" s="675"/>
    </row>
    <row r="9" spans="1:16" s="524" customFormat="1" ht="14.25" x14ac:dyDescent="0.2">
      <c r="A9" s="520"/>
      <c r="B9" s="521" t="s">
        <v>72</v>
      </c>
      <c r="C9" s="522"/>
      <c r="D9" s="522"/>
      <c r="E9" s="522"/>
      <c r="F9" s="522"/>
      <c r="G9" s="522"/>
      <c r="H9" s="523">
        <f>SUM(H7:H8)</f>
        <v>0</v>
      </c>
      <c r="I9" s="523">
        <f t="shared" ref="I9:O9" si="0">SUM(I7:I8)</f>
        <v>0</v>
      </c>
      <c r="J9" s="523">
        <f t="shared" si="0"/>
        <v>0</v>
      </c>
      <c r="K9" s="523">
        <f t="shared" si="0"/>
        <v>0</v>
      </c>
      <c r="L9" s="523">
        <f t="shared" si="0"/>
        <v>0</v>
      </c>
      <c r="M9" s="523">
        <f t="shared" si="0"/>
        <v>0</v>
      </c>
      <c r="N9" s="523">
        <f t="shared" si="0"/>
        <v>0</v>
      </c>
      <c r="O9" s="523">
        <f t="shared" si="0"/>
        <v>0</v>
      </c>
      <c r="P9" s="523"/>
    </row>
    <row r="10" spans="1:16" x14ac:dyDescent="0.25">
      <c r="B10" s="519"/>
    </row>
    <row r="12" spans="1:16" x14ac:dyDescent="0.25">
      <c r="B12" s="511" t="s">
        <v>885</v>
      </c>
    </row>
    <row r="15" spans="1:16" x14ac:dyDescent="0.25">
      <c r="B15" s="511" t="s">
        <v>886</v>
      </c>
    </row>
    <row r="17" spans="8:12" x14ac:dyDescent="0.25">
      <c r="H17" s="525"/>
      <c r="I17" s="525"/>
      <c r="J17" s="525"/>
      <c r="K17" s="525"/>
      <c r="L17" s="525"/>
    </row>
  </sheetData>
  <mergeCells count="13">
    <mergeCell ref="L3:L4"/>
    <mergeCell ref="M3:O3"/>
    <mergeCell ref="P3:P4"/>
    <mergeCell ref="B1:O1"/>
    <mergeCell ref="A3:A4"/>
    <mergeCell ref="B3:B4"/>
    <mergeCell ref="C3:C4"/>
    <mergeCell ref="D3:D4"/>
    <mergeCell ref="E3:E4"/>
    <mergeCell ref="F3:F4"/>
    <mergeCell ref="G3:G4"/>
    <mergeCell ref="H3:J3"/>
    <mergeCell ref="K3:K4"/>
  </mergeCells>
  <pageMargins left="0.70866141732283472" right="0.70866141732283472" top="0.74803149606299213" bottom="0.74803149606299213" header="0.31496062992125984" footer="0.31496062992125984"/>
  <pageSetup paperSize="9" scale="5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39997558519241921"/>
  </sheetPr>
  <dimension ref="A1:F16"/>
  <sheetViews>
    <sheetView view="pageBreakPreview" zoomScale="80" zoomScaleNormal="100" zoomScaleSheetLayoutView="80" workbookViewId="0">
      <selection activeCell="N14" sqref="N14"/>
    </sheetView>
  </sheetViews>
  <sheetFormatPr defaultRowHeight="45" customHeight="1" x14ac:dyDescent="0.25"/>
  <cols>
    <col min="1" max="1" width="55.83203125" style="313" customWidth="1"/>
    <col min="2" max="2" width="12.33203125" style="313" customWidth="1"/>
    <col min="3" max="5" width="35" style="313" customWidth="1"/>
    <col min="6" max="16384" width="9.33203125" style="313"/>
  </cols>
  <sheetData>
    <row r="1" spans="1:6" ht="23.25" customHeight="1" x14ac:dyDescent="0.25">
      <c r="A1" s="2496" t="s">
        <v>887</v>
      </c>
      <c r="B1" s="2496"/>
      <c r="C1" s="2496"/>
      <c r="D1" s="2496"/>
      <c r="E1" s="2496"/>
    </row>
    <row r="2" spans="1:6" ht="23.25" customHeight="1" x14ac:dyDescent="0.25">
      <c r="A2" s="2450" t="s">
        <v>1253</v>
      </c>
      <c r="B2" s="2450"/>
      <c r="C2" s="2450"/>
      <c r="D2" s="2450"/>
      <c r="E2" s="2450"/>
    </row>
    <row r="3" spans="1:6" ht="16.5" customHeight="1" x14ac:dyDescent="0.25">
      <c r="A3" s="2495" t="s">
        <v>416</v>
      </c>
      <c r="B3" s="2495" t="s">
        <v>417</v>
      </c>
      <c r="C3" s="2495" t="s">
        <v>418</v>
      </c>
      <c r="D3" s="2495"/>
      <c r="E3" s="2495"/>
    </row>
    <row r="4" spans="1:6" ht="16.5" customHeight="1" x14ac:dyDescent="0.25">
      <c r="A4" s="2495"/>
      <c r="B4" s="2495"/>
      <c r="C4" s="509" t="s">
        <v>492</v>
      </c>
      <c r="D4" s="509" t="s">
        <v>492</v>
      </c>
      <c r="E4" s="509" t="s">
        <v>492</v>
      </c>
    </row>
    <row r="5" spans="1:6" ht="28.5" customHeight="1" x14ac:dyDescent="0.25">
      <c r="A5" s="2495"/>
      <c r="B5" s="2495"/>
      <c r="C5" s="509" t="s">
        <v>419</v>
      </c>
      <c r="D5" s="509" t="s">
        <v>420</v>
      </c>
      <c r="E5" s="509" t="s">
        <v>421</v>
      </c>
    </row>
    <row r="6" spans="1:6" ht="14.25" customHeight="1" x14ac:dyDescent="0.25">
      <c r="A6" s="509">
        <v>1</v>
      </c>
      <c r="B6" s="509">
        <v>2</v>
      </c>
      <c r="C6" s="509">
        <v>3</v>
      </c>
      <c r="D6" s="509">
        <v>4</v>
      </c>
      <c r="E6" s="509">
        <v>5</v>
      </c>
    </row>
    <row r="7" spans="1:6" ht="45" customHeight="1" x14ac:dyDescent="0.25">
      <c r="A7" s="510" t="s">
        <v>836</v>
      </c>
      <c r="B7" s="509">
        <v>100</v>
      </c>
      <c r="C7" s="509"/>
      <c r="D7" s="509"/>
      <c r="E7" s="509"/>
    </row>
    <row r="8" spans="1:6" ht="46.5" customHeight="1" x14ac:dyDescent="0.25">
      <c r="A8" s="510" t="s">
        <v>888</v>
      </c>
      <c r="B8" s="509">
        <v>200</v>
      </c>
      <c r="C8" s="509"/>
      <c r="D8" s="509"/>
      <c r="E8" s="509"/>
    </row>
    <row r="9" spans="1:6" ht="34.5" customHeight="1" x14ac:dyDescent="0.25">
      <c r="A9" s="510" t="s">
        <v>889</v>
      </c>
      <c r="B9" s="509">
        <v>300</v>
      </c>
      <c r="C9" s="509"/>
      <c r="D9" s="509"/>
      <c r="E9" s="509"/>
    </row>
    <row r="10" spans="1:6" ht="18.75" customHeight="1" x14ac:dyDescent="0.25">
      <c r="A10" s="510" t="s">
        <v>440</v>
      </c>
      <c r="B10" s="2495">
        <v>310</v>
      </c>
      <c r="C10" s="2495"/>
      <c r="D10" s="2495"/>
      <c r="E10" s="2495"/>
    </row>
    <row r="11" spans="1:6" ht="18.75" customHeight="1" x14ac:dyDescent="0.25">
      <c r="A11" s="510" t="s">
        <v>890</v>
      </c>
      <c r="B11" s="2495"/>
      <c r="C11" s="2495"/>
      <c r="D11" s="2495"/>
      <c r="E11" s="2495"/>
    </row>
    <row r="12" spans="1:6" ht="18.75" customHeight="1" x14ac:dyDescent="0.25">
      <c r="A12" s="510" t="s">
        <v>891</v>
      </c>
      <c r="B12" s="509">
        <v>320</v>
      </c>
      <c r="C12" s="509"/>
      <c r="D12" s="509"/>
      <c r="E12" s="509"/>
    </row>
    <row r="13" spans="1:6" ht="27" customHeight="1" x14ac:dyDescent="0.25">
      <c r="A13" s="510" t="s">
        <v>892</v>
      </c>
      <c r="B13" s="509">
        <v>330</v>
      </c>
      <c r="C13" s="509"/>
      <c r="D13" s="509"/>
      <c r="E13" s="509"/>
    </row>
    <row r="14" spans="1:6" ht="39" customHeight="1" x14ac:dyDescent="0.25">
      <c r="A14" s="510" t="s">
        <v>848</v>
      </c>
      <c r="B14" s="509">
        <v>400</v>
      </c>
      <c r="C14" s="509"/>
      <c r="D14" s="509"/>
      <c r="E14" s="509"/>
    </row>
    <row r="15" spans="1:6" ht="45" customHeight="1" x14ac:dyDescent="0.25">
      <c r="A15" s="510" t="s">
        <v>893</v>
      </c>
      <c r="B15" s="509">
        <v>500</v>
      </c>
      <c r="C15" s="509"/>
      <c r="D15" s="509"/>
      <c r="E15" s="509"/>
    </row>
    <row r="16" spans="1:6" s="319" customFormat="1" ht="45" customHeight="1" x14ac:dyDescent="0.25">
      <c r="A16" s="317" t="s">
        <v>894</v>
      </c>
      <c r="B16" s="318">
        <v>600</v>
      </c>
      <c r="C16" s="318">
        <f>C7-C8+C9-C14+C15</f>
        <v>0</v>
      </c>
      <c r="D16" s="318">
        <f t="shared" ref="D16:F16" si="0">D7-D8+D9-D14+D15</f>
        <v>0</v>
      </c>
      <c r="E16" s="318">
        <f t="shared" si="0"/>
        <v>0</v>
      </c>
      <c r="F16" s="317">
        <f t="shared" si="0"/>
        <v>0</v>
      </c>
    </row>
  </sheetData>
  <mergeCells count="9">
    <mergeCell ref="B10:B11"/>
    <mergeCell ref="C10:C11"/>
    <mergeCell ref="D10:D11"/>
    <mergeCell ref="E10:E11"/>
    <mergeCell ref="A1:E1"/>
    <mergeCell ref="A2:E2"/>
    <mergeCell ref="A3:A5"/>
    <mergeCell ref="B3:B5"/>
    <mergeCell ref="C3:E3"/>
  </mergeCells>
  <pageMargins left="0.70866141732283472" right="0.70866141732283472" top="0.74803149606299213" bottom="0.74803149606299213" header="0.31496062992125984" footer="0.31496062992125984"/>
  <pageSetup paperSize="9" scale="8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39997558519241921"/>
  </sheetPr>
  <dimension ref="A1:C21"/>
  <sheetViews>
    <sheetView view="pageBreakPreview" zoomScale="90" zoomScaleNormal="100" zoomScaleSheetLayoutView="90" workbookViewId="0">
      <selection activeCell="H8" sqref="H8"/>
    </sheetView>
  </sheetViews>
  <sheetFormatPr defaultRowHeight="39" customHeight="1" x14ac:dyDescent="0.25"/>
  <cols>
    <col min="1" max="1" width="69.1640625" style="500" customWidth="1"/>
    <col min="2" max="2" width="9.83203125" style="500" customWidth="1"/>
    <col min="3" max="3" width="22" style="500" customWidth="1"/>
    <col min="4" max="16384" width="9.33203125" style="500"/>
  </cols>
  <sheetData>
    <row r="1" spans="1:3" ht="39" customHeight="1" x14ac:dyDescent="0.25">
      <c r="A1" s="2497" t="s">
        <v>1763</v>
      </c>
      <c r="B1" s="2497"/>
      <c r="C1" s="2497"/>
    </row>
    <row r="2" spans="1:3" ht="17.25" customHeight="1" x14ac:dyDescent="0.25">
      <c r="A2" s="2500" t="s">
        <v>1253</v>
      </c>
      <c r="B2" s="2500"/>
      <c r="C2" s="2500"/>
    </row>
    <row r="3" spans="1:3" ht="18.75" customHeight="1" x14ac:dyDescent="0.25">
      <c r="A3" s="2498" t="s">
        <v>416</v>
      </c>
      <c r="B3" s="2498" t="s">
        <v>417</v>
      </c>
      <c r="C3" s="501" t="s">
        <v>418</v>
      </c>
    </row>
    <row r="4" spans="1:3" ht="25.5" customHeight="1" x14ac:dyDescent="0.25">
      <c r="A4" s="2498"/>
      <c r="B4" s="2498"/>
      <c r="C4" s="501" t="s">
        <v>428</v>
      </c>
    </row>
    <row r="5" spans="1:3" ht="45.75" customHeight="1" x14ac:dyDescent="0.25">
      <c r="A5" s="2498"/>
      <c r="B5" s="2498"/>
      <c r="C5" s="501" t="s">
        <v>419</v>
      </c>
    </row>
    <row r="6" spans="1:3" ht="15.75" customHeight="1" x14ac:dyDescent="0.25">
      <c r="A6" s="501">
        <v>1</v>
      </c>
      <c r="B6" s="501">
        <v>2</v>
      </c>
      <c r="C6" s="501">
        <v>3</v>
      </c>
    </row>
    <row r="7" spans="1:3" ht="39" customHeight="1" x14ac:dyDescent="0.25">
      <c r="A7" s="504" t="s">
        <v>836</v>
      </c>
      <c r="B7" s="501">
        <v>100</v>
      </c>
      <c r="C7" s="503"/>
    </row>
    <row r="8" spans="1:3" ht="46.5" customHeight="1" x14ac:dyDescent="0.25">
      <c r="A8" s="504" t="s">
        <v>837</v>
      </c>
      <c r="B8" s="501">
        <v>200</v>
      </c>
      <c r="C8" s="503"/>
    </row>
    <row r="9" spans="1:3" ht="28.5" customHeight="1" x14ac:dyDescent="0.25">
      <c r="A9" s="504" t="s">
        <v>895</v>
      </c>
      <c r="B9" s="501">
        <v>300</v>
      </c>
      <c r="C9" s="503">
        <f>C10+C12+C13+C14</f>
        <v>991507</v>
      </c>
    </row>
    <row r="10" spans="1:3" ht="15.75" customHeight="1" x14ac:dyDescent="0.25">
      <c r="A10" s="504" t="s">
        <v>440</v>
      </c>
      <c r="B10" s="2498">
        <v>310</v>
      </c>
      <c r="C10" s="2499"/>
    </row>
    <row r="11" spans="1:3" ht="28.5" customHeight="1" x14ac:dyDescent="0.25">
      <c r="A11" s="504" t="s">
        <v>896</v>
      </c>
      <c r="B11" s="2498"/>
      <c r="C11" s="2499"/>
    </row>
    <row r="12" spans="1:3" ht="32.25" customHeight="1" x14ac:dyDescent="0.25">
      <c r="A12" s="504" t="s">
        <v>897</v>
      </c>
      <c r="B12" s="501">
        <v>320</v>
      </c>
      <c r="C12" s="503"/>
    </row>
    <row r="13" spans="1:3" ht="38.25" customHeight="1" x14ac:dyDescent="0.25">
      <c r="A13" s="504" t="s">
        <v>898</v>
      </c>
      <c r="B13" s="501">
        <v>330</v>
      </c>
      <c r="C13" s="503"/>
    </row>
    <row r="14" spans="1:3" ht="51" customHeight="1" x14ac:dyDescent="0.25">
      <c r="A14" s="504" t="s">
        <v>899</v>
      </c>
      <c r="B14" s="501">
        <v>340</v>
      </c>
      <c r="C14" s="503">
        <f>'безвозм1430(155) расч'!E9</f>
        <v>991507</v>
      </c>
    </row>
    <row r="15" spans="1:3" ht="29.25" customHeight="1" x14ac:dyDescent="0.25">
      <c r="A15" s="502" t="s">
        <v>848</v>
      </c>
      <c r="B15" s="501">
        <v>400</v>
      </c>
      <c r="C15" s="503"/>
    </row>
    <row r="16" spans="1:3" ht="45" customHeight="1" x14ac:dyDescent="0.25">
      <c r="A16" s="502" t="s">
        <v>849</v>
      </c>
      <c r="B16" s="501">
        <v>500</v>
      </c>
      <c r="C16" s="503"/>
    </row>
    <row r="17" spans="1:3" s="507" customFormat="1" ht="44.25" customHeight="1" x14ac:dyDescent="0.25">
      <c r="A17" s="505" t="s">
        <v>867</v>
      </c>
      <c r="B17" s="508">
        <v>600</v>
      </c>
      <c r="C17" s="506">
        <f>C7-C8+C9-C15+C16</f>
        <v>991507</v>
      </c>
    </row>
    <row r="18" spans="1:3" ht="17.25" customHeight="1" x14ac:dyDescent="0.25"/>
    <row r="19" spans="1:3" ht="17.25" customHeight="1" x14ac:dyDescent="0.25">
      <c r="A19" s="500" t="s">
        <v>885</v>
      </c>
    </row>
    <row r="20" spans="1:3" ht="18" customHeight="1" x14ac:dyDescent="0.25"/>
    <row r="21" spans="1:3" ht="39" customHeight="1" x14ac:dyDescent="0.25">
      <c r="A21" s="500" t="s">
        <v>361</v>
      </c>
    </row>
  </sheetData>
  <mergeCells count="6">
    <mergeCell ref="A1:C1"/>
    <mergeCell ref="A3:A5"/>
    <mergeCell ref="B3:B5"/>
    <mergeCell ref="B10:B11"/>
    <mergeCell ref="C10:C11"/>
    <mergeCell ref="A2:C2"/>
  </mergeCells>
  <pageMargins left="0.7" right="0.7" top="0.75" bottom="0.75" header="0.3" footer="0.3"/>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CCC"/>
    <pageSetUpPr fitToPage="1"/>
  </sheetPr>
  <dimension ref="A2:N46"/>
  <sheetViews>
    <sheetView view="pageBreakPreview" zoomScale="80" zoomScaleNormal="100" zoomScaleSheetLayoutView="80" workbookViewId="0">
      <pane xSplit="1" ySplit="9" topLeftCell="B10" activePane="bottomRight" state="frozen"/>
      <selection activeCell="M26" sqref="M26:N26"/>
      <selection pane="topRight" activeCell="M26" sqref="M26:N26"/>
      <selection pane="bottomLeft" activeCell="M26" sqref="M26:N26"/>
      <selection pane="bottomRight" activeCell="M26" sqref="M26:N26"/>
    </sheetView>
  </sheetViews>
  <sheetFormatPr defaultRowHeight="15" x14ac:dyDescent="0.25"/>
  <cols>
    <col min="1" max="1" width="59.6640625" style="7" customWidth="1"/>
    <col min="2" max="2" width="11.6640625" style="7" customWidth="1"/>
    <col min="3" max="3" width="14.6640625" style="7" customWidth="1"/>
    <col min="4" max="4" width="14" style="7" customWidth="1"/>
    <col min="5" max="11" width="14.83203125" style="13" customWidth="1"/>
    <col min="12" max="12" width="12.5" style="7" customWidth="1"/>
    <col min="13" max="13" width="13.33203125" style="7" customWidth="1"/>
    <col min="14" max="14" width="14.33203125" style="7" customWidth="1"/>
    <col min="15" max="15" width="11.5" style="7" bestFit="1" customWidth="1"/>
    <col min="16" max="16384" width="9.33203125" style="7"/>
  </cols>
  <sheetData>
    <row r="2" spans="1:14" x14ac:dyDescent="0.25">
      <c r="A2" s="2223" t="s">
        <v>168</v>
      </c>
      <c r="B2" s="2223"/>
      <c r="C2" s="2223"/>
      <c r="D2" s="2223"/>
      <c r="E2" s="2223"/>
      <c r="F2" s="2223"/>
      <c r="G2" s="2223"/>
      <c r="H2" s="2223"/>
      <c r="I2" s="2223"/>
      <c r="J2" s="2223"/>
      <c r="K2" s="2223"/>
      <c r="L2" s="2223"/>
      <c r="M2" s="2223"/>
      <c r="N2" s="2223"/>
    </row>
    <row r="4" spans="1:14" x14ac:dyDescent="0.25">
      <c r="A4" s="2223" t="s">
        <v>169</v>
      </c>
      <c r="B4" s="2223"/>
      <c r="C4" s="2223"/>
      <c r="D4" s="2223"/>
      <c r="E4" s="2223"/>
      <c r="F4" s="2223"/>
      <c r="G4" s="2223"/>
      <c r="H4" s="2223"/>
      <c r="I4" s="2223"/>
      <c r="J4" s="2223"/>
      <c r="K4" s="2223"/>
      <c r="L4" s="2223"/>
      <c r="M4" s="2223"/>
      <c r="N4" s="2223"/>
    </row>
    <row r="5" spans="1:14" x14ac:dyDescent="0.25">
      <c r="A5" s="275"/>
      <c r="B5" s="275"/>
      <c r="C5" s="275"/>
      <c r="D5" s="275"/>
      <c r="E5" s="275"/>
      <c r="F5" s="275"/>
      <c r="G5" s="275"/>
      <c r="H5" s="275"/>
      <c r="I5" s="275"/>
      <c r="J5" s="275"/>
      <c r="K5" s="275"/>
      <c r="L5" s="275"/>
      <c r="M5" s="275"/>
      <c r="N5" s="275"/>
    </row>
    <row r="6" spans="1:14" x14ac:dyDescent="0.25">
      <c r="A6" s="275"/>
      <c r="B6" s="275"/>
      <c r="C6" s="275"/>
      <c r="D6" s="275"/>
      <c r="E6" s="275"/>
      <c r="F6" s="275"/>
      <c r="G6" s="275"/>
      <c r="H6" s="275"/>
      <c r="I6" s="275"/>
      <c r="J6" s="275"/>
      <c r="K6" s="275"/>
      <c r="L6" s="275"/>
      <c r="M6" s="275"/>
      <c r="N6" s="275"/>
    </row>
    <row r="7" spans="1:14" x14ac:dyDescent="0.25">
      <c r="A7" s="7" t="s">
        <v>170</v>
      </c>
    </row>
    <row r="8" spans="1:14" ht="42.75" customHeight="1" x14ac:dyDescent="0.25">
      <c r="A8" s="2233" t="s">
        <v>95</v>
      </c>
      <c r="B8" s="2234" t="s">
        <v>98</v>
      </c>
      <c r="C8" s="2236" t="s">
        <v>140</v>
      </c>
      <c r="D8" s="2237"/>
      <c r="E8" s="2238"/>
      <c r="F8" s="2236" t="s">
        <v>152</v>
      </c>
      <c r="G8" s="2237"/>
      <c r="H8" s="2238"/>
      <c r="I8" s="2236" t="s">
        <v>165</v>
      </c>
      <c r="J8" s="2237"/>
      <c r="K8" s="2238"/>
      <c r="L8" s="2239" t="s">
        <v>120</v>
      </c>
      <c r="M8" s="2239"/>
      <c r="N8" s="2239"/>
    </row>
    <row r="9" spans="1:14" ht="27.75" customHeight="1" x14ac:dyDescent="0.25">
      <c r="A9" s="2233"/>
      <c r="B9" s="2235"/>
      <c r="C9" s="14">
        <v>991</v>
      </c>
      <c r="D9" s="14">
        <v>992</v>
      </c>
      <c r="E9" s="15">
        <v>911</v>
      </c>
      <c r="F9" s="21">
        <v>991</v>
      </c>
      <c r="G9" s="21">
        <v>992</v>
      </c>
      <c r="H9" s="15">
        <v>911</v>
      </c>
      <c r="I9" s="21">
        <v>991</v>
      </c>
      <c r="J9" s="21">
        <v>992</v>
      </c>
      <c r="K9" s="15">
        <v>911</v>
      </c>
      <c r="L9" s="19">
        <v>991</v>
      </c>
      <c r="M9" s="289">
        <v>992</v>
      </c>
      <c r="N9" s="19">
        <v>911</v>
      </c>
    </row>
    <row r="10" spans="1:14" s="13" customFormat="1" ht="38.25" customHeight="1" x14ac:dyDescent="0.25">
      <c r="A10" s="273" t="s">
        <v>111</v>
      </c>
      <c r="B10" s="8">
        <f>'музей 2020'!C28</f>
        <v>64.5</v>
      </c>
      <c r="C10" s="10">
        <f>'музей 2020'!G34</f>
        <v>39360.400000000001</v>
      </c>
      <c r="D10" s="10">
        <f>'музей 2020'!H34</f>
        <v>11661.7</v>
      </c>
      <c r="E10" s="10">
        <v>897</v>
      </c>
      <c r="F10" s="10"/>
      <c r="G10" s="10"/>
      <c r="H10" s="10"/>
      <c r="I10" s="10">
        <f>'музей 2020'!I34</f>
        <v>39360.400000000001</v>
      </c>
      <c r="J10" s="10">
        <f>'музей 2020'!J34+7.1</f>
        <v>11661.7</v>
      </c>
      <c r="K10" s="10">
        <f>'музей 2020'!AH28</f>
        <v>1677</v>
      </c>
      <c r="L10" s="10">
        <f>C10-I10</f>
        <v>0</v>
      </c>
      <c r="M10" s="290">
        <f>D10-J10</f>
        <v>0</v>
      </c>
      <c r="N10" s="10">
        <f t="shared" ref="N10" si="0">E10-K10</f>
        <v>-780</v>
      </c>
    </row>
    <row r="11" spans="1:14" s="13" customFormat="1" x14ac:dyDescent="0.25">
      <c r="A11" s="273" t="s">
        <v>112</v>
      </c>
      <c r="B11" s="8">
        <f>'Родина 2020'!C21</f>
        <v>15.5</v>
      </c>
      <c r="C11" s="10">
        <f>'Родина 2020'!G28</f>
        <v>8874.7000000000007</v>
      </c>
      <c r="D11" s="10">
        <f>'Родина 2020'!H28</f>
        <v>2640.7</v>
      </c>
      <c r="E11" s="10">
        <v>546</v>
      </c>
      <c r="F11" s="10"/>
      <c r="G11" s="10"/>
      <c r="H11" s="10"/>
      <c r="I11" s="10">
        <f>'Родина 2020'!I28</f>
        <v>8874.7000000000007</v>
      </c>
      <c r="J11" s="10">
        <f>'Родина 2020'!J28+4.9</f>
        <v>2640.7</v>
      </c>
      <c r="K11" s="10">
        <f>'Родина 2020'!AH21</f>
        <v>253.5</v>
      </c>
      <c r="L11" s="10">
        <f t="shared" ref="L11:L15" si="1">C11-I11</f>
        <v>0</v>
      </c>
      <c r="M11" s="290">
        <f>D11-J11</f>
        <v>0</v>
      </c>
      <c r="N11" s="10">
        <f t="shared" ref="N11:N15" si="2">E11-K11</f>
        <v>292.5</v>
      </c>
    </row>
    <row r="12" spans="1:14" s="13" customFormat="1" x14ac:dyDescent="0.25">
      <c r="A12" s="273" t="s">
        <v>133</v>
      </c>
      <c r="B12" s="9" t="e">
        <f>#REF!</f>
        <v>#REF!</v>
      </c>
      <c r="C12" s="10" t="e">
        <f>#REF!</f>
        <v>#REF!</v>
      </c>
      <c r="D12" s="10" t="e">
        <f>#REF!</f>
        <v>#REF!</v>
      </c>
      <c r="E12" s="10">
        <v>3224</v>
      </c>
      <c r="F12" s="10" t="e">
        <f>#REF!</f>
        <v>#REF!</v>
      </c>
      <c r="G12" s="10" t="e">
        <f>#REF!</f>
        <v>#REF!</v>
      </c>
      <c r="H12" s="10"/>
      <c r="I12" s="10" t="e">
        <f>#REF!</f>
        <v>#REF!</v>
      </c>
      <c r="J12" s="10" t="e">
        <f>#REF!+39.9</f>
        <v>#REF!</v>
      </c>
      <c r="K12" s="10" t="e">
        <f>#REF!</f>
        <v>#REF!</v>
      </c>
      <c r="L12" s="10" t="e">
        <f t="shared" ref="L12:M14" si="3">C12-I12-F12</f>
        <v>#REF!</v>
      </c>
      <c r="M12" s="290" t="e">
        <f t="shared" si="3"/>
        <v>#REF!</v>
      </c>
      <c r="N12" s="10" t="e">
        <f t="shared" ref="N12" si="4">E12-K12-H12</f>
        <v>#REF!</v>
      </c>
    </row>
    <row r="13" spans="1:14" s="13" customFormat="1" x14ac:dyDescent="0.25">
      <c r="A13" s="273" t="s">
        <v>113</v>
      </c>
      <c r="B13" s="9">
        <f>'ГЦК+Энергия 2020'!C52</f>
        <v>59.75</v>
      </c>
      <c r="C13" s="10">
        <f>'ГЦК+Энергия 2020'!G57</f>
        <v>46179.199999999997</v>
      </c>
      <c r="D13" s="10">
        <f>'ГЦК+Энергия 2020'!H57</f>
        <v>13446.9</v>
      </c>
      <c r="E13" s="10">
        <v>1351.3</v>
      </c>
      <c r="F13" s="10">
        <f>'ГЦК+Энергия 2020'!I57</f>
        <v>678.3</v>
      </c>
      <c r="G13" s="10">
        <f>'ГЦК+Энергия 2020'!J57</f>
        <v>204.8</v>
      </c>
      <c r="H13" s="10"/>
      <c r="I13" s="10">
        <f>'ГЦК+Энергия 2020'!K57</f>
        <v>45500.9</v>
      </c>
      <c r="J13" s="10">
        <f>'ГЦК+Энергия 2020'!L57-106.6</f>
        <v>13242.1</v>
      </c>
      <c r="K13" s="10">
        <f>'ГЦК+Энергия 2020'!AH52</f>
        <v>1924</v>
      </c>
      <c r="L13" s="10">
        <f t="shared" si="3"/>
        <v>0</v>
      </c>
      <c r="M13" s="290">
        <f t="shared" si="3"/>
        <v>0</v>
      </c>
      <c r="N13" s="10">
        <f t="shared" ref="N13" si="5">E13-K13-H13</f>
        <v>-572.70000000000005</v>
      </c>
    </row>
    <row r="14" spans="1:14" s="13" customFormat="1" ht="19.5" customHeight="1" x14ac:dyDescent="0.25">
      <c r="A14" s="273" t="s">
        <v>114</v>
      </c>
      <c r="B14" s="9">
        <f>'Юбилейный 2020'!C25</f>
        <v>19</v>
      </c>
      <c r="C14" s="10">
        <f>'Юбилейный 2020'!G31</f>
        <v>14722.5</v>
      </c>
      <c r="D14" s="10">
        <f>'Юбилейный 2020'!H31</f>
        <v>4245.1000000000004</v>
      </c>
      <c r="E14" s="10">
        <v>429</v>
      </c>
      <c r="F14" s="10"/>
      <c r="G14" s="10"/>
      <c r="H14" s="10"/>
      <c r="I14" s="10">
        <f>'Юбилейный 2020'!I31</f>
        <v>14722.5</v>
      </c>
      <c r="J14" s="10">
        <f>'Юбилейный 2020'!J31-60.5</f>
        <v>4245.1000000000004</v>
      </c>
      <c r="K14" s="10">
        <f>'Юбилейный 2020'!AH25</f>
        <v>370.5</v>
      </c>
      <c r="L14" s="10">
        <f t="shared" si="3"/>
        <v>0</v>
      </c>
      <c r="M14" s="290">
        <f t="shared" si="3"/>
        <v>0</v>
      </c>
      <c r="N14" s="10">
        <f t="shared" ref="N14" si="6">E14-K14-H14</f>
        <v>58.5</v>
      </c>
    </row>
    <row r="15" spans="1:14" s="13" customFormat="1" ht="32.25" customHeight="1" x14ac:dyDescent="0.25">
      <c r="A15" s="273" t="s">
        <v>115</v>
      </c>
      <c r="B15" s="9">
        <f>'Высоцкий 2020'!C28</f>
        <v>25</v>
      </c>
      <c r="C15" s="10">
        <f>'Высоцкий 2020'!G33</f>
        <v>18394</v>
      </c>
      <c r="D15" s="10">
        <f>'Высоцкий 2020'!H33</f>
        <v>5393.9</v>
      </c>
      <c r="E15" s="10">
        <v>799.5</v>
      </c>
      <c r="F15" s="10"/>
      <c r="G15" s="10"/>
      <c r="H15" s="10"/>
      <c r="I15" s="10">
        <f>'Высоцкий 2020'!I33</f>
        <v>18394</v>
      </c>
      <c r="J15" s="10">
        <f>'Высоцкий 2020'!J33-6.9</f>
        <v>5393.9</v>
      </c>
      <c r="K15" s="10">
        <f>'Высоцкий 2020'!AH28</f>
        <v>448.5</v>
      </c>
      <c r="L15" s="10">
        <f t="shared" si="1"/>
        <v>0</v>
      </c>
      <c r="M15" s="290">
        <f>D15-J15</f>
        <v>0</v>
      </c>
      <c r="N15" s="10">
        <f t="shared" si="2"/>
        <v>351</v>
      </c>
    </row>
    <row r="16" spans="1:14" x14ac:dyDescent="0.25">
      <c r="A16" s="16" t="s">
        <v>99</v>
      </c>
      <c r="B16" s="17" t="e">
        <f>SUM(B10:B15)</f>
        <v>#REF!</v>
      </c>
      <c r="C16" s="18" t="e">
        <f t="shared" ref="C16:N16" si="7">SUM(C10:C15)</f>
        <v>#REF!</v>
      </c>
      <c r="D16" s="18" t="e">
        <f t="shared" si="7"/>
        <v>#REF!</v>
      </c>
      <c r="E16" s="18">
        <f t="shared" si="7"/>
        <v>7246.8</v>
      </c>
      <c r="F16" s="18" t="e">
        <f t="shared" si="7"/>
        <v>#REF!</v>
      </c>
      <c r="G16" s="18" t="e">
        <f t="shared" si="7"/>
        <v>#REF!</v>
      </c>
      <c r="H16" s="18">
        <f t="shared" si="7"/>
        <v>0</v>
      </c>
      <c r="I16" s="18" t="e">
        <f t="shared" si="7"/>
        <v>#REF!</v>
      </c>
      <c r="J16" s="18" t="e">
        <f t="shared" si="7"/>
        <v>#REF!</v>
      </c>
      <c r="K16" s="18" t="e">
        <f t="shared" si="7"/>
        <v>#REF!</v>
      </c>
      <c r="L16" s="18" t="e">
        <f t="shared" si="7"/>
        <v>#REF!</v>
      </c>
      <c r="M16" s="18" t="e">
        <f t="shared" si="7"/>
        <v>#REF!</v>
      </c>
      <c r="N16" s="18" t="e">
        <f t="shared" si="7"/>
        <v>#REF!</v>
      </c>
    </row>
    <row r="17" spans="1:14" x14ac:dyDescent="0.25">
      <c r="C17" s="11"/>
      <c r="D17" s="11"/>
      <c r="E17" s="12"/>
      <c r="F17" s="12"/>
      <c r="G17" s="12"/>
      <c r="H17" s="12"/>
      <c r="I17" s="12"/>
      <c r="J17" s="12"/>
      <c r="K17" s="12"/>
    </row>
    <row r="18" spans="1:14" x14ac:dyDescent="0.25">
      <c r="L18" s="2223" t="s">
        <v>171</v>
      </c>
      <c r="M18" s="2223"/>
      <c r="N18" s="2223"/>
    </row>
    <row r="19" spans="1:14" s="20" customFormat="1" ht="20.25" x14ac:dyDescent="0.3">
      <c r="A19" s="1" t="s">
        <v>138</v>
      </c>
      <c r="C19" s="2"/>
      <c r="D19" s="6" t="s">
        <v>166</v>
      </c>
      <c r="E19" s="3"/>
      <c r="F19" s="4"/>
      <c r="G19" s="4"/>
      <c r="H19" s="5"/>
      <c r="I19" s="5"/>
      <c r="J19" s="4"/>
    </row>
    <row r="21" spans="1:14" x14ac:dyDescent="0.25">
      <c r="A21" s="7" t="s">
        <v>151</v>
      </c>
    </row>
    <row r="22" spans="1:14" s="11" customFormat="1" x14ac:dyDescent="0.25">
      <c r="D22" s="11" t="e">
        <f>D16-G16</f>
        <v>#REF!</v>
      </c>
      <c r="E22" s="12"/>
      <c r="F22" s="12"/>
      <c r="G22" s="12"/>
      <c r="H22" s="12"/>
      <c r="I22" s="12"/>
      <c r="J22" s="12"/>
      <c r="K22" s="12"/>
    </row>
    <row r="23" spans="1:14" s="11" customFormat="1" x14ac:dyDescent="0.25">
      <c r="E23" s="12"/>
      <c r="F23" s="12"/>
      <c r="G23" s="12"/>
      <c r="H23" s="12"/>
      <c r="I23" s="12"/>
      <c r="J23" s="12"/>
      <c r="K23" s="12"/>
    </row>
    <row r="24" spans="1:14" s="11" customFormat="1" x14ac:dyDescent="0.25">
      <c r="E24" s="12"/>
      <c r="F24" s="12"/>
      <c r="G24" s="12"/>
      <c r="H24" s="12"/>
      <c r="I24" s="12"/>
      <c r="J24" s="12"/>
      <c r="K24" s="12"/>
    </row>
    <row r="25" spans="1:14" s="11" customFormat="1" x14ac:dyDescent="0.25">
      <c r="E25" s="12"/>
      <c r="F25" s="12"/>
      <c r="G25" s="12"/>
      <c r="H25" s="12"/>
      <c r="I25" s="12"/>
      <c r="J25" s="12"/>
      <c r="K25" s="12"/>
    </row>
    <row r="26" spans="1:14" s="11" customFormat="1" x14ac:dyDescent="0.25">
      <c r="E26" s="12"/>
      <c r="F26" s="12"/>
      <c r="G26" s="12"/>
      <c r="H26" s="12"/>
      <c r="I26" s="12"/>
      <c r="J26" s="12"/>
      <c r="K26" s="12"/>
    </row>
    <row r="27" spans="1:14" s="11" customFormat="1" x14ac:dyDescent="0.25">
      <c r="E27" s="12"/>
      <c r="F27" s="12"/>
      <c r="G27" s="12"/>
      <c r="H27" s="12"/>
      <c r="I27" s="12"/>
      <c r="J27" s="12"/>
      <c r="K27" s="12"/>
    </row>
    <row r="28" spans="1:14" s="11" customFormat="1" x14ac:dyDescent="0.25">
      <c r="E28" s="12"/>
      <c r="F28" s="12"/>
      <c r="G28" s="12"/>
      <c r="H28" s="12"/>
      <c r="I28" s="12"/>
      <c r="J28" s="12"/>
      <c r="K28" s="12"/>
    </row>
    <row r="29" spans="1:14" s="11" customFormat="1" x14ac:dyDescent="0.25">
      <c r="E29" s="12"/>
      <c r="F29" s="12"/>
      <c r="G29" s="12"/>
      <c r="H29" s="12"/>
      <c r="I29" s="12"/>
      <c r="J29" s="12"/>
      <c r="K29" s="12"/>
    </row>
    <row r="30" spans="1:14" s="11" customFormat="1" x14ac:dyDescent="0.25">
      <c r="E30" s="12"/>
      <c r="F30" s="12"/>
      <c r="G30" s="12"/>
      <c r="H30" s="12"/>
      <c r="I30" s="12"/>
      <c r="J30" s="12"/>
      <c r="K30" s="12"/>
    </row>
    <row r="31" spans="1:14" s="11" customFormat="1" x14ac:dyDescent="0.25">
      <c r="E31" s="12"/>
      <c r="F31" s="12"/>
      <c r="G31" s="12"/>
      <c r="H31" s="12"/>
      <c r="I31" s="12"/>
      <c r="J31" s="12"/>
      <c r="K31" s="12"/>
    </row>
    <row r="32" spans="1:14" s="11" customFormat="1" x14ac:dyDescent="0.25">
      <c r="E32" s="12"/>
      <c r="F32" s="12"/>
      <c r="G32" s="12"/>
      <c r="H32" s="12"/>
      <c r="I32" s="12"/>
      <c r="J32" s="12"/>
      <c r="K32" s="12"/>
    </row>
    <row r="33" spans="5:11" s="11" customFormat="1" x14ac:dyDescent="0.25">
      <c r="E33" s="12"/>
      <c r="F33" s="12"/>
      <c r="G33" s="12"/>
      <c r="H33" s="12"/>
      <c r="I33" s="12"/>
      <c r="J33" s="12"/>
      <c r="K33" s="12"/>
    </row>
    <row r="34" spans="5:11" s="11" customFormat="1" x14ac:dyDescent="0.25">
      <c r="E34" s="12"/>
      <c r="F34" s="12"/>
      <c r="G34" s="12"/>
      <c r="H34" s="12"/>
      <c r="I34" s="12"/>
      <c r="J34" s="12"/>
      <c r="K34" s="12"/>
    </row>
    <row r="35" spans="5:11" s="11" customFormat="1" x14ac:dyDescent="0.25">
      <c r="E35" s="12"/>
      <c r="F35" s="12"/>
      <c r="G35" s="12"/>
      <c r="H35" s="12"/>
      <c r="I35" s="12"/>
      <c r="J35" s="12"/>
      <c r="K35" s="12"/>
    </row>
    <row r="36" spans="5:11" s="11" customFormat="1" x14ac:dyDescent="0.25">
      <c r="E36" s="12"/>
      <c r="F36" s="12"/>
      <c r="G36" s="12"/>
      <c r="H36" s="12"/>
      <c r="I36" s="12"/>
      <c r="J36" s="12"/>
      <c r="K36" s="12"/>
    </row>
    <row r="37" spans="5:11" s="11" customFormat="1" x14ac:dyDescent="0.25">
      <c r="E37" s="12"/>
      <c r="F37" s="12"/>
      <c r="G37" s="12"/>
      <c r="H37" s="12"/>
      <c r="I37" s="12"/>
      <c r="J37" s="12"/>
      <c r="K37" s="12"/>
    </row>
    <row r="38" spans="5:11" s="11" customFormat="1" x14ac:dyDescent="0.25">
      <c r="E38" s="12"/>
      <c r="F38" s="12"/>
      <c r="G38" s="12"/>
      <c r="H38" s="12"/>
      <c r="I38" s="12"/>
      <c r="J38" s="12"/>
      <c r="K38" s="12"/>
    </row>
    <row r="39" spans="5:11" s="11" customFormat="1" x14ac:dyDescent="0.25">
      <c r="E39" s="12"/>
      <c r="F39" s="12"/>
      <c r="G39" s="12"/>
      <c r="H39" s="12"/>
      <c r="I39" s="12"/>
      <c r="J39" s="12"/>
      <c r="K39" s="12"/>
    </row>
    <row r="40" spans="5:11" s="11" customFormat="1" x14ac:dyDescent="0.25">
      <c r="E40" s="12"/>
      <c r="F40" s="12"/>
      <c r="G40" s="12"/>
      <c r="H40" s="12"/>
      <c r="I40" s="12"/>
      <c r="J40" s="12"/>
      <c r="K40" s="12"/>
    </row>
    <row r="41" spans="5:11" s="11" customFormat="1" x14ac:dyDescent="0.25">
      <c r="E41" s="12"/>
      <c r="F41" s="12"/>
      <c r="G41" s="12"/>
      <c r="H41" s="12"/>
      <c r="I41" s="12"/>
      <c r="J41" s="12"/>
      <c r="K41" s="12"/>
    </row>
    <row r="42" spans="5:11" s="11" customFormat="1" x14ac:dyDescent="0.25">
      <c r="E42" s="12"/>
      <c r="F42" s="12"/>
      <c r="G42" s="12"/>
      <c r="H42" s="12"/>
      <c r="I42" s="12"/>
      <c r="J42" s="12"/>
      <c r="K42" s="12"/>
    </row>
    <row r="43" spans="5:11" s="11" customFormat="1" x14ac:dyDescent="0.25">
      <c r="E43" s="12"/>
      <c r="F43" s="12"/>
      <c r="G43" s="12"/>
      <c r="H43" s="12"/>
      <c r="I43" s="12"/>
      <c r="J43" s="12"/>
      <c r="K43" s="12"/>
    </row>
    <row r="44" spans="5:11" s="11" customFormat="1" x14ac:dyDescent="0.25">
      <c r="E44" s="12"/>
      <c r="F44" s="12"/>
      <c r="G44" s="12"/>
      <c r="H44" s="12"/>
      <c r="I44" s="12"/>
      <c r="J44" s="12"/>
      <c r="K44" s="12"/>
    </row>
    <row r="45" spans="5:11" s="11" customFormat="1" x14ac:dyDescent="0.25">
      <c r="E45" s="12"/>
      <c r="F45" s="12"/>
      <c r="G45" s="12"/>
      <c r="H45" s="12"/>
      <c r="I45" s="12"/>
      <c r="J45" s="12"/>
      <c r="K45" s="12"/>
    </row>
    <row r="46" spans="5:11" s="11" customFormat="1" x14ac:dyDescent="0.25">
      <c r="E46" s="12"/>
      <c r="F46" s="12"/>
      <c r="G46" s="12"/>
      <c r="H46" s="12"/>
      <c r="I46" s="12"/>
      <c r="J46" s="12"/>
      <c r="K46" s="12"/>
    </row>
  </sheetData>
  <mergeCells count="9">
    <mergeCell ref="L18:N18"/>
    <mergeCell ref="A2:N2"/>
    <mergeCell ref="A4:N4"/>
    <mergeCell ref="L8:N8"/>
    <mergeCell ref="A8:A9"/>
    <mergeCell ref="B8:B9"/>
    <mergeCell ref="C8:E8"/>
    <mergeCell ref="F8:H8"/>
    <mergeCell ref="I8:K8"/>
  </mergeCells>
  <pageMargins left="0.19685039370078741" right="0.19685039370078741" top="0.74803149606299213" bottom="0.74803149606299213" header="0.31496062992125984" footer="0.31496062992125984"/>
  <pageSetup paperSize="9" scale="66"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E13"/>
  <sheetViews>
    <sheetView view="pageBreakPreview" zoomScale="90" zoomScaleNormal="100" zoomScaleSheetLayoutView="90" workbookViewId="0">
      <selection activeCell="E9" sqref="E9"/>
    </sheetView>
  </sheetViews>
  <sheetFormatPr defaultRowHeight="39" customHeight="1" x14ac:dyDescent="0.25"/>
  <cols>
    <col min="1" max="1" width="33.33203125" style="500" customWidth="1"/>
    <col min="2" max="4" width="28.6640625" style="500" customWidth="1"/>
    <col min="5" max="5" width="22" style="500" customWidth="1"/>
    <col min="6" max="16384" width="9.33203125" style="500"/>
  </cols>
  <sheetData>
    <row r="1" spans="1:5" ht="73.5" customHeight="1" x14ac:dyDescent="0.25">
      <c r="A1" s="2497" t="s">
        <v>1732</v>
      </c>
      <c r="B1" s="2497"/>
      <c r="C1" s="2497"/>
      <c r="D1" s="2497"/>
      <c r="E1" s="2497"/>
    </row>
    <row r="2" spans="1:5" ht="17.25" customHeight="1" x14ac:dyDescent="0.25">
      <c r="A2" s="2500" t="s">
        <v>1253</v>
      </c>
      <c r="B2" s="2500"/>
      <c r="C2" s="2500"/>
      <c r="D2" s="2500"/>
      <c r="E2" s="2500"/>
    </row>
    <row r="3" spans="1:5" ht="18.75" customHeight="1" x14ac:dyDescent="0.25">
      <c r="A3" s="2498" t="s">
        <v>900</v>
      </c>
      <c r="B3" s="2498" t="s">
        <v>901</v>
      </c>
      <c r="C3" s="2501" t="s">
        <v>902</v>
      </c>
      <c r="D3" s="2501" t="s">
        <v>903</v>
      </c>
      <c r="E3" s="501" t="s">
        <v>418</v>
      </c>
    </row>
    <row r="4" spans="1:5" ht="25.5" customHeight="1" x14ac:dyDescent="0.25">
      <c r="A4" s="2498"/>
      <c r="B4" s="2498"/>
      <c r="C4" s="2502"/>
      <c r="D4" s="2502"/>
      <c r="E4" s="501" t="s">
        <v>428</v>
      </c>
    </row>
    <row r="5" spans="1:5" ht="45.75" customHeight="1" x14ac:dyDescent="0.25">
      <c r="A5" s="2498"/>
      <c r="B5" s="2498"/>
      <c r="C5" s="2503"/>
      <c r="D5" s="2503"/>
      <c r="E5" s="501" t="s">
        <v>419</v>
      </c>
    </row>
    <row r="6" spans="1:5" ht="15.75" customHeight="1" x14ac:dyDescent="0.25">
      <c r="A6" s="501">
        <v>1</v>
      </c>
      <c r="B6" s="501">
        <v>2</v>
      </c>
      <c r="C6" s="501">
        <v>3</v>
      </c>
      <c r="D6" s="501">
        <v>4</v>
      </c>
      <c r="E6" s="501">
        <v>5</v>
      </c>
    </row>
    <row r="7" spans="1:5" ht="141.75" x14ac:dyDescent="0.25">
      <c r="A7" s="504" t="s">
        <v>1253</v>
      </c>
      <c r="B7" s="501" t="s">
        <v>1716</v>
      </c>
      <c r="C7" s="501" t="s">
        <v>1765</v>
      </c>
      <c r="D7" s="501" t="s">
        <v>1766</v>
      </c>
      <c r="E7" s="503">
        <v>991507</v>
      </c>
    </row>
    <row r="8" spans="1:5" ht="19.5" customHeight="1" x14ac:dyDescent="0.25">
      <c r="A8" s="504"/>
      <c r="B8" s="501"/>
      <c r="C8" s="501"/>
      <c r="D8" s="501"/>
      <c r="E8" s="503"/>
    </row>
    <row r="9" spans="1:5" s="507" customFormat="1" ht="19.5" customHeight="1" x14ac:dyDescent="0.25">
      <c r="A9" s="526"/>
      <c r="B9" s="508"/>
      <c r="C9" s="508"/>
      <c r="D9" s="508"/>
      <c r="E9" s="506">
        <f>SUM(E7:E8)</f>
        <v>991507</v>
      </c>
    </row>
    <row r="10" spans="1:5" ht="22.5" customHeight="1" x14ac:dyDescent="0.25"/>
    <row r="11" spans="1:5" ht="24" customHeight="1" x14ac:dyDescent="0.25">
      <c r="A11" s="500" t="s">
        <v>885</v>
      </c>
    </row>
    <row r="12" spans="1:5" ht="23.25" customHeight="1" x14ac:dyDescent="0.25"/>
    <row r="13" spans="1:5" ht="23.25" customHeight="1" x14ac:dyDescent="0.25">
      <c r="A13" s="500" t="s">
        <v>410</v>
      </c>
    </row>
  </sheetData>
  <mergeCells count="6">
    <mergeCell ref="A1:E1"/>
    <mergeCell ref="A3:A5"/>
    <mergeCell ref="B3:B5"/>
    <mergeCell ref="C3:C5"/>
    <mergeCell ref="D3:D5"/>
    <mergeCell ref="A2:E2"/>
  </mergeCells>
  <pageMargins left="0.7" right="0.7" top="0.75" bottom="0.75" header="0.3" footer="0.3"/>
  <pageSetup paperSize="9" scale="6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39997558519241921"/>
  </sheetPr>
  <dimension ref="A1:E24"/>
  <sheetViews>
    <sheetView view="pageBreakPreview" zoomScaleNormal="100" zoomScaleSheetLayoutView="100" workbookViewId="0">
      <selection activeCell="C15" sqref="C15"/>
    </sheetView>
  </sheetViews>
  <sheetFormatPr defaultRowHeight="15" x14ac:dyDescent="0.25"/>
  <cols>
    <col min="1" max="1" width="53.5" style="323" customWidth="1"/>
    <col min="2" max="2" width="8.6640625" style="323" customWidth="1"/>
    <col min="3" max="5" width="26" style="323" customWidth="1"/>
    <col min="6" max="16384" width="9.33203125" style="323"/>
  </cols>
  <sheetData>
    <row r="1" spans="1:5" ht="20.25" customHeight="1" x14ac:dyDescent="0.25">
      <c r="A1" s="2506" t="s">
        <v>1764</v>
      </c>
      <c r="B1" s="2506"/>
      <c r="C1" s="2506"/>
      <c r="D1" s="2506"/>
      <c r="E1" s="2506"/>
    </row>
    <row r="2" spans="1:5" ht="20.25" customHeight="1" x14ac:dyDescent="0.25">
      <c r="A2" s="2506" t="s">
        <v>1253</v>
      </c>
      <c r="B2" s="2506"/>
      <c r="C2" s="2506"/>
      <c r="D2" s="2506"/>
      <c r="E2" s="2506"/>
    </row>
    <row r="3" spans="1:5" x14ac:dyDescent="0.25">
      <c r="A3" s="2070"/>
      <c r="B3" s="2070"/>
      <c r="C3" s="2070"/>
      <c r="D3" s="2070"/>
      <c r="E3" s="2071">
        <v>43829</v>
      </c>
    </row>
    <row r="4" spans="1:5" x14ac:dyDescent="0.25">
      <c r="A4" s="2504" t="s">
        <v>416</v>
      </c>
      <c r="B4" s="2504" t="s">
        <v>417</v>
      </c>
      <c r="C4" s="2504" t="s">
        <v>418</v>
      </c>
      <c r="D4" s="2504"/>
      <c r="E4" s="2504"/>
    </row>
    <row r="5" spans="1:5" x14ac:dyDescent="0.25">
      <c r="A5" s="2504"/>
      <c r="B5" s="2504"/>
      <c r="C5" s="527" t="s">
        <v>428</v>
      </c>
      <c r="D5" s="527" t="s">
        <v>429</v>
      </c>
      <c r="E5" s="527" t="s">
        <v>430</v>
      </c>
    </row>
    <row r="6" spans="1:5" ht="30" x14ac:dyDescent="0.25">
      <c r="A6" s="2504"/>
      <c r="B6" s="2504"/>
      <c r="C6" s="527" t="s">
        <v>419</v>
      </c>
      <c r="D6" s="527" t="s">
        <v>420</v>
      </c>
      <c r="E6" s="527" t="s">
        <v>421</v>
      </c>
    </row>
    <row r="7" spans="1:5" x14ac:dyDescent="0.25">
      <c r="A7" s="527">
        <v>1</v>
      </c>
      <c r="B7" s="527">
        <v>2</v>
      </c>
      <c r="C7" s="527">
        <v>3</v>
      </c>
      <c r="D7" s="527">
        <v>4</v>
      </c>
      <c r="E7" s="527">
        <v>5</v>
      </c>
    </row>
    <row r="8" spans="1:5" ht="32.25" customHeight="1" x14ac:dyDescent="0.25">
      <c r="A8" s="479" t="s">
        <v>836</v>
      </c>
      <c r="B8" s="527">
        <v>100</v>
      </c>
      <c r="C8" s="528"/>
      <c r="D8" s="528"/>
      <c r="E8" s="528"/>
    </row>
    <row r="9" spans="1:5" ht="59.25" customHeight="1" x14ac:dyDescent="0.25">
      <c r="A9" s="479" t="s">
        <v>837</v>
      </c>
      <c r="B9" s="527">
        <v>200</v>
      </c>
      <c r="C9" s="528"/>
      <c r="D9" s="528"/>
      <c r="E9" s="528"/>
    </row>
    <row r="10" spans="1:5" x14ac:dyDescent="0.25">
      <c r="A10" s="479" t="s">
        <v>904</v>
      </c>
      <c r="B10" s="527">
        <v>300</v>
      </c>
      <c r="C10" s="528">
        <f>C11+C18</f>
        <v>1006300</v>
      </c>
      <c r="D10" s="528">
        <f>D11+D18</f>
        <v>906300</v>
      </c>
      <c r="E10" s="528">
        <f>E11+E18</f>
        <v>906300</v>
      </c>
    </row>
    <row r="11" spans="1:5" x14ac:dyDescent="0.25">
      <c r="A11" s="479" t="s">
        <v>440</v>
      </c>
      <c r="B11" s="2504">
        <v>310</v>
      </c>
      <c r="C11" s="2505">
        <f>SUM(C13:C17)</f>
        <v>1006300</v>
      </c>
      <c r="D11" s="2505">
        <f t="shared" ref="D11:E11" si="0">SUM(D13:D17)</f>
        <v>906300</v>
      </c>
      <c r="E11" s="2505">
        <f t="shared" si="0"/>
        <v>906300</v>
      </c>
    </row>
    <row r="12" spans="1:5" x14ac:dyDescent="0.25">
      <c r="A12" s="479" t="s">
        <v>905</v>
      </c>
      <c r="B12" s="2504"/>
      <c r="C12" s="2505"/>
      <c r="D12" s="2505"/>
      <c r="E12" s="2505"/>
    </row>
    <row r="13" spans="1:5" ht="48.75" customHeight="1" x14ac:dyDescent="0.25">
      <c r="A13" s="479" t="s">
        <v>906</v>
      </c>
      <c r="B13" s="527">
        <v>311</v>
      </c>
      <c r="C13" s="528">
        <f>'иные стр1210(130)культ'!B9</f>
        <v>860500</v>
      </c>
      <c r="D13" s="528">
        <f>'иные стр1210(130)культ'!C9</f>
        <v>760500</v>
      </c>
      <c r="E13" s="528">
        <f>'иные стр1210(130)культ'!D9</f>
        <v>760500</v>
      </c>
    </row>
    <row r="14" spans="1:5" ht="28.5" customHeight="1" x14ac:dyDescent="0.25">
      <c r="A14" s="479" t="s">
        <v>907</v>
      </c>
      <c r="B14" s="527">
        <v>312</v>
      </c>
      <c r="C14" s="528">
        <f>'иные стр1210(130)культ'!B10</f>
        <v>0</v>
      </c>
      <c r="D14" s="528">
        <f>'иные стр1210(130)культ'!C10</f>
        <v>0</v>
      </c>
      <c r="E14" s="528">
        <f>'иные стр1210(130)культ'!D10</f>
        <v>0</v>
      </c>
    </row>
    <row r="15" spans="1:5" ht="60" x14ac:dyDescent="0.25">
      <c r="A15" s="479" t="s">
        <v>908</v>
      </c>
      <c r="B15" s="766">
        <v>313</v>
      </c>
      <c r="C15" s="767">
        <f>'иные стр1210(130)культ'!B12</f>
        <v>145800</v>
      </c>
      <c r="D15" s="767">
        <f>'иные стр1210(130)культ'!C12</f>
        <v>145800</v>
      </c>
      <c r="E15" s="767">
        <f>'иные стр1210(130)культ'!D12</f>
        <v>145800</v>
      </c>
    </row>
    <row r="16" spans="1:5" ht="75" x14ac:dyDescent="0.25">
      <c r="A16" s="479" t="s">
        <v>909</v>
      </c>
      <c r="B16" s="527">
        <v>314</v>
      </c>
      <c r="C16" s="528">
        <f>'иные стр1210(130)культ'!B13</f>
        <v>0</v>
      </c>
      <c r="D16" s="528">
        <f>'иные стр1210(130)культ'!C13</f>
        <v>0</v>
      </c>
      <c r="E16" s="528">
        <f>'иные стр1210(130)культ'!D13</f>
        <v>0</v>
      </c>
    </row>
    <row r="17" spans="1:5" ht="60" x14ac:dyDescent="0.25">
      <c r="A17" s="479" t="s">
        <v>910</v>
      </c>
      <c r="B17" s="527">
        <v>315</v>
      </c>
      <c r="C17" s="528">
        <f>'иные стр1210(130)культ'!B14</f>
        <v>0</v>
      </c>
      <c r="D17" s="731">
        <f>'иные стр1210(130)культ'!C14</f>
        <v>0</v>
      </c>
      <c r="E17" s="731">
        <f>'иные стр1210(130)культ'!D14</f>
        <v>0</v>
      </c>
    </row>
    <row r="18" spans="1:5" ht="30" customHeight="1" x14ac:dyDescent="0.25">
      <c r="A18" s="479" t="s">
        <v>911</v>
      </c>
      <c r="B18" s="527">
        <v>320</v>
      </c>
      <c r="C18" s="528">
        <f>'иные стр1210(130)культ'!B11</f>
        <v>0</v>
      </c>
      <c r="D18" s="528">
        <f>'иные стр1210(130)культ'!C11</f>
        <v>0</v>
      </c>
      <c r="E18" s="528">
        <f>'иные стр1210(130)культ'!D11</f>
        <v>0</v>
      </c>
    </row>
    <row r="19" spans="1:5" ht="57.75" customHeight="1" x14ac:dyDescent="0.25">
      <c r="A19" s="479" t="s">
        <v>912</v>
      </c>
      <c r="B19" s="527">
        <v>321</v>
      </c>
      <c r="C19" s="528"/>
      <c r="D19" s="528"/>
      <c r="E19" s="528"/>
    </row>
    <row r="20" spans="1:5" ht="27.75" customHeight="1" x14ac:dyDescent="0.25">
      <c r="A20" s="479" t="s">
        <v>848</v>
      </c>
      <c r="B20" s="527">
        <v>400</v>
      </c>
      <c r="C20" s="528"/>
      <c r="D20" s="528"/>
      <c r="E20" s="528"/>
    </row>
    <row r="21" spans="1:5" ht="58.5" customHeight="1" x14ac:dyDescent="0.25">
      <c r="A21" s="479" t="s">
        <v>849</v>
      </c>
      <c r="B21" s="527">
        <v>500</v>
      </c>
      <c r="C21" s="528"/>
      <c r="D21" s="528"/>
      <c r="E21" s="528"/>
    </row>
    <row r="22" spans="1:5" s="332" customFormat="1" ht="42" customHeight="1" x14ac:dyDescent="0.25">
      <c r="A22" s="329" t="s">
        <v>913</v>
      </c>
      <c r="B22" s="330">
        <v>600</v>
      </c>
      <c r="C22" s="331">
        <f>C8-C9+C10-C20+C21</f>
        <v>1006300</v>
      </c>
      <c r="D22" s="331">
        <f>D8-D9+D10-D20+D21</f>
        <v>906300</v>
      </c>
      <c r="E22" s="331">
        <f>E8-E9+E10-E20+E21</f>
        <v>906300</v>
      </c>
    </row>
    <row r="23" spans="1:5" x14ac:dyDescent="0.25">
      <c r="C23" s="750"/>
      <c r="D23" s="750"/>
      <c r="E23" s="750"/>
    </row>
    <row r="24" spans="1:5" x14ac:dyDescent="0.25">
      <c r="C24" s="328"/>
      <c r="D24" s="328"/>
      <c r="E24" s="328"/>
    </row>
  </sheetData>
  <mergeCells count="9">
    <mergeCell ref="B11:B12"/>
    <mergeCell ref="C11:C12"/>
    <mergeCell ref="D11:D12"/>
    <mergeCell ref="E11:E12"/>
    <mergeCell ref="A1:E1"/>
    <mergeCell ref="A2:E2"/>
    <mergeCell ref="A4:A6"/>
    <mergeCell ref="B4:B6"/>
    <mergeCell ref="C4:E4"/>
  </mergeCells>
  <pageMargins left="0.7" right="0.7" top="0.75" bottom="0.75" header="0.3" footer="0.3"/>
  <pageSetup paperSize="9" scale="6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39997558519241921"/>
  </sheetPr>
  <dimension ref="A1:E19"/>
  <sheetViews>
    <sheetView view="pageBreakPreview" topLeftCell="A14" zoomScaleNormal="100" zoomScaleSheetLayoutView="100" workbookViewId="0">
      <selection activeCell="A29" sqref="A29"/>
    </sheetView>
  </sheetViews>
  <sheetFormatPr defaultRowHeight="15" x14ac:dyDescent="0.25"/>
  <cols>
    <col min="1" max="1" width="53.5" style="323" customWidth="1"/>
    <col min="2" max="2" width="8.6640625" style="323" customWidth="1"/>
    <col min="3" max="5" width="26" style="323" customWidth="1"/>
    <col min="6" max="16384" width="9.33203125" style="323"/>
  </cols>
  <sheetData>
    <row r="1" spans="1:5" ht="30.75" customHeight="1" x14ac:dyDescent="0.25">
      <c r="A1" s="2507" t="s">
        <v>914</v>
      </c>
      <c r="B1" s="2507"/>
      <c r="C1" s="2507"/>
      <c r="D1" s="2507"/>
      <c r="E1" s="2507"/>
    </row>
    <row r="2" spans="1:5" ht="19.5" customHeight="1" x14ac:dyDescent="0.25">
      <c r="A2" s="2507" t="s">
        <v>1253</v>
      </c>
      <c r="B2" s="2507"/>
      <c r="C2" s="2507"/>
      <c r="D2" s="2507"/>
      <c r="E2" s="2507"/>
    </row>
    <row r="3" spans="1:5" x14ac:dyDescent="0.25">
      <c r="A3" s="2508"/>
      <c r="B3" s="2508"/>
      <c r="C3" s="2508"/>
      <c r="D3" s="2508"/>
      <c r="E3" s="2508"/>
    </row>
    <row r="4" spans="1:5" s="511" customFormat="1" x14ac:dyDescent="0.25">
      <c r="A4" s="2494" t="s">
        <v>416</v>
      </c>
      <c r="B4" s="2494" t="s">
        <v>417</v>
      </c>
      <c r="C4" s="2494" t="s">
        <v>418</v>
      </c>
      <c r="D4" s="2494"/>
      <c r="E4" s="2494"/>
    </row>
    <row r="5" spans="1:5" s="511" customFormat="1" x14ac:dyDescent="0.25">
      <c r="A5" s="2494"/>
      <c r="B5" s="2494"/>
      <c r="C5" s="513" t="s">
        <v>428</v>
      </c>
      <c r="D5" s="513" t="s">
        <v>429</v>
      </c>
      <c r="E5" s="513" t="s">
        <v>430</v>
      </c>
    </row>
    <row r="6" spans="1:5" s="511" customFormat="1" ht="30" x14ac:dyDescent="0.25">
      <c r="A6" s="2494"/>
      <c r="B6" s="2494"/>
      <c r="C6" s="513" t="s">
        <v>419</v>
      </c>
      <c r="D6" s="513" t="s">
        <v>420</v>
      </c>
      <c r="E6" s="513" t="s">
        <v>421</v>
      </c>
    </row>
    <row r="7" spans="1:5" s="511" customFormat="1" x14ac:dyDescent="0.25">
      <c r="A7" s="513">
        <v>1</v>
      </c>
      <c r="B7" s="513">
        <v>2</v>
      </c>
      <c r="C7" s="513">
        <v>3</v>
      </c>
      <c r="D7" s="513">
        <v>4</v>
      </c>
      <c r="E7" s="513">
        <v>5</v>
      </c>
    </row>
    <row r="8" spans="1:5" s="511" customFormat="1" ht="32.25" customHeight="1" x14ac:dyDescent="0.25">
      <c r="A8" s="517" t="s">
        <v>915</v>
      </c>
      <c r="B8" s="513">
        <v>100</v>
      </c>
      <c r="C8" s="518"/>
      <c r="D8" s="518"/>
      <c r="E8" s="518"/>
    </row>
    <row r="9" spans="1:5" s="511" customFormat="1" ht="13.5" customHeight="1" x14ac:dyDescent="0.25">
      <c r="A9" s="517" t="s">
        <v>440</v>
      </c>
      <c r="B9" s="513">
        <v>101</v>
      </c>
      <c r="C9" s="518"/>
      <c r="D9" s="518"/>
      <c r="E9" s="518"/>
    </row>
    <row r="10" spans="1:5" s="511" customFormat="1" x14ac:dyDescent="0.25">
      <c r="A10" s="517"/>
      <c r="B10" s="513"/>
      <c r="C10" s="518"/>
      <c r="D10" s="518"/>
      <c r="E10" s="518"/>
    </row>
    <row r="11" spans="1:5" s="511" customFormat="1" ht="45" x14ac:dyDescent="0.25">
      <c r="A11" s="517" t="s">
        <v>916</v>
      </c>
      <c r="B11" s="513">
        <v>200</v>
      </c>
      <c r="C11" s="529"/>
      <c r="D11" s="529"/>
      <c r="E11" s="529"/>
    </row>
    <row r="12" spans="1:5" s="511" customFormat="1" x14ac:dyDescent="0.25">
      <c r="A12" s="517" t="s">
        <v>440</v>
      </c>
      <c r="B12" s="513">
        <v>201</v>
      </c>
      <c r="C12" s="529"/>
      <c r="D12" s="529"/>
      <c r="E12" s="529"/>
    </row>
    <row r="13" spans="1:5" s="511" customFormat="1" ht="17.25" customHeight="1" x14ac:dyDescent="0.25">
      <c r="A13" s="517"/>
      <c r="B13" s="513"/>
      <c r="C13" s="518"/>
      <c r="D13" s="518"/>
      <c r="E13" s="518"/>
    </row>
    <row r="14" spans="1:5" s="511" customFormat="1" ht="43.5" customHeight="1" x14ac:dyDescent="0.25">
      <c r="A14" s="517" t="s">
        <v>917</v>
      </c>
      <c r="B14" s="513">
        <v>300</v>
      </c>
      <c r="C14" s="518"/>
      <c r="D14" s="518"/>
      <c r="E14" s="518"/>
    </row>
    <row r="15" spans="1:5" s="511" customFormat="1" x14ac:dyDescent="0.25">
      <c r="A15" s="517" t="s">
        <v>440</v>
      </c>
      <c r="B15" s="513">
        <v>301</v>
      </c>
      <c r="C15" s="518"/>
      <c r="D15" s="518"/>
      <c r="E15" s="518"/>
    </row>
    <row r="16" spans="1:5" s="511" customFormat="1" x14ac:dyDescent="0.25">
      <c r="A16" s="517"/>
      <c r="B16" s="513"/>
      <c r="C16" s="518"/>
      <c r="D16" s="518"/>
      <c r="E16" s="518"/>
    </row>
    <row r="17" spans="1:5" s="511" customFormat="1" x14ac:dyDescent="0.25">
      <c r="A17" s="517" t="s">
        <v>918</v>
      </c>
      <c r="B17" s="513">
        <v>400</v>
      </c>
      <c r="C17" s="518"/>
      <c r="D17" s="518"/>
      <c r="E17" s="518"/>
    </row>
    <row r="18" spans="1:5" s="511" customFormat="1" ht="18" customHeight="1" x14ac:dyDescent="0.25">
      <c r="A18" s="517" t="s">
        <v>440</v>
      </c>
      <c r="B18" s="513">
        <v>401</v>
      </c>
      <c r="C18" s="518"/>
      <c r="D18" s="518"/>
      <c r="E18" s="518"/>
    </row>
    <row r="19" spans="1:5" s="524" customFormat="1" ht="17.25" customHeight="1" x14ac:dyDescent="0.2">
      <c r="A19" s="521" t="s">
        <v>97</v>
      </c>
      <c r="B19" s="522"/>
      <c r="C19" s="523"/>
      <c r="D19" s="523"/>
      <c r="E19" s="523"/>
    </row>
  </sheetData>
  <mergeCells count="6">
    <mergeCell ref="A1:E1"/>
    <mergeCell ref="A2:E2"/>
    <mergeCell ref="A3:E3"/>
    <mergeCell ref="A4:A6"/>
    <mergeCell ref="B4:B6"/>
    <mergeCell ref="C4:E4"/>
  </mergeCells>
  <pageMargins left="0.7" right="0.7" top="0.75" bottom="0.75" header="0.3" footer="0.3"/>
  <pageSetup paperSize="9" scale="6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J16"/>
  <sheetViews>
    <sheetView view="pageBreakPreview" zoomScaleNormal="100" zoomScaleSheetLayoutView="100" workbookViewId="0">
      <selection activeCell="B13" sqref="B13"/>
    </sheetView>
  </sheetViews>
  <sheetFormatPr defaultRowHeight="15" x14ac:dyDescent="0.25"/>
  <cols>
    <col min="1" max="1" width="84.5" style="313" customWidth="1"/>
    <col min="2" max="4" width="19.33203125" style="313" customWidth="1"/>
    <col min="5" max="7" width="15.33203125" style="313" customWidth="1"/>
    <col min="8" max="8" width="12" style="313" customWidth="1"/>
    <col min="9" max="10" width="10.33203125" style="313" customWidth="1"/>
    <col min="11" max="16384" width="9.33203125" style="313"/>
  </cols>
  <sheetData>
    <row r="1" spans="1:10" ht="26.25" customHeight="1" x14ac:dyDescent="0.25">
      <c r="A1" s="2451" t="s">
        <v>924</v>
      </c>
      <c r="B1" s="2451"/>
      <c r="C1" s="2451"/>
      <c r="D1" s="2451"/>
    </row>
    <row r="2" spans="1:10" ht="27" customHeight="1" x14ac:dyDescent="0.25">
      <c r="A2" s="2450" t="s">
        <v>1253</v>
      </c>
      <c r="B2" s="2450"/>
      <c r="C2" s="2450"/>
      <c r="D2" s="2450"/>
    </row>
    <row r="3" spans="1:10" ht="27" customHeight="1" x14ac:dyDescent="0.25">
      <c r="A3" s="2066"/>
      <c r="B3" s="2065"/>
      <c r="C3" s="2065"/>
      <c r="D3" s="686">
        <v>43829</v>
      </c>
    </row>
    <row r="4" spans="1:10" ht="45" customHeight="1" x14ac:dyDescent="0.25">
      <c r="A4" s="2447" t="s">
        <v>213</v>
      </c>
      <c r="B4" s="2444" t="s">
        <v>868</v>
      </c>
      <c r="C4" s="2445"/>
      <c r="D4" s="2446"/>
    </row>
    <row r="5" spans="1:10" x14ac:dyDescent="0.25">
      <c r="A5" s="2448"/>
      <c r="B5" s="509" t="s">
        <v>428</v>
      </c>
      <c r="C5" s="509" t="s">
        <v>429</v>
      </c>
      <c r="D5" s="509" t="s">
        <v>429</v>
      </c>
    </row>
    <row r="6" spans="1:10" ht="45" x14ac:dyDescent="0.25">
      <c r="A6" s="2449"/>
      <c r="B6" s="509" t="s">
        <v>419</v>
      </c>
      <c r="C6" s="509" t="s">
        <v>420</v>
      </c>
      <c r="D6" s="509" t="s">
        <v>421</v>
      </c>
      <c r="E6" s="313" t="s">
        <v>919</v>
      </c>
      <c r="H6" s="313" t="s">
        <v>197</v>
      </c>
    </row>
    <row r="7" spans="1:10" x14ac:dyDescent="0.25">
      <c r="A7" s="560">
        <v>1</v>
      </c>
      <c r="B7" s="509">
        <v>2</v>
      </c>
      <c r="C7" s="509">
        <v>3</v>
      </c>
      <c r="D7" s="509">
        <v>4</v>
      </c>
      <c r="E7" s="559">
        <v>2020</v>
      </c>
      <c r="F7" s="559">
        <v>2021</v>
      </c>
      <c r="G7" s="559">
        <v>2022</v>
      </c>
      <c r="H7" s="559">
        <v>2020</v>
      </c>
      <c r="I7" s="559">
        <v>2021</v>
      </c>
      <c r="J7" s="559">
        <v>2022</v>
      </c>
    </row>
    <row r="8" spans="1:10" x14ac:dyDescent="0.25">
      <c r="A8" s="559" t="s">
        <v>927</v>
      </c>
      <c r="B8" s="731"/>
      <c r="C8" s="731"/>
      <c r="D8" s="731"/>
      <c r="E8" s="559"/>
      <c r="F8" s="559"/>
      <c r="G8" s="559"/>
      <c r="H8" s="562">
        <f t="shared" ref="H8:H13" si="0">B8-E8</f>
        <v>0</v>
      </c>
      <c r="I8" s="562">
        <f t="shared" ref="I8:J13" si="1">C8-F8</f>
        <v>0</v>
      </c>
      <c r="J8" s="562">
        <f t="shared" si="1"/>
        <v>0</v>
      </c>
    </row>
    <row r="9" spans="1:10" x14ac:dyDescent="0.25">
      <c r="A9" s="559" t="s">
        <v>928</v>
      </c>
      <c r="B9" s="731">
        <f>'иные КВР 112 (01.01.20)'!C10+'иные КВР 321(01.01.20)'!C10</f>
        <v>860500</v>
      </c>
      <c r="C9" s="767">
        <f>'иные КВР 112 (01.01.20)'!D12+'иные КВР 321(01.01.20)'!D10</f>
        <v>760500</v>
      </c>
      <c r="D9" s="767">
        <f>'иные КВР 112 (01.01.20)'!E10+'иные КВР 321(01.01.20)'!E10</f>
        <v>760500</v>
      </c>
      <c r="E9" s="559">
        <v>860500</v>
      </c>
      <c r="F9" s="559">
        <v>760500</v>
      </c>
      <c r="G9" s="559">
        <v>760500</v>
      </c>
      <c r="H9" s="562">
        <f t="shared" si="0"/>
        <v>0</v>
      </c>
      <c r="I9" s="562">
        <f t="shared" si="1"/>
        <v>0</v>
      </c>
      <c r="J9" s="562">
        <f t="shared" si="1"/>
        <v>0</v>
      </c>
    </row>
    <row r="10" spans="1:10" x14ac:dyDescent="0.25">
      <c r="A10" s="559" t="s">
        <v>907</v>
      </c>
      <c r="B10" s="731">
        <v>0</v>
      </c>
      <c r="C10" s="731">
        <v>0</v>
      </c>
      <c r="D10" s="731">
        <v>0</v>
      </c>
      <c r="E10" s="559">
        <v>0</v>
      </c>
      <c r="F10" s="559">
        <v>0</v>
      </c>
      <c r="G10" s="559">
        <v>0</v>
      </c>
      <c r="H10" s="562">
        <f t="shared" si="0"/>
        <v>0</v>
      </c>
      <c r="I10" s="562">
        <f t="shared" si="1"/>
        <v>0</v>
      </c>
      <c r="J10" s="562">
        <f t="shared" si="1"/>
        <v>0</v>
      </c>
    </row>
    <row r="11" spans="1:10" x14ac:dyDescent="0.25">
      <c r="A11" s="559" t="s">
        <v>929</v>
      </c>
      <c r="B11" s="731">
        <f>'(81600) КВР 244 (01.01.20)'!C10</f>
        <v>0</v>
      </c>
      <c r="C11" s="731">
        <f>'(81600) КВР 244 (01.01.20)'!D10</f>
        <v>0</v>
      </c>
      <c r="D11" s="731">
        <f>'(81600) КВР 244 (01.01.20)'!E10</f>
        <v>0</v>
      </c>
      <c r="E11" s="559">
        <v>0</v>
      </c>
      <c r="F11" s="559">
        <v>0</v>
      </c>
      <c r="G11" s="559">
        <v>0</v>
      </c>
      <c r="H11" s="562">
        <f t="shared" si="0"/>
        <v>0</v>
      </c>
      <c r="I11" s="562">
        <f t="shared" si="1"/>
        <v>0</v>
      </c>
      <c r="J11" s="562">
        <f t="shared" si="1"/>
        <v>0</v>
      </c>
    </row>
    <row r="12" spans="1:10" x14ac:dyDescent="0.25">
      <c r="A12" s="559" t="s">
        <v>1661</v>
      </c>
      <c r="B12" s="767">
        <f>'ОД КВР 113(01.01.20)'!C14+'ОД КВР 244 (13.04.20)'!C33</f>
        <v>145800</v>
      </c>
      <c r="C12" s="767">
        <f>'ОД КВР 113(01.01.20)'!D14</f>
        <v>145800</v>
      </c>
      <c r="D12" s="767">
        <f>'ОД КВР 113(01.01.20)'!E14</f>
        <v>145800</v>
      </c>
      <c r="E12" s="559">
        <v>145800</v>
      </c>
      <c r="F12" s="559">
        <v>145800</v>
      </c>
      <c r="G12" s="559">
        <v>145800</v>
      </c>
      <c r="H12" s="562">
        <f t="shared" ref="H12" si="2">B12-E12</f>
        <v>0</v>
      </c>
      <c r="I12" s="562">
        <f t="shared" ref="I12" si="3">C12-F12</f>
        <v>0</v>
      </c>
      <c r="J12" s="562">
        <f t="shared" ref="J12" si="4">D12-G12</f>
        <v>0</v>
      </c>
    </row>
    <row r="13" spans="1:10" ht="45" customHeight="1" x14ac:dyDescent="0.25">
      <c r="A13" s="561" t="s">
        <v>909</v>
      </c>
      <c r="B13" s="731">
        <v>0</v>
      </c>
      <c r="C13" s="731">
        <f>'75 лет КВР 113(01.01.20)'!D10+'75 лет КВР 244 (01.01.20)'!D10</f>
        <v>0</v>
      </c>
      <c r="D13" s="731">
        <f>'75 лет КВР 113(01.01.20)'!E10+'75 лет КВР 244 (01.01.20)'!E10</f>
        <v>0</v>
      </c>
      <c r="E13" s="559">
        <v>0</v>
      </c>
      <c r="F13" s="559">
        <v>0</v>
      </c>
      <c r="G13" s="559">
        <v>0</v>
      </c>
      <c r="H13" s="562">
        <f t="shared" si="0"/>
        <v>0</v>
      </c>
      <c r="I13" s="562">
        <f t="shared" si="1"/>
        <v>0</v>
      </c>
      <c r="J13" s="562">
        <f t="shared" si="1"/>
        <v>0</v>
      </c>
    </row>
    <row r="14" spans="1:10" ht="45" customHeight="1" x14ac:dyDescent="0.25">
      <c r="A14" s="561" t="s">
        <v>910</v>
      </c>
      <c r="B14" s="731">
        <v>0</v>
      </c>
      <c r="C14" s="731">
        <f>'ЖКХ КВР 244 (01.01.20)'!D10</f>
        <v>0</v>
      </c>
      <c r="D14" s="731">
        <f>'ЖКХ КВР 244 (01.01.20)'!E10</f>
        <v>0</v>
      </c>
      <c r="E14" s="559">
        <v>0</v>
      </c>
      <c r="F14" s="559">
        <v>0</v>
      </c>
      <c r="G14" s="559">
        <v>0</v>
      </c>
      <c r="H14" s="562"/>
      <c r="I14" s="562"/>
      <c r="J14" s="562"/>
    </row>
    <row r="15" spans="1:10" s="555" customFormat="1" x14ac:dyDescent="0.25">
      <c r="A15" s="563" t="s">
        <v>930</v>
      </c>
      <c r="B15" s="731">
        <f>SUM(B8:B14)</f>
        <v>1006300</v>
      </c>
      <c r="C15" s="731">
        <f t="shared" ref="C15:D15" si="5">SUM(C8:C14)</f>
        <v>906300</v>
      </c>
      <c r="D15" s="731">
        <f t="shared" si="5"/>
        <v>906300</v>
      </c>
    </row>
    <row r="16" spans="1:10" x14ac:dyDescent="0.25">
      <c r="B16" s="531"/>
      <c r="C16" s="531"/>
      <c r="D16" s="531"/>
    </row>
  </sheetData>
  <mergeCells count="4">
    <mergeCell ref="A1:D1"/>
    <mergeCell ref="A2:D2"/>
    <mergeCell ref="A4:A6"/>
    <mergeCell ref="B4:D4"/>
  </mergeCells>
  <pageMargins left="0.70866141732283472" right="0.70866141732283472" top="0.74803149606299213" bottom="0.74803149606299213"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FFFF"/>
  </sheetPr>
  <dimension ref="A1:E13"/>
  <sheetViews>
    <sheetView view="pageBreakPreview" zoomScale="80" zoomScaleNormal="100" zoomScaleSheetLayoutView="80" workbookViewId="0">
      <selection activeCell="C4" sqref="C4:E4"/>
    </sheetView>
  </sheetViews>
  <sheetFormatPr defaultRowHeight="39.75" customHeight="1" x14ac:dyDescent="0.25"/>
  <cols>
    <col min="1" max="1" width="47.33203125" style="365" customWidth="1"/>
    <col min="2" max="2" width="10" style="365" customWidth="1"/>
    <col min="3" max="5" width="25.83203125" style="365" customWidth="1"/>
    <col min="6" max="16384" width="9.33203125" style="365"/>
  </cols>
  <sheetData>
    <row r="1" spans="1:5" ht="39.75" customHeight="1" x14ac:dyDescent="0.25">
      <c r="A1" s="2509" t="s">
        <v>532</v>
      </c>
      <c r="B1" s="2509"/>
      <c r="C1" s="2509"/>
      <c r="D1" s="2509"/>
      <c r="E1" s="2509"/>
    </row>
    <row r="2" spans="1:5" ht="24" customHeight="1" x14ac:dyDescent="0.25">
      <c r="A2" s="2509" t="s">
        <v>1253</v>
      </c>
      <c r="B2" s="2509"/>
      <c r="C2" s="2509"/>
      <c r="D2" s="2509"/>
      <c r="E2" s="2509"/>
    </row>
    <row r="3" spans="1:5" ht="13.5" customHeight="1" x14ac:dyDescent="0.25">
      <c r="A3" s="366"/>
      <c r="B3" s="366"/>
      <c r="C3" s="366"/>
      <c r="D3" s="366"/>
      <c r="E3" s="367">
        <v>43875</v>
      </c>
    </row>
    <row r="4" spans="1:5" ht="39.75" customHeight="1" x14ac:dyDescent="0.25">
      <c r="A4" s="2454" t="s">
        <v>416</v>
      </c>
      <c r="B4" s="2454" t="s">
        <v>417</v>
      </c>
      <c r="C4" s="2454" t="s">
        <v>418</v>
      </c>
      <c r="D4" s="2454"/>
      <c r="E4" s="2454"/>
    </row>
    <row r="5" spans="1:5" ht="39.75" customHeight="1" x14ac:dyDescent="0.25">
      <c r="A5" s="2454"/>
      <c r="B5" s="2454"/>
      <c r="C5" s="368" t="s">
        <v>428</v>
      </c>
      <c r="D5" s="368" t="s">
        <v>429</v>
      </c>
      <c r="E5" s="368" t="s">
        <v>430</v>
      </c>
    </row>
    <row r="6" spans="1:5" ht="39.75" customHeight="1" x14ac:dyDescent="0.25">
      <c r="A6" s="2454"/>
      <c r="B6" s="2454"/>
      <c r="C6" s="368" t="s">
        <v>419</v>
      </c>
      <c r="D6" s="368" t="s">
        <v>420</v>
      </c>
      <c r="E6" s="368" t="s">
        <v>421</v>
      </c>
    </row>
    <row r="7" spans="1:5" ht="16.5" customHeight="1" x14ac:dyDescent="0.25">
      <c r="A7" s="368">
        <v>1</v>
      </c>
      <c r="B7" s="368">
        <v>2</v>
      </c>
      <c r="C7" s="368">
        <v>3</v>
      </c>
      <c r="D7" s="368">
        <v>4</v>
      </c>
      <c r="E7" s="368">
        <v>5</v>
      </c>
    </row>
    <row r="8" spans="1:5" ht="46.5" customHeight="1" x14ac:dyDescent="0.25">
      <c r="A8" s="369" t="s">
        <v>422</v>
      </c>
      <c r="B8" s="368">
        <v>100</v>
      </c>
      <c r="C8" s="370"/>
      <c r="D8" s="370"/>
      <c r="E8" s="370"/>
    </row>
    <row r="9" spans="1:5" ht="44.25" customHeight="1" x14ac:dyDescent="0.25">
      <c r="A9" s="369" t="s">
        <v>423</v>
      </c>
      <c r="B9" s="368">
        <v>200</v>
      </c>
      <c r="C9" s="370"/>
      <c r="D9" s="370"/>
      <c r="E9" s="370"/>
    </row>
    <row r="10" spans="1:5" ht="26.25" customHeight="1" x14ac:dyDescent="0.25">
      <c r="A10" s="369" t="s">
        <v>424</v>
      </c>
      <c r="B10" s="368">
        <v>300</v>
      </c>
      <c r="C10" s="370">
        <f>'б-т 991,992,911 (14.02.20)-2020'!Q26*1000</f>
        <v>24846200</v>
      </c>
      <c r="D10" s="370">
        <f>'б-т 991,992,911 (01.01.20)-2021'!Q26*1000</f>
        <v>24668800</v>
      </c>
      <c r="E10" s="370">
        <f>'б-т 991,992,911 (01.01.20)-2022'!Q26*1000</f>
        <v>24668800</v>
      </c>
    </row>
    <row r="11" spans="1:5" ht="46.5" customHeight="1" x14ac:dyDescent="0.25">
      <c r="A11" s="369" t="s">
        <v>425</v>
      </c>
      <c r="B11" s="368">
        <v>400</v>
      </c>
      <c r="C11" s="370"/>
      <c r="D11" s="370"/>
      <c r="E11" s="370"/>
    </row>
    <row r="12" spans="1:5" ht="49.5" customHeight="1" x14ac:dyDescent="0.25">
      <c r="A12" s="369" t="s">
        <v>426</v>
      </c>
      <c r="B12" s="368">
        <v>500</v>
      </c>
      <c r="C12" s="370"/>
      <c r="D12" s="370"/>
      <c r="E12" s="370"/>
    </row>
    <row r="13" spans="1:5" s="374" customFormat="1" ht="39.75" customHeight="1" x14ac:dyDescent="0.2">
      <c r="A13" s="371" t="s">
        <v>536</v>
      </c>
      <c r="B13" s="372">
        <v>600</v>
      </c>
      <c r="C13" s="373">
        <f>C8-C9+C10-C11+C12</f>
        <v>24846200</v>
      </c>
      <c r="D13" s="373">
        <f t="shared" ref="D13:E13" si="0">D8-D9+D10-D11+D12</f>
        <v>24668800</v>
      </c>
      <c r="E13" s="373">
        <f t="shared" si="0"/>
        <v>24668800</v>
      </c>
    </row>
  </sheetData>
  <mergeCells count="5">
    <mergeCell ref="A1:E1"/>
    <mergeCell ref="A2:E2"/>
    <mergeCell ref="A4:A6"/>
    <mergeCell ref="B4:B6"/>
    <mergeCell ref="C4:E4"/>
  </mergeCells>
  <pageMargins left="0.7" right="0.7" top="0.75" bottom="0.75" header="0.3" footer="0.3"/>
  <pageSetup paperSize="9" scale="7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FFFF"/>
  </sheetPr>
  <dimension ref="A1:E13"/>
  <sheetViews>
    <sheetView view="pageBreakPreview" zoomScaleNormal="100" zoomScaleSheetLayoutView="100" workbookViewId="0">
      <selection activeCell="A3" sqref="A3:E3"/>
    </sheetView>
  </sheetViews>
  <sheetFormatPr defaultRowHeight="15" x14ac:dyDescent="0.25"/>
  <cols>
    <col min="1" max="1" width="52.33203125" style="365" customWidth="1"/>
    <col min="2" max="2" width="9.6640625" style="365" customWidth="1"/>
    <col min="3" max="5" width="24.33203125" style="365" customWidth="1"/>
    <col min="6" max="16384" width="9.33203125" style="365"/>
  </cols>
  <sheetData>
    <row r="1" spans="1:5" ht="52.5" customHeight="1" x14ac:dyDescent="0.25">
      <c r="A1" s="2509" t="s">
        <v>1686</v>
      </c>
      <c r="B1" s="2509"/>
      <c r="C1" s="2509"/>
      <c r="D1" s="2509"/>
      <c r="E1" s="2509"/>
    </row>
    <row r="2" spans="1:5" ht="13.5" customHeight="1" x14ac:dyDescent="0.25">
      <c r="A2" s="366"/>
      <c r="B2" s="366"/>
      <c r="C2" s="366"/>
      <c r="D2" s="366"/>
      <c r="E2" s="367">
        <v>43875</v>
      </c>
    </row>
    <row r="3" spans="1:5" ht="21.75" customHeight="1" x14ac:dyDescent="0.25">
      <c r="A3" s="2510" t="s">
        <v>1253</v>
      </c>
      <c r="B3" s="2510"/>
      <c r="C3" s="2510"/>
      <c r="D3" s="2510"/>
      <c r="E3" s="2510"/>
    </row>
    <row r="4" spans="1:5" x14ac:dyDescent="0.25">
      <c r="A4" s="2454" t="s">
        <v>416</v>
      </c>
      <c r="B4" s="2454" t="s">
        <v>417</v>
      </c>
      <c r="C4" s="2454" t="s">
        <v>418</v>
      </c>
      <c r="D4" s="2454"/>
      <c r="E4" s="2454"/>
    </row>
    <row r="5" spans="1:5" x14ac:dyDescent="0.25">
      <c r="A5" s="2454"/>
      <c r="B5" s="2454"/>
      <c r="C5" s="368" t="s">
        <v>428</v>
      </c>
      <c r="D5" s="368" t="s">
        <v>429</v>
      </c>
      <c r="E5" s="368" t="s">
        <v>430</v>
      </c>
    </row>
    <row r="6" spans="1:5" ht="28.5" customHeight="1" x14ac:dyDescent="0.25">
      <c r="A6" s="2454"/>
      <c r="B6" s="2454"/>
      <c r="C6" s="368" t="s">
        <v>419</v>
      </c>
      <c r="D6" s="368" t="s">
        <v>420</v>
      </c>
      <c r="E6" s="368" t="s">
        <v>421</v>
      </c>
    </row>
    <row r="7" spans="1:5" x14ac:dyDescent="0.25">
      <c r="A7" s="368">
        <v>1</v>
      </c>
      <c r="B7" s="368">
        <v>2</v>
      </c>
      <c r="C7" s="368">
        <v>3</v>
      </c>
      <c r="D7" s="368">
        <v>4</v>
      </c>
      <c r="E7" s="368">
        <v>5</v>
      </c>
    </row>
    <row r="8" spans="1:5" ht="30" customHeight="1" x14ac:dyDescent="0.25">
      <c r="A8" s="369" t="s">
        <v>431</v>
      </c>
      <c r="B8" s="368">
        <v>100</v>
      </c>
      <c r="C8" s="370"/>
      <c r="D8" s="370"/>
      <c r="E8" s="370"/>
    </row>
    <row r="9" spans="1:5" ht="42" customHeight="1" x14ac:dyDescent="0.25">
      <c r="A9" s="369" t="s">
        <v>432</v>
      </c>
      <c r="B9" s="368">
        <v>200</v>
      </c>
      <c r="C9" s="370"/>
      <c r="D9" s="370"/>
      <c r="E9" s="370"/>
    </row>
    <row r="10" spans="1:5" ht="28.5" customHeight="1" x14ac:dyDescent="0.25">
      <c r="A10" s="369" t="s">
        <v>433</v>
      </c>
      <c r="B10" s="368">
        <v>300</v>
      </c>
      <c r="C10" s="370">
        <f>'б-т 991,992,911 (14.02.20)-2020'!R26*1000</f>
        <v>7442000</v>
      </c>
      <c r="D10" s="370">
        <f>'б-т 991,992,911 (01.01.20)-2021'!R26*1000</f>
        <v>7388300</v>
      </c>
      <c r="E10" s="370">
        <f>'б-т 991,992,911 (01.01.20)-2022'!R26*1000</f>
        <v>7388300</v>
      </c>
    </row>
    <row r="11" spans="1:5" ht="33" customHeight="1" x14ac:dyDescent="0.25">
      <c r="A11" s="369" t="s">
        <v>434</v>
      </c>
      <c r="B11" s="368">
        <v>400</v>
      </c>
      <c r="C11" s="370"/>
      <c r="D11" s="370"/>
      <c r="E11" s="370"/>
    </row>
    <row r="12" spans="1:5" ht="42.75" customHeight="1" x14ac:dyDescent="0.25">
      <c r="A12" s="369" t="s">
        <v>435</v>
      </c>
      <c r="B12" s="368">
        <v>500</v>
      </c>
      <c r="C12" s="370"/>
      <c r="D12" s="370"/>
      <c r="E12" s="370"/>
    </row>
    <row r="13" spans="1:5" s="374" customFormat="1" ht="44.25" customHeight="1" x14ac:dyDescent="0.2">
      <c r="A13" s="371" t="s">
        <v>537</v>
      </c>
      <c r="B13" s="372">
        <v>600</v>
      </c>
      <c r="C13" s="373">
        <f>C8-C9+C10-C11+C12</f>
        <v>7442000</v>
      </c>
      <c r="D13" s="373">
        <f t="shared" ref="D13:E13" si="0">D8-D9+D10-D11+D12</f>
        <v>7388300</v>
      </c>
      <c r="E13" s="373">
        <f t="shared" si="0"/>
        <v>7388300</v>
      </c>
    </row>
  </sheetData>
  <mergeCells count="5">
    <mergeCell ref="A1:E1"/>
    <mergeCell ref="A3:E3"/>
    <mergeCell ref="A4:A6"/>
    <mergeCell ref="B4:B6"/>
    <mergeCell ref="C4:E4"/>
  </mergeCells>
  <pageMargins left="0.7" right="0.7" top="0.75" bottom="0.75" header="0.3" footer="0.3"/>
  <pageSetup paperSize="9" scale="6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C000"/>
    <pageSetUpPr fitToPage="1"/>
  </sheetPr>
  <dimension ref="A1:AR61"/>
  <sheetViews>
    <sheetView view="pageBreakPreview" zoomScale="70" zoomScaleNormal="80" zoomScaleSheetLayoutView="70" workbookViewId="0">
      <pane xSplit="2" ySplit="8" topLeftCell="C9" activePane="bottomRight" state="frozen"/>
      <selection activeCell="X14" sqref="X14"/>
      <selection pane="topRight" activeCell="X14" sqref="X14"/>
      <selection pane="bottomLeft" activeCell="X14" sqref="X14"/>
      <selection pane="bottomRight" activeCell="AI4" sqref="AI4"/>
    </sheetView>
  </sheetViews>
  <sheetFormatPr defaultRowHeight="12.75" x14ac:dyDescent="0.2"/>
  <cols>
    <col min="1" max="1" width="12.1640625" style="1365" customWidth="1"/>
    <col min="2" max="2" width="30.83203125" style="1366" customWidth="1"/>
    <col min="3" max="3" width="16.1640625" style="1366" customWidth="1"/>
    <col min="4" max="4" width="14" style="1366" customWidth="1"/>
    <col min="5" max="5" width="13" style="1366" customWidth="1"/>
    <col min="6" max="6" width="14.6640625" style="1366" customWidth="1"/>
    <col min="7" max="7" width="11.83203125" style="1366" customWidth="1"/>
    <col min="8" max="8" width="11.6640625" style="1366" customWidth="1"/>
    <col min="9" max="9" width="12.5" style="1366" customWidth="1"/>
    <col min="10" max="10" width="11.33203125" style="1366" customWidth="1"/>
    <col min="11" max="11" width="17" style="1366" customWidth="1"/>
    <col min="12" max="12" width="12.1640625" style="1366" customWidth="1"/>
    <col min="13" max="18" width="13" style="1366" customWidth="1"/>
    <col min="19" max="19" width="13.1640625" style="1366" customWidth="1"/>
    <col min="20" max="20" width="15" style="1366" customWidth="1"/>
    <col min="21" max="21" width="12.5" style="1366" customWidth="1"/>
    <col min="22" max="22" width="11.6640625" style="1366" customWidth="1"/>
    <col min="23" max="23" width="14.1640625" style="1366" customWidth="1"/>
    <col min="24" max="24" width="12" style="1366" customWidth="1"/>
    <col min="25" max="25" width="8.5" style="1366" customWidth="1"/>
    <col min="26" max="26" width="10.1640625" style="1366" customWidth="1"/>
    <col min="27" max="27" width="10.6640625" style="1366" customWidth="1"/>
    <col min="28" max="28" width="8.5" style="1366" customWidth="1"/>
    <col min="29" max="29" width="10" style="1366" customWidth="1"/>
    <col min="30" max="31" width="8.5" style="1366" customWidth="1"/>
    <col min="32" max="32" width="10.83203125" style="1366" customWidth="1"/>
    <col min="33" max="33" width="9.5" style="1366" customWidth="1"/>
    <col min="34" max="34" width="9.33203125" style="1366" customWidth="1"/>
    <col min="35" max="35" width="14.6640625" style="1366" customWidth="1"/>
    <col min="36" max="36" width="14.5" style="1366" customWidth="1"/>
    <col min="37" max="37" width="12.6640625" style="1366" bestFit="1" customWidth="1"/>
    <col min="38" max="38" width="9.6640625" style="1366" hidden="1" customWidth="1"/>
    <col min="39" max="39" width="9.5" style="1366" hidden="1" customWidth="1"/>
    <col min="40" max="40" width="9.33203125" style="1366"/>
    <col min="41" max="41" width="14.5" style="1366" bestFit="1" customWidth="1"/>
    <col min="42" max="256" width="9.33203125" style="1366"/>
    <col min="257" max="257" width="12.1640625" style="1366" customWidth="1"/>
    <col min="258" max="258" width="30.83203125" style="1366" customWidth="1"/>
    <col min="259" max="259" width="13.83203125" style="1366" customWidth="1"/>
    <col min="260" max="260" width="14" style="1366" customWidth="1"/>
    <col min="261" max="261" width="13" style="1366" customWidth="1"/>
    <col min="262" max="262" width="14.6640625" style="1366" customWidth="1"/>
    <col min="263" max="263" width="11.83203125" style="1366" customWidth="1"/>
    <col min="264" max="264" width="11.6640625" style="1366" customWidth="1"/>
    <col min="265" max="265" width="12.5" style="1366" customWidth="1"/>
    <col min="266" max="266" width="11.33203125" style="1366" customWidth="1"/>
    <col min="267" max="267" width="17" style="1366" customWidth="1"/>
    <col min="268" max="268" width="12.1640625" style="1366" customWidth="1"/>
    <col min="269" max="274" width="13" style="1366" customWidth="1"/>
    <col min="275" max="275" width="13.1640625" style="1366" customWidth="1"/>
    <col min="276" max="276" width="15" style="1366" customWidth="1"/>
    <col min="277" max="277" width="12.5" style="1366" customWidth="1"/>
    <col min="278" max="278" width="11.6640625" style="1366" customWidth="1"/>
    <col min="279" max="279" width="14.1640625" style="1366" customWidth="1"/>
    <col min="280" max="280" width="12" style="1366" customWidth="1"/>
    <col min="281" max="281" width="8.5" style="1366" customWidth="1"/>
    <col min="282" max="282" width="10.1640625" style="1366" customWidth="1"/>
    <col min="283" max="283" width="10.6640625" style="1366" customWidth="1"/>
    <col min="284" max="284" width="8.5" style="1366" customWidth="1"/>
    <col min="285" max="285" width="10" style="1366" customWidth="1"/>
    <col min="286" max="287" width="8.5" style="1366" customWidth="1"/>
    <col min="288" max="288" width="10.83203125" style="1366" customWidth="1"/>
    <col min="289" max="289" width="9.5" style="1366" customWidth="1"/>
    <col min="290" max="290" width="9.33203125" style="1366" customWidth="1"/>
    <col min="291" max="291" width="13" style="1366" customWidth="1"/>
    <col min="292" max="292" width="14.5" style="1366" customWidth="1"/>
    <col min="293" max="293" width="12.6640625" style="1366" bestFit="1" customWidth="1"/>
    <col min="294" max="295" width="0" style="1366" hidden="1" customWidth="1"/>
    <col min="296" max="296" width="9.33203125" style="1366"/>
    <col min="297" max="297" width="14.5" style="1366" bestFit="1" customWidth="1"/>
    <col min="298" max="512" width="9.33203125" style="1366"/>
    <col min="513" max="513" width="12.1640625" style="1366" customWidth="1"/>
    <col min="514" max="514" width="30.83203125" style="1366" customWidth="1"/>
    <col min="515" max="515" width="13.83203125" style="1366" customWidth="1"/>
    <col min="516" max="516" width="14" style="1366" customWidth="1"/>
    <col min="517" max="517" width="13" style="1366" customWidth="1"/>
    <col min="518" max="518" width="14.6640625" style="1366" customWidth="1"/>
    <col min="519" max="519" width="11.83203125" style="1366" customWidth="1"/>
    <col min="520" max="520" width="11.6640625" style="1366" customWidth="1"/>
    <col min="521" max="521" width="12.5" style="1366" customWidth="1"/>
    <col min="522" max="522" width="11.33203125" style="1366" customWidth="1"/>
    <col min="523" max="523" width="17" style="1366" customWidth="1"/>
    <col min="524" max="524" width="12.1640625" style="1366" customWidth="1"/>
    <col min="525" max="530" width="13" style="1366" customWidth="1"/>
    <col min="531" max="531" width="13.1640625" style="1366" customWidth="1"/>
    <col min="532" max="532" width="15" style="1366" customWidth="1"/>
    <col min="533" max="533" width="12.5" style="1366" customWidth="1"/>
    <col min="534" max="534" width="11.6640625" style="1366" customWidth="1"/>
    <col min="535" max="535" width="14.1640625" style="1366" customWidth="1"/>
    <col min="536" max="536" width="12" style="1366" customWidth="1"/>
    <col min="537" max="537" width="8.5" style="1366" customWidth="1"/>
    <col min="538" max="538" width="10.1640625" style="1366" customWidth="1"/>
    <col min="539" max="539" width="10.6640625" style="1366" customWidth="1"/>
    <col min="540" max="540" width="8.5" style="1366" customWidth="1"/>
    <col min="541" max="541" width="10" style="1366" customWidth="1"/>
    <col min="542" max="543" width="8.5" style="1366" customWidth="1"/>
    <col min="544" max="544" width="10.83203125" style="1366" customWidth="1"/>
    <col min="545" max="545" width="9.5" style="1366" customWidth="1"/>
    <col min="546" max="546" width="9.33203125" style="1366" customWidth="1"/>
    <col min="547" max="547" width="13" style="1366" customWidth="1"/>
    <col min="548" max="548" width="14.5" style="1366" customWidth="1"/>
    <col min="549" max="549" width="12.6640625" style="1366" bestFit="1" customWidth="1"/>
    <col min="550" max="551" width="0" style="1366" hidden="1" customWidth="1"/>
    <col min="552" max="552" width="9.33203125" style="1366"/>
    <col min="553" max="553" width="14.5" style="1366" bestFit="1" customWidth="1"/>
    <col min="554" max="768" width="9.33203125" style="1366"/>
    <col min="769" max="769" width="12.1640625" style="1366" customWidth="1"/>
    <col min="770" max="770" width="30.83203125" style="1366" customWidth="1"/>
    <col min="771" max="771" width="13.83203125" style="1366" customWidth="1"/>
    <col min="772" max="772" width="14" style="1366" customWidth="1"/>
    <col min="773" max="773" width="13" style="1366" customWidth="1"/>
    <col min="774" max="774" width="14.6640625" style="1366" customWidth="1"/>
    <col min="775" max="775" width="11.83203125" style="1366" customWidth="1"/>
    <col min="776" max="776" width="11.6640625" style="1366" customWidth="1"/>
    <col min="777" max="777" width="12.5" style="1366" customWidth="1"/>
    <col min="778" max="778" width="11.33203125" style="1366" customWidth="1"/>
    <col min="779" max="779" width="17" style="1366" customWidth="1"/>
    <col min="780" max="780" width="12.1640625" style="1366" customWidth="1"/>
    <col min="781" max="786" width="13" style="1366" customWidth="1"/>
    <col min="787" max="787" width="13.1640625" style="1366" customWidth="1"/>
    <col min="788" max="788" width="15" style="1366" customWidth="1"/>
    <col min="789" max="789" width="12.5" style="1366" customWidth="1"/>
    <col min="790" max="790" width="11.6640625" style="1366" customWidth="1"/>
    <col min="791" max="791" width="14.1640625" style="1366" customWidth="1"/>
    <col min="792" max="792" width="12" style="1366" customWidth="1"/>
    <col min="793" max="793" width="8.5" style="1366" customWidth="1"/>
    <col min="794" max="794" width="10.1640625" style="1366" customWidth="1"/>
    <col min="795" max="795" width="10.6640625" style="1366" customWidth="1"/>
    <col min="796" max="796" width="8.5" style="1366" customWidth="1"/>
    <col min="797" max="797" width="10" style="1366" customWidth="1"/>
    <col min="798" max="799" width="8.5" style="1366" customWidth="1"/>
    <col min="800" max="800" width="10.83203125" style="1366" customWidth="1"/>
    <col min="801" max="801" width="9.5" style="1366" customWidth="1"/>
    <col min="802" max="802" width="9.33203125" style="1366" customWidth="1"/>
    <col min="803" max="803" width="13" style="1366" customWidth="1"/>
    <col min="804" max="804" width="14.5" style="1366" customWidth="1"/>
    <col min="805" max="805" width="12.6640625" style="1366" bestFit="1" customWidth="1"/>
    <col min="806" max="807" width="0" style="1366" hidden="1" customWidth="1"/>
    <col min="808" max="808" width="9.33203125" style="1366"/>
    <col min="809" max="809" width="14.5" style="1366" bestFit="1" customWidth="1"/>
    <col min="810" max="1024" width="9.33203125" style="1366"/>
    <col min="1025" max="1025" width="12.1640625" style="1366" customWidth="1"/>
    <col min="1026" max="1026" width="30.83203125" style="1366" customWidth="1"/>
    <col min="1027" max="1027" width="13.83203125" style="1366" customWidth="1"/>
    <col min="1028" max="1028" width="14" style="1366" customWidth="1"/>
    <col min="1029" max="1029" width="13" style="1366" customWidth="1"/>
    <col min="1030" max="1030" width="14.6640625" style="1366" customWidth="1"/>
    <col min="1031" max="1031" width="11.83203125" style="1366" customWidth="1"/>
    <col min="1032" max="1032" width="11.6640625" style="1366" customWidth="1"/>
    <col min="1033" max="1033" width="12.5" style="1366" customWidth="1"/>
    <col min="1034" max="1034" width="11.33203125" style="1366" customWidth="1"/>
    <col min="1035" max="1035" width="17" style="1366" customWidth="1"/>
    <col min="1036" max="1036" width="12.1640625" style="1366" customWidth="1"/>
    <col min="1037" max="1042" width="13" style="1366" customWidth="1"/>
    <col min="1043" max="1043" width="13.1640625" style="1366" customWidth="1"/>
    <col min="1044" max="1044" width="15" style="1366" customWidth="1"/>
    <col min="1045" max="1045" width="12.5" style="1366" customWidth="1"/>
    <col min="1046" max="1046" width="11.6640625" style="1366" customWidth="1"/>
    <col min="1047" max="1047" width="14.1640625" style="1366" customWidth="1"/>
    <col min="1048" max="1048" width="12" style="1366" customWidth="1"/>
    <col min="1049" max="1049" width="8.5" style="1366" customWidth="1"/>
    <col min="1050" max="1050" width="10.1640625" style="1366" customWidth="1"/>
    <col min="1051" max="1051" width="10.6640625" style="1366" customWidth="1"/>
    <col min="1052" max="1052" width="8.5" style="1366" customWidth="1"/>
    <col min="1053" max="1053" width="10" style="1366" customWidth="1"/>
    <col min="1054" max="1055" width="8.5" style="1366" customWidth="1"/>
    <col min="1056" max="1056" width="10.83203125" style="1366" customWidth="1"/>
    <col min="1057" max="1057" width="9.5" style="1366" customWidth="1"/>
    <col min="1058" max="1058" width="9.33203125" style="1366" customWidth="1"/>
    <col min="1059" max="1059" width="13" style="1366" customWidth="1"/>
    <col min="1060" max="1060" width="14.5" style="1366" customWidth="1"/>
    <col min="1061" max="1061" width="12.6640625" style="1366" bestFit="1" customWidth="1"/>
    <col min="1062" max="1063" width="0" style="1366" hidden="1" customWidth="1"/>
    <col min="1064" max="1064" width="9.33203125" style="1366"/>
    <col min="1065" max="1065" width="14.5" style="1366" bestFit="1" customWidth="1"/>
    <col min="1066" max="1280" width="9.33203125" style="1366"/>
    <col min="1281" max="1281" width="12.1640625" style="1366" customWidth="1"/>
    <col min="1282" max="1282" width="30.83203125" style="1366" customWidth="1"/>
    <col min="1283" max="1283" width="13.83203125" style="1366" customWidth="1"/>
    <col min="1284" max="1284" width="14" style="1366" customWidth="1"/>
    <col min="1285" max="1285" width="13" style="1366" customWidth="1"/>
    <col min="1286" max="1286" width="14.6640625" style="1366" customWidth="1"/>
    <col min="1287" max="1287" width="11.83203125" style="1366" customWidth="1"/>
    <col min="1288" max="1288" width="11.6640625" style="1366" customWidth="1"/>
    <col min="1289" max="1289" width="12.5" style="1366" customWidth="1"/>
    <col min="1290" max="1290" width="11.33203125" style="1366" customWidth="1"/>
    <col min="1291" max="1291" width="17" style="1366" customWidth="1"/>
    <col min="1292" max="1292" width="12.1640625" style="1366" customWidth="1"/>
    <col min="1293" max="1298" width="13" style="1366" customWidth="1"/>
    <col min="1299" max="1299" width="13.1640625" style="1366" customWidth="1"/>
    <col min="1300" max="1300" width="15" style="1366" customWidth="1"/>
    <col min="1301" max="1301" width="12.5" style="1366" customWidth="1"/>
    <col min="1302" max="1302" width="11.6640625" style="1366" customWidth="1"/>
    <col min="1303" max="1303" width="14.1640625" style="1366" customWidth="1"/>
    <col min="1304" max="1304" width="12" style="1366" customWidth="1"/>
    <col min="1305" max="1305" width="8.5" style="1366" customWidth="1"/>
    <col min="1306" max="1306" width="10.1640625" style="1366" customWidth="1"/>
    <col min="1307" max="1307" width="10.6640625" style="1366" customWidth="1"/>
    <col min="1308" max="1308" width="8.5" style="1366" customWidth="1"/>
    <col min="1309" max="1309" width="10" style="1366" customWidth="1"/>
    <col min="1310" max="1311" width="8.5" style="1366" customWidth="1"/>
    <col min="1312" max="1312" width="10.83203125" style="1366" customWidth="1"/>
    <col min="1313" max="1313" width="9.5" style="1366" customWidth="1"/>
    <col min="1314" max="1314" width="9.33203125" style="1366" customWidth="1"/>
    <col min="1315" max="1315" width="13" style="1366" customWidth="1"/>
    <col min="1316" max="1316" width="14.5" style="1366" customWidth="1"/>
    <col min="1317" max="1317" width="12.6640625" style="1366" bestFit="1" customWidth="1"/>
    <col min="1318" max="1319" width="0" style="1366" hidden="1" customWidth="1"/>
    <col min="1320" max="1320" width="9.33203125" style="1366"/>
    <col min="1321" max="1321" width="14.5" style="1366" bestFit="1" customWidth="1"/>
    <col min="1322" max="1536" width="9.33203125" style="1366"/>
    <col min="1537" max="1537" width="12.1640625" style="1366" customWidth="1"/>
    <col min="1538" max="1538" width="30.83203125" style="1366" customWidth="1"/>
    <col min="1539" max="1539" width="13.83203125" style="1366" customWidth="1"/>
    <col min="1540" max="1540" width="14" style="1366" customWidth="1"/>
    <col min="1541" max="1541" width="13" style="1366" customWidth="1"/>
    <col min="1542" max="1542" width="14.6640625" style="1366" customWidth="1"/>
    <col min="1543" max="1543" width="11.83203125" style="1366" customWidth="1"/>
    <col min="1544" max="1544" width="11.6640625" style="1366" customWidth="1"/>
    <col min="1545" max="1545" width="12.5" style="1366" customWidth="1"/>
    <col min="1546" max="1546" width="11.33203125" style="1366" customWidth="1"/>
    <col min="1547" max="1547" width="17" style="1366" customWidth="1"/>
    <col min="1548" max="1548" width="12.1640625" style="1366" customWidth="1"/>
    <col min="1549" max="1554" width="13" style="1366" customWidth="1"/>
    <col min="1555" max="1555" width="13.1640625" style="1366" customWidth="1"/>
    <col min="1556" max="1556" width="15" style="1366" customWidth="1"/>
    <col min="1557" max="1557" width="12.5" style="1366" customWidth="1"/>
    <col min="1558" max="1558" width="11.6640625" style="1366" customWidth="1"/>
    <col min="1559" max="1559" width="14.1640625" style="1366" customWidth="1"/>
    <col min="1560" max="1560" width="12" style="1366" customWidth="1"/>
    <col min="1561" max="1561" width="8.5" style="1366" customWidth="1"/>
    <col min="1562" max="1562" width="10.1640625" style="1366" customWidth="1"/>
    <col min="1563" max="1563" width="10.6640625" style="1366" customWidth="1"/>
    <col min="1564" max="1564" width="8.5" style="1366" customWidth="1"/>
    <col min="1565" max="1565" width="10" style="1366" customWidth="1"/>
    <col min="1566" max="1567" width="8.5" style="1366" customWidth="1"/>
    <col min="1568" max="1568" width="10.83203125" style="1366" customWidth="1"/>
    <col min="1569" max="1569" width="9.5" style="1366" customWidth="1"/>
    <col min="1570" max="1570" width="9.33203125" style="1366" customWidth="1"/>
    <col min="1571" max="1571" width="13" style="1366" customWidth="1"/>
    <col min="1572" max="1572" width="14.5" style="1366" customWidth="1"/>
    <col min="1573" max="1573" width="12.6640625" style="1366" bestFit="1" customWidth="1"/>
    <col min="1574" max="1575" width="0" style="1366" hidden="1" customWidth="1"/>
    <col min="1576" max="1576" width="9.33203125" style="1366"/>
    <col min="1577" max="1577" width="14.5" style="1366" bestFit="1" customWidth="1"/>
    <col min="1578" max="1792" width="9.33203125" style="1366"/>
    <col min="1793" max="1793" width="12.1640625" style="1366" customWidth="1"/>
    <col min="1794" max="1794" width="30.83203125" style="1366" customWidth="1"/>
    <col min="1795" max="1795" width="13.83203125" style="1366" customWidth="1"/>
    <col min="1796" max="1796" width="14" style="1366" customWidth="1"/>
    <col min="1797" max="1797" width="13" style="1366" customWidth="1"/>
    <col min="1798" max="1798" width="14.6640625" style="1366" customWidth="1"/>
    <col min="1799" max="1799" width="11.83203125" style="1366" customWidth="1"/>
    <col min="1800" max="1800" width="11.6640625" style="1366" customWidth="1"/>
    <col min="1801" max="1801" width="12.5" style="1366" customWidth="1"/>
    <col min="1802" max="1802" width="11.33203125" style="1366" customWidth="1"/>
    <col min="1803" max="1803" width="17" style="1366" customWidth="1"/>
    <col min="1804" max="1804" width="12.1640625" style="1366" customWidth="1"/>
    <col min="1805" max="1810" width="13" style="1366" customWidth="1"/>
    <col min="1811" max="1811" width="13.1640625" style="1366" customWidth="1"/>
    <col min="1812" max="1812" width="15" style="1366" customWidth="1"/>
    <col min="1813" max="1813" width="12.5" style="1366" customWidth="1"/>
    <col min="1814" max="1814" width="11.6640625" style="1366" customWidth="1"/>
    <col min="1815" max="1815" width="14.1640625" style="1366" customWidth="1"/>
    <col min="1816" max="1816" width="12" style="1366" customWidth="1"/>
    <col min="1817" max="1817" width="8.5" style="1366" customWidth="1"/>
    <col min="1818" max="1818" width="10.1640625" style="1366" customWidth="1"/>
    <col min="1819" max="1819" width="10.6640625" style="1366" customWidth="1"/>
    <col min="1820" max="1820" width="8.5" style="1366" customWidth="1"/>
    <col min="1821" max="1821" width="10" style="1366" customWidth="1"/>
    <col min="1822" max="1823" width="8.5" style="1366" customWidth="1"/>
    <col min="1824" max="1824" width="10.83203125" style="1366" customWidth="1"/>
    <col min="1825" max="1825" width="9.5" style="1366" customWidth="1"/>
    <col min="1826" max="1826" width="9.33203125" style="1366" customWidth="1"/>
    <col min="1827" max="1827" width="13" style="1366" customWidth="1"/>
    <col min="1828" max="1828" width="14.5" style="1366" customWidth="1"/>
    <col min="1829" max="1829" width="12.6640625" style="1366" bestFit="1" customWidth="1"/>
    <col min="1830" max="1831" width="0" style="1366" hidden="1" customWidth="1"/>
    <col min="1832" max="1832" width="9.33203125" style="1366"/>
    <col min="1833" max="1833" width="14.5" style="1366" bestFit="1" customWidth="1"/>
    <col min="1834" max="2048" width="9.33203125" style="1366"/>
    <col min="2049" max="2049" width="12.1640625" style="1366" customWidth="1"/>
    <col min="2050" max="2050" width="30.83203125" style="1366" customWidth="1"/>
    <col min="2051" max="2051" width="13.83203125" style="1366" customWidth="1"/>
    <col min="2052" max="2052" width="14" style="1366" customWidth="1"/>
    <col min="2053" max="2053" width="13" style="1366" customWidth="1"/>
    <col min="2054" max="2054" width="14.6640625" style="1366" customWidth="1"/>
    <col min="2055" max="2055" width="11.83203125" style="1366" customWidth="1"/>
    <col min="2056" max="2056" width="11.6640625" style="1366" customWidth="1"/>
    <col min="2057" max="2057" width="12.5" style="1366" customWidth="1"/>
    <col min="2058" max="2058" width="11.33203125" style="1366" customWidth="1"/>
    <col min="2059" max="2059" width="17" style="1366" customWidth="1"/>
    <col min="2060" max="2060" width="12.1640625" style="1366" customWidth="1"/>
    <col min="2061" max="2066" width="13" style="1366" customWidth="1"/>
    <col min="2067" max="2067" width="13.1640625" style="1366" customWidth="1"/>
    <col min="2068" max="2068" width="15" style="1366" customWidth="1"/>
    <col min="2069" max="2069" width="12.5" style="1366" customWidth="1"/>
    <col min="2070" max="2070" width="11.6640625" style="1366" customWidth="1"/>
    <col min="2071" max="2071" width="14.1640625" style="1366" customWidth="1"/>
    <col min="2072" max="2072" width="12" style="1366" customWidth="1"/>
    <col min="2073" max="2073" width="8.5" style="1366" customWidth="1"/>
    <col min="2074" max="2074" width="10.1640625" style="1366" customWidth="1"/>
    <col min="2075" max="2075" width="10.6640625" style="1366" customWidth="1"/>
    <col min="2076" max="2076" width="8.5" style="1366" customWidth="1"/>
    <col min="2077" max="2077" width="10" style="1366" customWidth="1"/>
    <col min="2078" max="2079" width="8.5" style="1366" customWidth="1"/>
    <col min="2080" max="2080" width="10.83203125" style="1366" customWidth="1"/>
    <col min="2081" max="2081" width="9.5" style="1366" customWidth="1"/>
    <col min="2082" max="2082" width="9.33203125" style="1366" customWidth="1"/>
    <col min="2083" max="2083" width="13" style="1366" customWidth="1"/>
    <col min="2084" max="2084" width="14.5" style="1366" customWidth="1"/>
    <col min="2085" max="2085" width="12.6640625" style="1366" bestFit="1" customWidth="1"/>
    <col min="2086" max="2087" width="0" style="1366" hidden="1" customWidth="1"/>
    <col min="2088" max="2088" width="9.33203125" style="1366"/>
    <col min="2089" max="2089" width="14.5" style="1366" bestFit="1" customWidth="1"/>
    <col min="2090" max="2304" width="9.33203125" style="1366"/>
    <col min="2305" max="2305" width="12.1640625" style="1366" customWidth="1"/>
    <col min="2306" max="2306" width="30.83203125" style="1366" customWidth="1"/>
    <col min="2307" max="2307" width="13.83203125" style="1366" customWidth="1"/>
    <col min="2308" max="2308" width="14" style="1366" customWidth="1"/>
    <col min="2309" max="2309" width="13" style="1366" customWidth="1"/>
    <col min="2310" max="2310" width="14.6640625" style="1366" customWidth="1"/>
    <col min="2311" max="2311" width="11.83203125" style="1366" customWidth="1"/>
    <col min="2312" max="2312" width="11.6640625" style="1366" customWidth="1"/>
    <col min="2313" max="2313" width="12.5" style="1366" customWidth="1"/>
    <col min="2314" max="2314" width="11.33203125" style="1366" customWidth="1"/>
    <col min="2315" max="2315" width="17" style="1366" customWidth="1"/>
    <col min="2316" max="2316" width="12.1640625" style="1366" customWidth="1"/>
    <col min="2317" max="2322" width="13" style="1366" customWidth="1"/>
    <col min="2323" max="2323" width="13.1640625" style="1366" customWidth="1"/>
    <col min="2324" max="2324" width="15" style="1366" customWidth="1"/>
    <col min="2325" max="2325" width="12.5" style="1366" customWidth="1"/>
    <col min="2326" max="2326" width="11.6640625" style="1366" customWidth="1"/>
    <col min="2327" max="2327" width="14.1640625" style="1366" customWidth="1"/>
    <col min="2328" max="2328" width="12" style="1366" customWidth="1"/>
    <col min="2329" max="2329" width="8.5" style="1366" customWidth="1"/>
    <col min="2330" max="2330" width="10.1640625" style="1366" customWidth="1"/>
    <col min="2331" max="2331" width="10.6640625" style="1366" customWidth="1"/>
    <col min="2332" max="2332" width="8.5" style="1366" customWidth="1"/>
    <col min="2333" max="2333" width="10" style="1366" customWidth="1"/>
    <col min="2334" max="2335" width="8.5" style="1366" customWidth="1"/>
    <col min="2336" max="2336" width="10.83203125" style="1366" customWidth="1"/>
    <col min="2337" max="2337" width="9.5" style="1366" customWidth="1"/>
    <col min="2338" max="2338" width="9.33203125" style="1366" customWidth="1"/>
    <col min="2339" max="2339" width="13" style="1366" customWidth="1"/>
    <col min="2340" max="2340" width="14.5" style="1366" customWidth="1"/>
    <col min="2341" max="2341" width="12.6640625" style="1366" bestFit="1" customWidth="1"/>
    <col min="2342" max="2343" width="0" style="1366" hidden="1" customWidth="1"/>
    <col min="2344" max="2344" width="9.33203125" style="1366"/>
    <col min="2345" max="2345" width="14.5" style="1366" bestFit="1" customWidth="1"/>
    <col min="2346" max="2560" width="9.33203125" style="1366"/>
    <col min="2561" max="2561" width="12.1640625" style="1366" customWidth="1"/>
    <col min="2562" max="2562" width="30.83203125" style="1366" customWidth="1"/>
    <col min="2563" max="2563" width="13.83203125" style="1366" customWidth="1"/>
    <col min="2564" max="2564" width="14" style="1366" customWidth="1"/>
    <col min="2565" max="2565" width="13" style="1366" customWidth="1"/>
    <col min="2566" max="2566" width="14.6640625" style="1366" customWidth="1"/>
    <col min="2567" max="2567" width="11.83203125" style="1366" customWidth="1"/>
    <col min="2568" max="2568" width="11.6640625" style="1366" customWidth="1"/>
    <col min="2569" max="2569" width="12.5" style="1366" customWidth="1"/>
    <col min="2570" max="2570" width="11.33203125" style="1366" customWidth="1"/>
    <col min="2571" max="2571" width="17" style="1366" customWidth="1"/>
    <col min="2572" max="2572" width="12.1640625" style="1366" customWidth="1"/>
    <col min="2573" max="2578" width="13" style="1366" customWidth="1"/>
    <col min="2579" max="2579" width="13.1640625" style="1366" customWidth="1"/>
    <col min="2580" max="2580" width="15" style="1366" customWidth="1"/>
    <col min="2581" max="2581" width="12.5" style="1366" customWidth="1"/>
    <col min="2582" max="2582" width="11.6640625" style="1366" customWidth="1"/>
    <col min="2583" max="2583" width="14.1640625" style="1366" customWidth="1"/>
    <col min="2584" max="2584" width="12" style="1366" customWidth="1"/>
    <col min="2585" max="2585" width="8.5" style="1366" customWidth="1"/>
    <col min="2586" max="2586" width="10.1640625" style="1366" customWidth="1"/>
    <col min="2587" max="2587" width="10.6640625" style="1366" customWidth="1"/>
    <col min="2588" max="2588" width="8.5" style="1366" customWidth="1"/>
    <col min="2589" max="2589" width="10" style="1366" customWidth="1"/>
    <col min="2590" max="2591" width="8.5" style="1366" customWidth="1"/>
    <col min="2592" max="2592" width="10.83203125" style="1366" customWidth="1"/>
    <col min="2593" max="2593" width="9.5" style="1366" customWidth="1"/>
    <col min="2594" max="2594" width="9.33203125" style="1366" customWidth="1"/>
    <col min="2595" max="2595" width="13" style="1366" customWidth="1"/>
    <col min="2596" max="2596" width="14.5" style="1366" customWidth="1"/>
    <col min="2597" max="2597" width="12.6640625" style="1366" bestFit="1" customWidth="1"/>
    <col min="2598" max="2599" width="0" style="1366" hidden="1" customWidth="1"/>
    <col min="2600" max="2600" width="9.33203125" style="1366"/>
    <col min="2601" max="2601" width="14.5" style="1366" bestFit="1" customWidth="1"/>
    <col min="2602" max="2816" width="9.33203125" style="1366"/>
    <col min="2817" max="2817" width="12.1640625" style="1366" customWidth="1"/>
    <col min="2818" max="2818" width="30.83203125" style="1366" customWidth="1"/>
    <col min="2819" max="2819" width="13.83203125" style="1366" customWidth="1"/>
    <col min="2820" max="2820" width="14" style="1366" customWidth="1"/>
    <col min="2821" max="2821" width="13" style="1366" customWidth="1"/>
    <col min="2822" max="2822" width="14.6640625" style="1366" customWidth="1"/>
    <col min="2823" max="2823" width="11.83203125" style="1366" customWidth="1"/>
    <col min="2824" max="2824" width="11.6640625" style="1366" customWidth="1"/>
    <col min="2825" max="2825" width="12.5" style="1366" customWidth="1"/>
    <col min="2826" max="2826" width="11.33203125" style="1366" customWidth="1"/>
    <col min="2827" max="2827" width="17" style="1366" customWidth="1"/>
    <col min="2828" max="2828" width="12.1640625" style="1366" customWidth="1"/>
    <col min="2829" max="2834" width="13" style="1366" customWidth="1"/>
    <col min="2835" max="2835" width="13.1640625" style="1366" customWidth="1"/>
    <col min="2836" max="2836" width="15" style="1366" customWidth="1"/>
    <col min="2837" max="2837" width="12.5" style="1366" customWidth="1"/>
    <col min="2838" max="2838" width="11.6640625" style="1366" customWidth="1"/>
    <col min="2839" max="2839" width="14.1640625" style="1366" customWidth="1"/>
    <col min="2840" max="2840" width="12" style="1366" customWidth="1"/>
    <col min="2841" max="2841" width="8.5" style="1366" customWidth="1"/>
    <col min="2842" max="2842" width="10.1640625" style="1366" customWidth="1"/>
    <col min="2843" max="2843" width="10.6640625" style="1366" customWidth="1"/>
    <col min="2844" max="2844" width="8.5" style="1366" customWidth="1"/>
    <col min="2845" max="2845" width="10" style="1366" customWidth="1"/>
    <col min="2846" max="2847" width="8.5" style="1366" customWidth="1"/>
    <col min="2848" max="2848" width="10.83203125" style="1366" customWidth="1"/>
    <col min="2849" max="2849" width="9.5" style="1366" customWidth="1"/>
    <col min="2850" max="2850" width="9.33203125" style="1366" customWidth="1"/>
    <col min="2851" max="2851" width="13" style="1366" customWidth="1"/>
    <col min="2852" max="2852" width="14.5" style="1366" customWidth="1"/>
    <col min="2853" max="2853" width="12.6640625" style="1366" bestFit="1" customWidth="1"/>
    <col min="2854" max="2855" width="0" style="1366" hidden="1" customWidth="1"/>
    <col min="2856" max="2856" width="9.33203125" style="1366"/>
    <col min="2857" max="2857" width="14.5" style="1366" bestFit="1" customWidth="1"/>
    <col min="2858" max="3072" width="9.33203125" style="1366"/>
    <col min="3073" max="3073" width="12.1640625" style="1366" customWidth="1"/>
    <col min="3074" max="3074" width="30.83203125" style="1366" customWidth="1"/>
    <col min="3075" max="3075" width="13.83203125" style="1366" customWidth="1"/>
    <col min="3076" max="3076" width="14" style="1366" customWidth="1"/>
    <col min="3077" max="3077" width="13" style="1366" customWidth="1"/>
    <col min="3078" max="3078" width="14.6640625" style="1366" customWidth="1"/>
    <col min="3079" max="3079" width="11.83203125" style="1366" customWidth="1"/>
    <col min="3080" max="3080" width="11.6640625" style="1366" customWidth="1"/>
    <col min="3081" max="3081" width="12.5" style="1366" customWidth="1"/>
    <col min="3082" max="3082" width="11.33203125" style="1366" customWidth="1"/>
    <col min="3083" max="3083" width="17" style="1366" customWidth="1"/>
    <col min="3084" max="3084" width="12.1640625" style="1366" customWidth="1"/>
    <col min="3085" max="3090" width="13" style="1366" customWidth="1"/>
    <col min="3091" max="3091" width="13.1640625" style="1366" customWidth="1"/>
    <col min="3092" max="3092" width="15" style="1366" customWidth="1"/>
    <col min="3093" max="3093" width="12.5" style="1366" customWidth="1"/>
    <col min="3094" max="3094" width="11.6640625" style="1366" customWidth="1"/>
    <col min="3095" max="3095" width="14.1640625" style="1366" customWidth="1"/>
    <col min="3096" max="3096" width="12" style="1366" customWidth="1"/>
    <col min="3097" max="3097" width="8.5" style="1366" customWidth="1"/>
    <col min="3098" max="3098" width="10.1640625" style="1366" customWidth="1"/>
    <col min="3099" max="3099" width="10.6640625" style="1366" customWidth="1"/>
    <col min="3100" max="3100" width="8.5" style="1366" customWidth="1"/>
    <col min="3101" max="3101" width="10" style="1366" customWidth="1"/>
    <col min="3102" max="3103" width="8.5" style="1366" customWidth="1"/>
    <col min="3104" max="3104" width="10.83203125" style="1366" customWidth="1"/>
    <col min="3105" max="3105" width="9.5" style="1366" customWidth="1"/>
    <col min="3106" max="3106" width="9.33203125" style="1366" customWidth="1"/>
    <col min="3107" max="3107" width="13" style="1366" customWidth="1"/>
    <col min="3108" max="3108" width="14.5" style="1366" customWidth="1"/>
    <col min="3109" max="3109" width="12.6640625" style="1366" bestFit="1" customWidth="1"/>
    <col min="3110" max="3111" width="0" style="1366" hidden="1" customWidth="1"/>
    <col min="3112" max="3112" width="9.33203125" style="1366"/>
    <col min="3113" max="3113" width="14.5" style="1366" bestFit="1" customWidth="1"/>
    <col min="3114" max="3328" width="9.33203125" style="1366"/>
    <col min="3329" max="3329" width="12.1640625" style="1366" customWidth="1"/>
    <col min="3330" max="3330" width="30.83203125" style="1366" customWidth="1"/>
    <col min="3331" max="3331" width="13.83203125" style="1366" customWidth="1"/>
    <col min="3332" max="3332" width="14" style="1366" customWidth="1"/>
    <col min="3333" max="3333" width="13" style="1366" customWidth="1"/>
    <col min="3334" max="3334" width="14.6640625" style="1366" customWidth="1"/>
    <col min="3335" max="3335" width="11.83203125" style="1366" customWidth="1"/>
    <col min="3336" max="3336" width="11.6640625" style="1366" customWidth="1"/>
    <col min="3337" max="3337" width="12.5" style="1366" customWidth="1"/>
    <col min="3338" max="3338" width="11.33203125" style="1366" customWidth="1"/>
    <col min="3339" max="3339" width="17" style="1366" customWidth="1"/>
    <col min="3340" max="3340" width="12.1640625" style="1366" customWidth="1"/>
    <col min="3341" max="3346" width="13" style="1366" customWidth="1"/>
    <col min="3347" max="3347" width="13.1640625" style="1366" customWidth="1"/>
    <col min="3348" max="3348" width="15" style="1366" customWidth="1"/>
    <col min="3349" max="3349" width="12.5" style="1366" customWidth="1"/>
    <col min="3350" max="3350" width="11.6640625" style="1366" customWidth="1"/>
    <col min="3351" max="3351" width="14.1640625" style="1366" customWidth="1"/>
    <col min="3352" max="3352" width="12" style="1366" customWidth="1"/>
    <col min="3353" max="3353" width="8.5" style="1366" customWidth="1"/>
    <col min="3354" max="3354" width="10.1640625" style="1366" customWidth="1"/>
    <col min="3355" max="3355" width="10.6640625" style="1366" customWidth="1"/>
    <col min="3356" max="3356" width="8.5" style="1366" customWidth="1"/>
    <col min="3357" max="3357" width="10" style="1366" customWidth="1"/>
    <col min="3358" max="3359" width="8.5" style="1366" customWidth="1"/>
    <col min="3360" max="3360" width="10.83203125" style="1366" customWidth="1"/>
    <col min="3361" max="3361" width="9.5" style="1366" customWidth="1"/>
    <col min="3362" max="3362" width="9.33203125" style="1366" customWidth="1"/>
    <col min="3363" max="3363" width="13" style="1366" customWidth="1"/>
    <col min="3364" max="3364" width="14.5" style="1366" customWidth="1"/>
    <col min="3365" max="3365" width="12.6640625" style="1366" bestFit="1" customWidth="1"/>
    <col min="3366" max="3367" width="0" style="1366" hidden="1" customWidth="1"/>
    <col min="3368" max="3368" width="9.33203125" style="1366"/>
    <col min="3369" max="3369" width="14.5" style="1366" bestFit="1" customWidth="1"/>
    <col min="3370" max="3584" width="9.33203125" style="1366"/>
    <col min="3585" max="3585" width="12.1640625" style="1366" customWidth="1"/>
    <col min="3586" max="3586" width="30.83203125" style="1366" customWidth="1"/>
    <col min="3587" max="3587" width="13.83203125" style="1366" customWidth="1"/>
    <col min="3588" max="3588" width="14" style="1366" customWidth="1"/>
    <col min="3589" max="3589" width="13" style="1366" customWidth="1"/>
    <col min="3590" max="3590" width="14.6640625" style="1366" customWidth="1"/>
    <col min="3591" max="3591" width="11.83203125" style="1366" customWidth="1"/>
    <col min="3592" max="3592" width="11.6640625" style="1366" customWidth="1"/>
    <col min="3593" max="3593" width="12.5" style="1366" customWidth="1"/>
    <col min="3594" max="3594" width="11.33203125" style="1366" customWidth="1"/>
    <col min="3595" max="3595" width="17" style="1366" customWidth="1"/>
    <col min="3596" max="3596" width="12.1640625" style="1366" customWidth="1"/>
    <col min="3597" max="3602" width="13" style="1366" customWidth="1"/>
    <col min="3603" max="3603" width="13.1640625" style="1366" customWidth="1"/>
    <col min="3604" max="3604" width="15" style="1366" customWidth="1"/>
    <col min="3605" max="3605" width="12.5" style="1366" customWidth="1"/>
    <col min="3606" max="3606" width="11.6640625" style="1366" customWidth="1"/>
    <col min="3607" max="3607" width="14.1640625" style="1366" customWidth="1"/>
    <col min="3608" max="3608" width="12" style="1366" customWidth="1"/>
    <col min="3609" max="3609" width="8.5" style="1366" customWidth="1"/>
    <col min="3610" max="3610" width="10.1640625" style="1366" customWidth="1"/>
    <col min="3611" max="3611" width="10.6640625" style="1366" customWidth="1"/>
    <col min="3612" max="3612" width="8.5" style="1366" customWidth="1"/>
    <col min="3613" max="3613" width="10" style="1366" customWidth="1"/>
    <col min="3614" max="3615" width="8.5" style="1366" customWidth="1"/>
    <col min="3616" max="3616" width="10.83203125" style="1366" customWidth="1"/>
    <col min="3617" max="3617" width="9.5" style="1366" customWidth="1"/>
    <col min="3618" max="3618" width="9.33203125" style="1366" customWidth="1"/>
    <col min="3619" max="3619" width="13" style="1366" customWidth="1"/>
    <col min="3620" max="3620" width="14.5" style="1366" customWidth="1"/>
    <col min="3621" max="3621" width="12.6640625" style="1366" bestFit="1" customWidth="1"/>
    <col min="3622" max="3623" width="0" style="1366" hidden="1" customWidth="1"/>
    <col min="3624" max="3624" width="9.33203125" style="1366"/>
    <col min="3625" max="3625" width="14.5" style="1366" bestFit="1" customWidth="1"/>
    <col min="3626" max="3840" width="9.33203125" style="1366"/>
    <col min="3841" max="3841" width="12.1640625" style="1366" customWidth="1"/>
    <col min="3842" max="3842" width="30.83203125" style="1366" customWidth="1"/>
    <col min="3843" max="3843" width="13.83203125" style="1366" customWidth="1"/>
    <col min="3844" max="3844" width="14" style="1366" customWidth="1"/>
    <col min="3845" max="3845" width="13" style="1366" customWidth="1"/>
    <col min="3846" max="3846" width="14.6640625" style="1366" customWidth="1"/>
    <col min="3847" max="3847" width="11.83203125" style="1366" customWidth="1"/>
    <col min="3848" max="3848" width="11.6640625" style="1366" customWidth="1"/>
    <col min="3849" max="3849" width="12.5" style="1366" customWidth="1"/>
    <col min="3850" max="3850" width="11.33203125" style="1366" customWidth="1"/>
    <col min="3851" max="3851" width="17" style="1366" customWidth="1"/>
    <col min="3852" max="3852" width="12.1640625" style="1366" customWidth="1"/>
    <col min="3853" max="3858" width="13" style="1366" customWidth="1"/>
    <col min="3859" max="3859" width="13.1640625" style="1366" customWidth="1"/>
    <col min="3860" max="3860" width="15" style="1366" customWidth="1"/>
    <col min="3861" max="3861" width="12.5" style="1366" customWidth="1"/>
    <col min="3862" max="3862" width="11.6640625" style="1366" customWidth="1"/>
    <col min="3863" max="3863" width="14.1640625" style="1366" customWidth="1"/>
    <col min="3864" max="3864" width="12" style="1366" customWidth="1"/>
    <col min="3865" max="3865" width="8.5" style="1366" customWidth="1"/>
    <col min="3866" max="3866" width="10.1640625" style="1366" customWidth="1"/>
    <col min="3867" max="3867" width="10.6640625" style="1366" customWidth="1"/>
    <col min="3868" max="3868" width="8.5" style="1366" customWidth="1"/>
    <col min="3869" max="3869" width="10" style="1366" customWidth="1"/>
    <col min="3870" max="3871" width="8.5" style="1366" customWidth="1"/>
    <col min="3872" max="3872" width="10.83203125" style="1366" customWidth="1"/>
    <col min="3873" max="3873" width="9.5" style="1366" customWidth="1"/>
    <col min="3874" max="3874" width="9.33203125" style="1366" customWidth="1"/>
    <col min="3875" max="3875" width="13" style="1366" customWidth="1"/>
    <col min="3876" max="3876" width="14.5" style="1366" customWidth="1"/>
    <col min="3877" max="3877" width="12.6640625" style="1366" bestFit="1" customWidth="1"/>
    <col min="3878" max="3879" width="0" style="1366" hidden="1" customWidth="1"/>
    <col min="3880" max="3880" width="9.33203125" style="1366"/>
    <col min="3881" max="3881" width="14.5" style="1366" bestFit="1" customWidth="1"/>
    <col min="3882" max="4096" width="9.33203125" style="1366"/>
    <col min="4097" max="4097" width="12.1640625" style="1366" customWidth="1"/>
    <col min="4098" max="4098" width="30.83203125" style="1366" customWidth="1"/>
    <col min="4099" max="4099" width="13.83203125" style="1366" customWidth="1"/>
    <col min="4100" max="4100" width="14" style="1366" customWidth="1"/>
    <col min="4101" max="4101" width="13" style="1366" customWidth="1"/>
    <col min="4102" max="4102" width="14.6640625" style="1366" customWidth="1"/>
    <col min="4103" max="4103" width="11.83203125" style="1366" customWidth="1"/>
    <col min="4104" max="4104" width="11.6640625" style="1366" customWidth="1"/>
    <col min="4105" max="4105" width="12.5" style="1366" customWidth="1"/>
    <col min="4106" max="4106" width="11.33203125" style="1366" customWidth="1"/>
    <col min="4107" max="4107" width="17" style="1366" customWidth="1"/>
    <col min="4108" max="4108" width="12.1640625" style="1366" customWidth="1"/>
    <col min="4109" max="4114" width="13" style="1366" customWidth="1"/>
    <col min="4115" max="4115" width="13.1640625" style="1366" customWidth="1"/>
    <col min="4116" max="4116" width="15" style="1366" customWidth="1"/>
    <col min="4117" max="4117" width="12.5" style="1366" customWidth="1"/>
    <col min="4118" max="4118" width="11.6640625" style="1366" customWidth="1"/>
    <col min="4119" max="4119" width="14.1640625" style="1366" customWidth="1"/>
    <col min="4120" max="4120" width="12" style="1366" customWidth="1"/>
    <col min="4121" max="4121" width="8.5" style="1366" customWidth="1"/>
    <col min="4122" max="4122" width="10.1640625" style="1366" customWidth="1"/>
    <col min="4123" max="4123" width="10.6640625" style="1366" customWidth="1"/>
    <col min="4124" max="4124" width="8.5" style="1366" customWidth="1"/>
    <col min="4125" max="4125" width="10" style="1366" customWidth="1"/>
    <col min="4126" max="4127" width="8.5" style="1366" customWidth="1"/>
    <col min="4128" max="4128" width="10.83203125" style="1366" customWidth="1"/>
    <col min="4129" max="4129" width="9.5" style="1366" customWidth="1"/>
    <col min="4130" max="4130" width="9.33203125" style="1366" customWidth="1"/>
    <col min="4131" max="4131" width="13" style="1366" customWidth="1"/>
    <col min="4132" max="4132" width="14.5" style="1366" customWidth="1"/>
    <col min="4133" max="4133" width="12.6640625" style="1366" bestFit="1" customWidth="1"/>
    <col min="4134" max="4135" width="0" style="1366" hidden="1" customWidth="1"/>
    <col min="4136" max="4136" width="9.33203125" style="1366"/>
    <col min="4137" max="4137" width="14.5" style="1366" bestFit="1" customWidth="1"/>
    <col min="4138" max="4352" width="9.33203125" style="1366"/>
    <col min="4353" max="4353" width="12.1640625" style="1366" customWidth="1"/>
    <col min="4354" max="4354" width="30.83203125" style="1366" customWidth="1"/>
    <col min="4355" max="4355" width="13.83203125" style="1366" customWidth="1"/>
    <col min="4356" max="4356" width="14" style="1366" customWidth="1"/>
    <col min="4357" max="4357" width="13" style="1366" customWidth="1"/>
    <col min="4358" max="4358" width="14.6640625" style="1366" customWidth="1"/>
    <col min="4359" max="4359" width="11.83203125" style="1366" customWidth="1"/>
    <col min="4360" max="4360" width="11.6640625" style="1366" customWidth="1"/>
    <col min="4361" max="4361" width="12.5" style="1366" customWidth="1"/>
    <col min="4362" max="4362" width="11.33203125" style="1366" customWidth="1"/>
    <col min="4363" max="4363" width="17" style="1366" customWidth="1"/>
    <col min="4364" max="4364" width="12.1640625" style="1366" customWidth="1"/>
    <col min="4365" max="4370" width="13" style="1366" customWidth="1"/>
    <col min="4371" max="4371" width="13.1640625" style="1366" customWidth="1"/>
    <col min="4372" max="4372" width="15" style="1366" customWidth="1"/>
    <col min="4373" max="4373" width="12.5" style="1366" customWidth="1"/>
    <col min="4374" max="4374" width="11.6640625" style="1366" customWidth="1"/>
    <col min="4375" max="4375" width="14.1640625" style="1366" customWidth="1"/>
    <col min="4376" max="4376" width="12" style="1366" customWidth="1"/>
    <col min="4377" max="4377" width="8.5" style="1366" customWidth="1"/>
    <col min="4378" max="4378" width="10.1640625" style="1366" customWidth="1"/>
    <col min="4379" max="4379" width="10.6640625" style="1366" customWidth="1"/>
    <col min="4380" max="4380" width="8.5" style="1366" customWidth="1"/>
    <col min="4381" max="4381" width="10" style="1366" customWidth="1"/>
    <col min="4382" max="4383" width="8.5" style="1366" customWidth="1"/>
    <col min="4384" max="4384" width="10.83203125" style="1366" customWidth="1"/>
    <col min="4385" max="4385" width="9.5" style="1366" customWidth="1"/>
    <col min="4386" max="4386" width="9.33203125" style="1366" customWidth="1"/>
    <col min="4387" max="4387" width="13" style="1366" customWidth="1"/>
    <col min="4388" max="4388" width="14.5" style="1366" customWidth="1"/>
    <col min="4389" max="4389" width="12.6640625" style="1366" bestFit="1" customWidth="1"/>
    <col min="4390" max="4391" width="0" style="1366" hidden="1" customWidth="1"/>
    <col min="4392" max="4392" width="9.33203125" style="1366"/>
    <col min="4393" max="4393" width="14.5" style="1366" bestFit="1" customWidth="1"/>
    <col min="4394" max="4608" width="9.33203125" style="1366"/>
    <col min="4609" max="4609" width="12.1640625" style="1366" customWidth="1"/>
    <col min="4610" max="4610" width="30.83203125" style="1366" customWidth="1"/>
    <col min="4611" max="4611" width="13.83203125" style="1366" customWidth="1"/>
    <col min="4612" max="4612" width="14" style="1366" customWidth="1"/>
    <col min="4613" max="4613" width="13" style="1366" customWidth="1"/>
    <col min="4614" max="4614" width="14.6640625" style="1366" customWidth="1"/>
    <col min="4615" max="4615" width="11.83203125" style="1366" customWidth="1"/>
    <col min="4616" max="4616" width="11.6640625" style="1366" customWidth="1"/>
    <col min="4617" max="4617" width="12.5" style="1366" customWidth="1"/>
    <col min="4618" max="4618" width="11.33203125" style="1366" customWidth="1"/>
    <col min="4619" max="4619" width="17" style="1366" customWidth="1"/>
    <col min="4620" max="4620" width="12.1640625" style="1366" customWidth="1"/>
    <col min="4621" max="4626" width="13" style="1366" customWidth="1"/>
    <col min="4627" max="4627" width="13.1640625" style="1366" customWidth="1"/>
    <col min="4628" max="4628" width="15" style="1366" customWidth="1"/>
    <col min="4629" max="4629" width="12.5" style="1366" customWidth="1"/>
    <col min="4630" max="4630" width="11.6640625" style="1366" customWidth="1"/>
    <col min="4631" max="4631" width="14.1640625" style="1366" customWidth="1"/>
    <col min="4632" max="4632" width="12" style="1366" customWidth="1"/>
    <col min="4633" max="4633" width="8.5" style="1366" customWidth="1"/>
    <col min="4634" max="4634" width="10.1640625" style="1366" customWidth="1"/>
    <col min="4635" max="4635" width="10.6640625" style="1366" customWidth="1"/>
    <col min="4636" max="4636" width="8.5" style="1366" customWidth="1"/>
    <col min="4637" max="4637" width="10" style="1366" customWidth="1"/>
    <col min="4638" max="4639" width="8.5" style="1366" customWidth="1"/>
    <col min="4640" max="4640" width="10.83203125" style="1366" customWidth="1"/>
    <col min="4641" max="4641" width="9.5" style="1366" customWidth="1"/>
    <col min="4642" max="4642" width="9.33203125" style="1366" customWidth="1"/>
    <col min="4643" max="4643" width="13" style="1366" customWidth="1"/>
    <col min="4644" max="4644" width="14.5" style="1366" customWidth="1"/>
    <col min="4645" max="4645" width="12.6640625" style="1366" bestFit="1" customWidth="1"/>
    <col min="4646" max="4647" width="0" style="1366" hidden="1" customWidth="1"/>
    <col min="4648" max="4648" width="9.33203125" style="1366"/>
    <col min="4649" max="4649" width="14.5" style="1366" bestFit="1" customWidth="1"/>
    <col min="4650" max="4864" width="9.33203125" style="1366"/>
    <col min="4865" max="4865" width="12.1640625" style="1366" customWidth="1"/>
    <col min="4866" max="4866" width="30.83203125" style="1366" customWidth="1"/>
    <col min="4867" max="4867" width="13.83203125" style="1366" customWidth="1"/>
    <col min="4868" max="4868" width="14" style="1366" customWidth="1"/>
    <col min="4869" max="4869" width="13" style="1366" customWidth="1"/>
    <col min="4870" max="4870" width="14.6640625" style="1366" customWidth="1"/>
    <col min="4871" max="4871" width="11.83203125" style="1366" customWidth="1"/>
    <col min="4872" max="4872" width="11.6640625" style="1366" customWidth="1"/>
    <col min="4873" max="4873" width="12.5" style="1366" customWidth="1"/>
    <col min="4874" max="4874" width="11.33203125" style="1366" customWidth="1"/>
    <col min="4875" max="4875" width="17" style="1366" customWidth="1"/>
    <col min="4876" max="4876" width="12.1640625" style="1366" customWidth="1"/>
    <col min="4877" max="4882" width="13" style="1366" customWidth="1"/>
    <col min="4883" max="4883" width="13.1640625" style="1366" customWidth="1"/>
    <col min="4884" max="4884" width="15" style="1366" customWidth="1"/>
    <col min="4885" max="4885" width="12.5" style="1366" customWidth="1"/>
    <col min="4886" max="4886" width="11.6640625" style="1366" customWidth="1"/>
    <col min="4887" max="4887" width="14.1640625" style="1366" customWidth="1"/>
    <col min="4888" max="4888" width="12" style="1366" customWidth="1"/>
    <col min="4889" max="4889" width="8.5" style="1366" customWidth="1"/>
    <col min="4890" max="4890" width="10.1640625" style="1366" customWidth="1"/>
    <col min="4891" max="4891" width="10.6640625" style="1366" customWidth="1"/>
    <col min="4892" max="4892" width="8.5" style="1366" customWidth="1"/>
    <col min="4893" max="4893" width="10" style="1366" customWidth="1"/>
    <col min="4894" max="4895" width="8.5" style="1366" customWidth="1"/>
    <col min="4896" max="4896" width="10.83203125" style="1366" customWidth="1"/>
    <col min="4897" max="4897" width="9.5" style="1366" customWidth="1"/>
    <col min="4898" max="4898" width="9.33203125" style="1366" customWidth="1"/>
    <col min="4899" max="4899" width="13" style="1366" customWidth="1"/>
    <col min="4900" max="4900" width="14.5" style="1366" customWidth="1"/>
    <col min="4901" max="4901" width="12.6640625" style="1366" bestFit="1" customWidth="1"/>
    <col min="4902" max="4903" width="0" style="1366" hidden="1" customWidth="1"/>
    <col min="4904" max="4904" width="9.33203125" style="1366"/>
    <col min="4905" max="4905" width="14.5" style="1366" bestFit="1" customWidth="1"/>
    <col min="4906" max="5120" width="9.33203125" style="1366"/>
    <col min="5121" max="5121" width="12.1640625" style="1366" customWidth="1"/>
    <col min="5122" max="5122" width="30.83203125" style="1366" customWidth="1"/>
    <col min="5123" max="5123" width="13.83203125" style="1366" customWidth="1"/>
    <col min="5124" max="5124" width="14" style="1366" customWidth="1"/>
    <col min="5125" max="5125" width="13" style="1366" customWidth="1"/>
    <col min="5126" max="5126" width="14.6640625" style="1366" customWidth="1"/>
    <col min="5127" max="5127" width="11.83203125" style="1366" customWidth="1"/>
    <col min="5128" max="5128" width="11.6640625" style="1366" customWidth="1"/>
    <col min="5129" max="5129" width="12.5" style="1366" customWidth="1"/>
    <col min="5130" max="5130" width="11.33203125" style="1366" customWidth="1"/>
    <col min="5131" max="5131" width="17" style="1366" customWidth="1"/>
    <col min="5132" max="5132" width="12.1640625" style="1366" customWidth="1"/>
    <col min="5133" max="5138" width="13" style="1366" customWidth="1"/>
    <col min="5139" max="5139" width="13.1640625" style="1366" customWidth="1"/>
    <col min="5140" max="5140" width="15" style="1366" customWidth="1"/>
    <col min="5141" max="5141" width="12.5" style="1366" customWidth="1"/>
    <col min="5142" max="5142" width="11.6640625" style="1366" customWidth="1"/>
    <col min="5143" max="5143" width="14.1640625" style="1366" customWidth="1"/>
    <col min="5144" max="5144" width="12" style="1366" customWidth="1"/>
    <col min="5145" max="5145" width="8.5" style="1366" customWidth="1"/>
    <col min="5146" max="5146" width="10.1640625" style="1366" customWidth="1"/>
    <col min="5147" max="5147" width="10.6640625" style="1366" customWidth="1"/>
    <col min="5148" max="5148" width="8.5" style="1366" customWidth="1"/>
    <col min="5149" max="5149" width="10" style="1366" customWidth="1"/>
    <col min="5150" max="5151" width="8.5" style="1366" customWidth="1"/>
    <col min="5152" max="5152" width="10.83203125" style="1366" customWidth="1"/>
    <col min="5153" max="5153" width="9.5" style="1366" customWidth="1"/>
    <col min="5154" max="5154" width="9.33203125" style="1366" customWidth="1"/>
    <col min="5155" max="5155" width="13" style="1366" customWidth="1"/>
    <col min="5156" max="5156" width="14.5" style="1366" customWidth="1"/>
    <col min="5157" max="5157" width="12.6640625" style="1366" bestFit="1" customWidth="1"/>
    <col min="5158" max="5159" width="0" style="1366" hidden="1" customWidth="1"/>
    <col min="5160" max="5160" width="9.33203125" style="1366"/>
    <col min="5161" max="5161" width="14.5" style="1366" bestFit="1" customWidth="1"/>
    <col min="5162" max="5376" width="9.33203125" style="1366"/>
    <col min="5377" max="5377" width="12.1640625" style="1366" customWidth="1"/>
    <col min="5378" max="5378" width="30.83203125" style="1366" customWidth="1"/>
    <col min="5379" max="5379" width="13.83203125" style="1366" customWidth="1"/>
    <col min="5380" max="5380" width="14" style="1366" customWidth="1"/>
    <col min="5381" max="5381" width="13" style="1366" customWidth="1"/>
    <col min="5382" max="5382" width="14.6640625" style="1366" customWidth="1"/>
    <col min="5383" max="5383" width="11.83203125" style="1366" customWidth="1"/>
    <col min="5384" max="5384" width="11.6640625" style="1366" customWidth="1"/>
    <col min="5385" max="5385" width="12.5" style="1366" customWidth="1"/>
    <col min="5386" max="5386" width="11.33203125" style="1366" customWidth="1"/>
    <col min="5387" max="5387" width="17" style="1366" customWidth="1"/>
    <col min="5388" max="5388" width="12.1640625" style="1366" customWidth="1"/>
    <col min="5389" max="5394" width="13" style="1366" customWidth="1"/>
    <col min="5395" max="5395" width="13.1640625" style="1366" customWidth="1"/>
    <col min="5396" max="5396" width="15" style="1366" customWidth="1"/>
    <col min="5397" max="5397" width="12.5" style="1366" customWidth="1"/>
    <col min="5398" max="5398" width="11.6640625" style="1366" customWidth="1"/>
    <col min="5399" max="5399" width="14.1640625" style="1366" customWidth="1"/>
    <col min="5400" max="5400" width="12" style="1366" customWidth="1"/>
    <col min="5401" max="5401" width="8.5" style="1366" customWidth="1"/>
    <col min="5402" max="5402" width="10.1640625" style="1366" customWidth="1"/>
    <col min="5403" max="5403" width="10.6640625" style="1366" customWidth="1"/>
    <col min="5404" max="5404" width="8.5" style="1366" customWidth="1"/>
    <col min="5405" max="5405" width="10" style="1366" customWidth="1"/>
    <col min="5406" max="5407" width="8.5" style="1366" customWidth="1"/>
    <col min="5408" max="5408" width="10.83203125" style="1366" customWidth="1"/>
    <col min="5409" max="5409" width="9.5" style="1366" customWidth="1"/>
    <col min="5410" max="5410" width="9.33203125" style="1366" customWidth="1"/>
    <col min="5411" max="5411" width="13" style="1366" customWidth="1"/>
    <col min="5412" max="5412" width="14.5" style="1366" customWidth="1"/>
    <col min="5413" max="5413" width="12.6640625" style="1366" bestFit="1" customWidth="1"/>
    <col min="5414" max="5415" width="0" style="1366" hidden="1" customWidth="1"/>
    <col min="5416" max="5416" width="9.33203125" style="1366"/>
    <col min="5417" max="5417" width="14.5" style="1366" bestFit="1" customWidth="1"/>
    <col min="5418" max="5632" width="9.33203125" style="1366"/>
    <col min="5633" max="5633" width="12.1640625" style="1366" customWidth="1"/>
    <col min="5634" max="5634" width="30.83203125" style="1366" customWidth="1"/>
    <col min="5635" max="5635" width="13.83203125" style="1366" customWidth="1"/>
    <col min="5636" max="5636" width="14" style="1366" customWidth="1"/>
    <col min="5637" max="5637" width="13" style="1366" customWidth="1"/>
    <col min="5638" max="5638" width="14.6640625" style="1366" customWidth="1"/>
    <col min="5639" max="5639" width="11.83203125" style="1366" customWidth="1"/>
    <col min="5640" max="5640" width="11.6640625" style="1366" customWidth="1"/>
    <col min="5641" max="5641" width="12.5" style="1366" customWidth="1"/>
    <col min="5642" max="5642" width="11.33203125" style="1366" customWidth="1"/>
    <col min="5643" max="5643" width="17" style="1366" customWidth="1"/>
    <col min="5644" max="5644" width="12.1640625" style="1366" customWidth="1"/>
    <col min="5645" max="5650" width="13" style="1366" customWidth="1"/>
    <col min="5651" max="5651" width="13.1640625" style="1366" customWidth="1"/>
    <col min="5652" max="5652" width="15" style="1366" customWidth="1"/>
    <col min="5653" max="5653" width="12.5" style="1366" customWidth="1"/>
    <col min="5654" max="5654" width="11.6640625" style="1366" customWidth="1"/>
    <col min="5655" max="5655" width="14.1640625" style="1366" customWidth="1"/>
    <col min="5656" max="5656" width="12" style="1366" customWidth="1"/>
    <col min="5657" max="5657" width="8.5" style="1366" customWidth="1"/>
    <col min="5658" max="5658" width="10.1640625" style="1366" customWidth="1"/>
    <col min="5659" max="5659" width="10.6640625" style="1366" customWidth="1"/>
    <col min="5660" max="5660" width="8.5" style="1366" customWidth="1"/>
    <col min="5661" max="5661" width="10" style="1366" customWidth="1"/>
    <col min="5662" max="5663" width="8.5" style="1366" customWidth="1"/>
    <col min="5664" max="5664" width="10.83203125" style="1366" customWidth="1"/>
    <col min="5665" max="5665" width="9.5" style="1366" customWidth="1"/>
    <col min="5666" max="5666" width="9.33203125" style="1366" customWidth="1"/>
    <col min="5667" max="5667" width="13" style="1366" customWidth="1"/>
    <col min="5668" max="5668" width="14.5" style="1366" customWidth="1"/>
    <col min="5669" max="5669" width="12.6640625" style="1366" bestFit="1" customWidth="1"/>
    <col min="5670" max="5671" width="0" style="1366" hidden="1" customWidth="1"/>
    <col min="5672" max="5672" width="9.33203125" style="1366"/>
    <col min="5673" max="5673" width="14.5" style="1366" bestFit="1" customWidth="1"/>
    <col min="5674" max="5888" width="9.33203125" style="1366"/>
    <col min="5889" max="5889" width="12.1640625" style="1366" customWidth="1"/>
    <col min="5890" max="5890" width="30.83203125" style="1366" customWidth="1"/>
    <col min="5891" max="5891" width="13.83203125" style="1366" customWidth="1"/>
    <col min="5892" max="5892" width="14" style="1366" customWidth="1"/>
    <col min="5893" max="5893" width="13" style="1366" customWidth="1"/>
    <col min="5894" max="5894" width="14.6640625" style="1366" customWidth="1"/>
    <col min="5895" max="5895" width="11.83203125" style="1366" customWidth="1"/>
    <col min="5896" max="5896" width="11.6640625" style="1366" customWidth="1"/>
    <col min="5897" max="5897" width="12.5" style="1366" customWidth="1"/>
    <col min="5898" max="5898" width="11.33203125" style="1366" customWidth="1"/>
    <col min="5899" max="5899" width="17" style="1366" customWidth="1"/>
    <col min="5900" max="5900" width="12.1640625" style="1366" customWidth="1"/>
    <col min="5901" max="5906" width="13" style="1366" customWidth="1"/>
    <col min="5907" max="5907" width="13.1640625" style="1366" customWidth="1"/>
    <col min="5908" max="5908" width="15" style="1366" customWidth="1"/>
    <col min="5909" max="5909" width="12.5" style="1366" customWidth="1"/>
    <col min="5910" max="5910" width="11.6640625" style="1366" customWidth="1"/>
    <col min="5911" max="5911" width="14.1640625" style="1366" customWidth="1"/>
    <col min="5912" max="5912" width="12" style="1366" customWidth="1"/>
    <col min="5913" max="5913" width="8.5" style="1366" customWidth="1"/>
    <col min="5914" max="5914" width="10.1640625" style="1366" customWidth="1"/>
    <col min="5915" max="5915" width="10.6640625" style="1366" customWidth="1"/>
    <col min="5916" max="5916" width="8.5" style="1366" customWidth="1"/>
    <col min="5917" max="5917" width="10" style="1366" customWidth="1"/>
    <col min="5918" max="5919" width="8.5" style="1366" customWidth="1"/>
    <col min="5920" max="5920" width="10.83203125" style="1366" customWidth="1"/>
    <col min="5921" max="5921" width="9.5" style="1366" customWidth="1"/>
    <col min="5922" max="5922" width="9.33203125" style="1366" customWidth="1"/>
    <col min="5923" max="5923" width="13" style="1366" customWidth="1"/>
    <col min="5924" max="5924" width="14.5" style="1366" customWidth="1"/>
    <col min="5925" max="5925" width="12.6640625" style="1366" bestFit="1" customWidth="1"/>
    <col min="5926" max="5927" width="0" style="1366" hidden="1" customWidth="1"/>
    <col min="5928" max="5928" width="9.33203125" style="1366"/>
    <col min="5929" max="5929" width="14.5" style="1366" bestFit="1" customWidth="1"/>
    <col min="5930" max="6144" width="9.33203125" style="1366"/>
    <col min="6145" max="6145" width="12.1640625" style="1366" customWidth="1"/>
    <col min="6146" max="6146" width="30.83203125" style="1366" customWidth="1"/>
    <col min="6147" max="6147" width="13.83203125" style="1366" customWidth="1"/>
    <col min="6148" max="6148" width="14" style="1366" customWidth="1"/>
    <col min="6149" max="6149" width="13" style="1366" customWidth="1"/>
    <col min="6150" max="6150" width="14.6640625" style="1366" customWidth="1"/>
    <col min="6151" max="6151" width="11.83203125" style="1366" customWidth="1"/>
    <col min="6152" max="6152" width="11.6640625" style="1366" customWidth="1"/>
    <col min="6153" max="6153" width="12.5" style="1366" customWidth="1"/>
    <col min="6154" max="6154" width="11.33203125" style="1366" customWidth="1"/>
    <col min="6155" max="6155" width="17" style="1366" customWidth="1"/>
    <col min="6156" max="6156" width="12.1640625" style="1366" customWidth="1"/>
    <col min="6157" max="6162" width="13" style="1366" customWidth="1"/>
    <col min="6163" max="6163" width="13.1640625" style="1366" customWidth="1"/>
    <col min="6164" max="6164" width="15" style="1366" customWidth="1"/>
    <col min="6165" max="6165" width="12.5" style="1366" customWidth="1"/>
    <col min="6166" max="6166" width="11.6640625" style="1366" customWidth="1"/>
    <col min="6167" max="6167" width="14.1640625" style="1366" customWidth="1"/>
    <col min="6168" max="6168" width="12" style="1366" customWidth="1"/>
    <col min="6169" max="6169" width="8.5" style="1366" customWidth="1"/>
    <col min="6170" max="6170" width="10.1640625" style="1366" customWidth="1"/>
    <col min="6171" max="6171" width="10.6640625" style="1366" customWidth="1"/>
    <col min="6172" max="6172" width="8.5" style="1366" customWidth="1"/>
    <col min="6173" max="6173" width="10" style="1366" customWidth="1"/>
    <col min="6174" max="6175" width="8.5" style="1366" customWidth="1"/>
    <col min="6176" max="6176" width="10.83203125" style="1366" customWidth="1"/>
    <col min="6177" max="6177" width="9.5" style="1366" customWidth="1"/>
    <col min="6178" max="6178" width="9.33203125" style="1366" customWidth="1"/>
    <col min="6179" max="6179" width="13" style="1366" customWidth="1"/>
    <col min="6180" max="6180" width="14.5" style="1366" customWidth="1"/>
    <col min="6181" max="6181" width="12.6640625" style="1366" bestFit="1" customWidth="1"/>
    <col min="6182" max="6183" width="0" style="1366" hidden="1" customWidth="1"/>
    <col min="6184" max="6184" width="9.33203125" style="1366"/>
    <col min="6185" max="6185" width="14.5" style="1366" bestFit="1" customWidth="1"/>
    <col min="6186" max="6400" width="9.33203125" style="1366"/>
    <col min="6401" max="6401" width="12.1640625" style="1366" customWidth="1"/>
    <col min="6402" max="6402" width="30.83203125" style="1366" customWidth="1"/>
    <col min="6403" max="6403" width="13.83203125" style="1366" customWidth="1"/>
    <col min="6404" max="6404" width="14" style="1366" customWidth="1"/>
    <col min="6405" max="6405" width="13" style="1366" customWidth="1"/>
    <col min="6406" max="6406" width="14.6640625" style="1366" customWidth="1"/>
    <col min="6407" max="6407" width="11.83203125" style="1366" customWidth="1"/>
    <col min="6408" max="6408" width="11.6640625" style="1366" customWidth="1"/>
    <col min="6409" max="6409" width="12.5" style="1366" customWidth="1"/>
    <col min="6410" max="6410" width="11.33203125" style="1366" customWidth="1"/>
    <col min="6411" max="6411" width="17" style="1366" customWidth="1"/>
    <col min="6412" max="6412" width="12.1640625" style="1366" customWidth="1"/>
    <col min="6413" max="6418" width="13" style="1366" customWidth="1"/>
    <col min="6419" max="6419" width="13.1640625" style="1366" customWidth="1"/>
    <col min="6420" max="6420" width="15" style="1366" customWidth="1"/>
    <col min="6421" max="6421" width="12.5" style="1366" customWidth="1"/>
    <col min="6422" max="6422" width="11.6640625" style="1366" customWidth="1"/>
    <col min="6423" max="6423" width="14.1640625" style="1366" customWidth="1"/>
    <col min="6424" max="6424" width="12" style="1366" customWidth="1"/>
    <col min="6425" max="6425" width="8.5" style="1366" customWidth="1"/>
    <col min="6426" max="6426" width="10.1640625" style="1366" customWidth="1"/>
    <col min="6427" max="6427" width="10.6640625" style="1366" customWidth="1"/>
    <col min="6428" max="6428" width="8.5" style="1366" customWidth="1"/>
    <col min="6429" max="6429" width="10" style="1366" customWidth="1"/>
    <col min="6430" max="6431" width="8.5" style="1366" customWidth="1"/>
    <col min="6432" max="6432" width="10.83203125" style="1366" customWidth="1"/>
    <col min="6433" max="6433" width="9.5" style="1366" customWidth="1"/>
    <col min="6434" max="6434" width="9.33203125" style="1366" customWidth="1"/>
    <col min="6435" max="6435" width="13" style="1366" customWidth="1"/>
    <col min="6436" max="6436" width="14.5" style="1366" customWidth="1"/>
    <col min="6437" max="6437" width="12.6640625" style="1366" bestFit="1" customWidth="1"/>
    <col min="6438" max="6439" width="0" style="1366" hidden="1" customWidth="1"/>
    <col min="6440" max="6440" width="9.33203125" style="1366"/>
    <col min="6441" max="6441" width="14.5" style="1366" bestFit="1" customWidth="1"/>
    <col min="6442" max="6656" width="9.33203125" style="1366"/>
    <col min="6657" max="6657" width="12.1640625" style="1366" customWidth="1"/>
    <col min="6658" max="6658" width="30.83203125" style="1366" customWidth="1"/>
    <col min="6659" max="6659" width="13.83203125" style="1366" customWidth="1"/>
    <col min="6660" max="6660" width="14" style="1366" customWidth="1"/>
    <col min="6661" max="6661" width="13" style="1366" customWidth="1"/>
    <col min="6662" max="6662" width="14.6640625" style="1366" customWidth="1"/>
    <col min="6663" max="6663" width="11.83203125" style="1366" customWidth="1"/>
    <col min="6664" max="6664" width="11.6640625" style="1366" customWidth="1"/>
    <col min="6665" max="6665" width="12.5" style="1366" customWidth="1"/>
    <col min="6666" max="6666" width="11.33203125" style="1366" customWidth="1"/>
    <col min="6667" max="6667" width="17" style="1366" customWidth="1"/>
    <col min="6668" max="6668" width="12.1640625" style="1366" customWidth="1"/>
    <col min="6669" max="6674" width="13" style="1366" customWidth="1"/>
    <col min="6675" max="6675" width="13.1640625" style="1366" customWidth="1"/>
    <col min="6676" max="6676" width="15" style="1366" customWidth="1"/>
    <col min="6677" max="6677" width="12.5" style="1366" customWidth="1"/>
    <col min="6678" max="6678" width="11.6640625" style="1366" customWidth="1"/>
    <col min="6679" max="6679" width="14.1640625" style="1366" customWidth="1"/>
    <col min="6680" max="6680" width="12" style="1366" customWidth="1"/>
    <col min="6681" max="6681" width="8.5" style="1366" customWidth="1"/>
    <col min="6682" max="6682" width="10.1640625" style="1366" customWidth="1"/>
    <col min="6683" max="6683" width="10.6640625" style="1366" customWidth="1"/>
    <col min="6684" max="6684" width="8.5" style="1366" customWidth="1"/>
    <col min="6685" max="6685" width="10" style="1366" customWidth="1"/>
    <col min="6686" max="6687" width="8.5" style="1366" customWidth="1"/>
    <col min="6688" max="6688" width="10.83203125" style="1366" customWidth="1"/>
    <col min="6689" max="6689" width="9.5" style="1366" customWidth="1"/>
    <col min="6690" max="6690" width="9.33203125" style="1366" customWidth="1"/>
    <col min="6691" max="6691" width="13" style="1366" customWidth="1"/>
    <col min="6692" max="6692" width="14.5" style="1366" customWidth="1"/>
    <col min="6693" max="6693" width="12.6640625" style="1366" bestFit="1" customWidth="1"/>
    <col min="6694" max="6695" width="0" style="1366" hidden="1" customWidth="1"/>
    <col min="6696" max="6696" width="9.33203125" style="1366"/>
    <col min="6697" max="6697" width="14.5" style="1366" bestFit="1" customWidth="1"/>
    <col min="6698" max="6912" width="9.33203125" style="1366"/>
    <col min="6913" max="6913" width="12.1640625" style="1366" customWidth="1"/>
    <col min="6914" max="6914" width="30.83203125" style="1366" customWidth="1"/>
    <col min="6915" max="6915" width="13.83203125" style="1366" customWidth="1"/>
    <col min="6916" max="6916" width="14" style="1366" customWidth="1"/>
    <col min="6917" max="6917" width="13" style="1366" customWidth="1"/>
    <col min="6918" max="6918" width="14.6640625" style="1366" customWidth="1"/>
    <col min="6919" max="6919" width="11.83203125" style="1366" customWidth="1"/>
    <col min="6920" max="6920" width="11.6640625" style="1366" customWidth="1"/>
    <col min="6921" max="6921" width="12.5" style="1366" customWidth="1"/>
    <col min="6922" max="6922" width="11.33203125" style="1366" customWidth="1"/>
    <col min="6923" max="6923" width="17" style="1366" customWidth="1"/>
    <col min="6924" max="6924" width="12.1640625" style="1366" customWidth="1"/>
    <col min="6925" max="6930" width="13" style="1366" customWidth="1"/>
    <col min="6931" max="6931" width="13.1640625" style="1366" customWidth="1"/>
    <col min="6932" max="6932" width="15" style="1366" customWidth="1"/>
    <col min="6933" max="6933" width="12.5" style="1366" customWidth="1"/>
    <col min="6934" max="6934" width="11.6640625" style="1366" customWidth="1"/>
    <col min="6935" max="6935" width="14.1640625" style="1366" customWidth="1"/>
    <col min="6936" max="6936" width="12" style="1366" customWidth="1"/>
    <col min="6937" max="6937" width="8.5" style="1366" customWidth="1"/>
    <col min="6938" max="6938" width="10.1640625" style="1366" customWidth="1"/>
    <col min="6939" max="6939" width="10.6640625" style="1366" customWidth="1"/>
    <col min="6940" max="6940" width="8.5" style="1366" customWidth="1"/>
    <col min="6941" max="6941" width="10" style="1366" customWidth="1"/>
    <col min="6942" max="6943" width="8.5" style="1366" customWidth="1"/>
    <col min="6944" max="6944" width="10.83203125" style="1366" customWidth="1"/>
    <col min="6945" max="6945" width="9.5" style="1366" customWidth="1"/>
    <col min="6946" max="6946" width="9.33203125" style="1366" customWidth="1"/>
    <col min="6947" max="6947" width="13" style="1366" customWidth="1"/>
    <col min="6948" max="6948" width="14.5" style="1366" customWidth="1"/>
    <col min="6949" max="6949" width="12.6640625" style="1366" bestFit="1" customWidth="1"/>
    <col min="6950" max="6951" width="0" style="1366" hidden="1" customWidth="1"/>
    <col min="6952" max="6952" width="9.33203125" style="1366"/>
    <col min="6953" max="6953" width="14.5" style="1366" bestFit="1" customWidth="1"/>
    <col min="6954" max="7168" width="9.33203125" style="1366"/>
    <col min="7169" max="7169" width="12.1640625" style="1366" customWidth="1"/>
    <col min="7170" max="7170" width="30.83203125" style="1366" customWidth="1"/>
    <col min="7171" max="7171" width="13.83203125" style="1366" customWidth="1"/>
    <col min="7172" max="7172" width="14" style="1366" customWidth="1"/>
    <col min="7173" max="7173" width="13" style="1366" customWidth="1"/>
    <col min="7174" max="7174" width="14.6640625" style="1366" customWidth="1"/>
    <col min="7175" max="7175" width="11.83203125" style="1366" customWidth="1"/>
    <col min="7176" max="7176" width="11.6640625" style="1366" customWidth="1"/>
    <col min="7177" max="7177" width="12.5" style="1366" customWidth="1"/>
    <col min="7178" max="7178" width="11.33203125" style="1366" customWidth="1"/>
    <col min="7179" max="7179" width="17" style="1366" customWidth="1"/>
    <col min="7180" max="7180" width="12.1640625" style="1366" customWidth="1"/>
    <col min="7181" max="7186" width="13" style="1366" customWidth="1"/>
    <col min="7187" max="7187" width="13.1640625" style="1366" customWidth="1"/>
    <col min="7188" max="7188" width="15" style="1366" customWidth="1"/>
    <col min="7189" max="7189" width="12.5" style="1366" customWidth="1"/>
    <col min="7190" max="7190" width="11.6640625" style="1366" customWidth="1"/>
    <col min="7191" max="7191" width="14.1640625" style="1366" customWidth="1"/>
    <col min="7192" max="7192" width="12" style="1366" customWidth="1"/>
    <col min="7193" max="7193" width="8.5" style="1366" customWidth="1"/>
    <col min="7194" max="7194" width="10.1640625" style="1366" customWidth="1"/>
    <col min="7195" max="7195" width="10.6640625" style="1366" customWidth="1"/>
    <col min="7196" max="7196" width="8.5" style="1366" customWidth="1"/>
    <col min="7197" max="7197" width="10" style="1366" customWidth="1"/>
    <col min="7198" max="7199" width="8.5" style="1366" customWidth="1"/>
    <col min="7200" max="7200" width="10.83203125" style="1366" customWidth="1"/>
    <col min="7201" max="7201" width="9.5" style="1366" customWidth="1"/>
    <col min="7202" max="7202" width="9.33203125" style="1366" customWidth="1"/>
    <col min="7203" max="7203" width="13" style="1366" customWidth="1"/>
    <col min="7204" max="7204" width="14.5" style="1366" customWidth="1"/>
    <col min="7205" max="7205" width="12.6640625" style="1366" bestFit="1" customWidth="1"/>
    <col min="7206" max="7207" width="0" style="1366" hidden="1" customWidth="1"/>
    <col min="7208" max="7208" width="9.33203125" style="1366"/>
    <col min="7209" max="7209" width="14.5" style="1366" bestFit="1" customWidth="1"/>
    <col min="7210" max="7424" width="9.33203125" style="1366"/>
    <col min="7425" max="7425" width="12.1640625" style="1366" customWidth="1"/>
    <col min="7426" max="7426" width="30.83203125" style="1366" customWidth="1"/>
    <col min="7427" max="7427" width="13.83203125" style="1366" customWidth="1"/>
    <col min="7428" max="7428" width="14" style="1366" customWidth="1"/>
    <col min="7429" max="7429" width="13" style="1366" customWidth="1"/>
    <col min="7430" max="7430" width="14.6640625" style="1366" customWidth="1"/>
    <col min="7431" max="7431" width="11.83203125" style="1366" customWidth="1"/>
    <col min="7432" max="7432" width="11.6640625" style="1366" customWidth="1"/>
    <col min="7433" max="7433" width="12.5" style="1366" customWidth="1"/>
    <col min="7434" max="7434" width="11.33203125" style="1366" customWidth="1"/>
    <col min="7435" max="7435" width="17" style="1366" customWidth="1"/>
    <col min="7436" max="7436" width="12.1640625" style="1366" customWidth="1"/>
    <col min="7437" max="7442" width="13" style="1366" customWidth="1"/>
    <col min="7443" max="7443" width="13.1640625" style="1366" customWidth="1"/>
    <col min="7444" max="7444" width="15" style="1366" customWidth="1"/>
    <col min="7445" max="7445" width="12.5" style="1366" customWidth="1"/>
    <col min="7446" max="7446" width="11.6640625" style="1366" customWidth="1"/>
    <col min="7447" max="7447" width="14.1640625" style="1366" customWidth="1"/>
    <col min="7448" max="7448" width="12" style="1366" customWidth="1"/>
    <col min="7449" max="7449" width="8.5" style="1366" customWidth="1"/>
    <col min="7450" max="7450" width="10.1640625" style="1366" customWidth="1"/>
    <col min="7451" max="7451" width="10.6640625" style="1366" customWidth="1"/>
    <col min="7452" max="7452" width="8.5" style="1366" customWidth="1"/>
    <col min="7453" max="7453" width="10" style="1366" customWidth="1"/>
    <col min="7454" max="7455" width="8.5" style="1366" customWidth="1"/>
    <col min="7456" max="7456" width="10.83203125" style="1366" customWidth="1"/>
    <col min="7457" max="7457" width="9.5" style="1366" customWidth="1"/>
    <col min="7458" max="7458" width="9.33203125" style="1366" customWidth="1"/>
    <col min="7459" max="7459" width="13" style="1366" customWidth="1"/>
    <col min="7460" max="7460" width="14.5" style="1366" customWidth="1"/>
    <col min="7461" max="7461" width="12.6640625" style="1366" bestFit="1" customWidth="1"/>
    <col min="7462" max="7463" width="0" style="1366" hidden="1" customWidth="1"/>
    <col min="7464" max="7464" width="9.33203125" style="1366"/>
    <col min="7465" max="7465" width="14.5" style="1366" bestFit="1" customWidth="1"/>
    <col min="7466" max="7680" width="9.33203125" style="1366"/>
    <col min="7681" max="7681" width="12.1640625" style="1366" customWidth="1"/>
    <col min="7682" max="7682" width="30.83203125" style="1366" customWidth="1"/>
    <col min="7683" max="7683" width="13.83203125" style="1366" customWidth="1"/>
    <col min="7684" max="7684" width="14" style="1366" customWidth="1"/>
    <col min="7685" max="7685" width="13" style="1366" customWidth="1"/>
    <col min="7686" max="7686" width="14.6640625" style="1366" customWidth="1"/>
    <col min="7687" max="7687" width="11.83203125" style="1366" customWidth="1"/>
    <col min="7688" max="7688" width="11.6640625" style="1366" customWidth="1"/>
    <col min="7689" max="7689" width="12.5" style="1366" customWidth="1"/>
    <col min="7690" max="7690" width="11.33203125" style="1366" customWidth="1"/>
    <col min="7691" max="7691" width="17" style="1366" customWidth="1"/>
    <col min="7692" max="7692" width="12.1640625" style="1366" customWidth="1"/>
    <col min="7693" max="7698" width="13" style="1366" customWidth="1"/>
    <col min="7699" max="7699" width="13.1640625" style="1366" customWidth="1"/>
    <col min="7700" max="7700" width="15" style="1366" customWidth="1"/>
    <col min="7701" max="7701" width="12.5" style="1366" customWidth="1"/>
    <col min="7702" max="7702" width="11.6640625" style="1366" customWidth="1"/>
    <col min="7703" max="7703" width="14.1640625" style="1366" customWidth="1"/>
    <col min="7704" max="7704" width="12" style="1366" customWidth="1"/>
    <col min="7705" max="7705" width="8.5" style="1366" customWidth="1"/>
    <col min="7706" max="7706" width="10.1640625" style="1366" customWidth="1"/>
    <col min="7707" max="7707" width="10.6640625" style="1366" customWidth="1"/>
    <col min="7708" max="7708" width="8.5" style="1366" customWidth="1"/>
    <col min="7709" max="7709" width="10" style="1366" customWidth="1"/>
    <col min="7710" max="7711" width="8.5" style="1366" customWidth="1"/>
    <col min="7712" max="7712" width="10.83203125" style="1366" customWidth="1"/>
    <col min="7713" max="7713" width="9.5" style="1366" customWidth="1"/>
    <col min="7714" max="7714" width="9.33203125" style="1366" customWidth="1"/>
    <col min="7715" max="7715" width="13" style="1366" customWidth="1"/>
    <col min="7716" max="7716" width="14.5" style="1366" customWidth="1"/>
    <col min="7717" max="7717" width="12.6640625" style="1366" bestFit="1" customWidth="1"/>
    <col min="7718" max="7719" width="0" style="1366" hidden="1" customWidth="1"/>
    <col min="7720" max="7720" width="9.33203125" style="1366"/>
    <col min="7721" max="7721" width="14.5" style="1366" bestFit="1" customWidth="1"/>
    <col min="7722" max="7936" width="9.33203125" style="1366"/>
    <col min="7937" max="7937" width="12.1640625" style="1366" customWidth="1"/>
    <col min="7938" max="7938" width="30.83203125" style="1366" customWidth="1"/>
    <col min="7939" max="7939" width="13.83203125" style="1366" customWidth="1"/>
    <col min="7940" max="7940" width="14" style="1366" customWidth="1"/>
    <col min="7941" max="7941" width="13" style="1366" customWidth="1"/>
    <col min="7942" max="7942" width="14.6640625" style="1366" customWidth="1"/>
    <col min="7943" max="7943" width="11.83203125" style="1366" customWidth="1"/>
    <col min="7944" max="7944" width="11.6640625" style="1366" customWidth="1"/>
    <col min="7945" max="7945" width="12.5" style="1366" customWidth="1"/>
    <col min="7946" max="7946" width="11.33203125" style="1366" customWidth="1"/>
    <col min="7947" max="7947" width="17" style="1366" customWidth="1"/>
    <col min="7948" max="7948" width="12.1640625" style="1366" customWidth="1"/>
    <col min="7949" max="7954" width="13" style="1366" customWidth="1"/>
    <col min="7955" max="7955" width="13.1640625" style="1366" customWidth="1"/>
    <col min="7956" max="7956" width="15" style="1366" customWidth="1"/>
    <col min="7957" max="7957" width="12.5" style="1366" customWidth="1"/>
    <col min="7958" max="7958" width="11.6640625" style="1366" customWidth="1"/>
    <col min="7959" max="7959" width="14.1640625" style="1366" customWidth="1"/>
    <col min="7960" max="7960" width="12" style="1366" customWidth="1"/>
    <col min="7961" max="7961" width="8.5" style="1366" customWidth="1"/>
    <col min="7962" max="7962" width="10.1640625" style="1366" customWidth="1"/>
    <col min="7963" max="7963" width="10.6640625" style="1366" customWidth="1"/>
    <col min="7964" max="7964" width="8.5" style="1366" customWidth="1"/>
    <col min="7965" max="7965" width="10" style="1366" customWidth="1"/>
    <col min="7966" max="7967" width="8.5" style="1366" customWidth="1"/>
    <col min="7968" max="7968" width="10.83203125" style="1366" customWidth="1"/>
    <col min="7969" max="7969" width="9.5" style="1366" customWidth="1"/>
    <col min="7970" max="7970" width="9.33203125" style="1366" customWidth="1"/>
    <col min="7971" max="7971" width="13" style="1366" customWidth="1"/>
    <col min="7972" max="7972" width="14.5" style="1366" customWidth="1"/>
    <col min="7973" max="7973" width="12.6640625" style="1366" bestFit="1" customWidth="1"/>
    <col min="7974" max="7975" width="0" style="1366" hidden="1" customWidth="1"/>
    <col min="7976" max="7976" width="9.33203125" style="1366"/>
    <col min="7977" max="7977" width="14.5" style="1366" bestFit="1" customWidth="1"/>
    <col min="7978" max="8192" width="9.33203125" style="1366"/>
    <col min="8193" max="8193" width="12.1640625" style="1366" customWidth="1"/>
    <col min="8194" max="8194" width="30.83203125" style="1366" customWidth="1"/>
    <col min="8195" max="8195" width="13.83203125" style="1366" customWidth="1"/>
    <col min="8196" max="8196" width="14" style="1366" customWidth="1"/>
    <col min="8197" max="8197" width="13" style="1366" customWidth="1"/>
    <col min="8198" max="8198" width="14.6640625" style="1366" customWidth="1"/>
    <col min="8199" max="8199" width="11.83203125" style="1366" customWidth="1"/>
    <col min="8200" max="8200" width="11.6640625" style="1366" customWidth="1"/>
    <col min="8201" max="8201" width="12.5" style="1366" customWidth="1"/>
    <col min="8202" max="8202" width="11.33203125" style="1366" customWidth="1"/>
    <col min="8203" max="8203" width="17" style="1366" customWidth="1"/>
    <col min="8204" max="8204" width="12.1640625" style="1366" customWidth="1"/>
    <col min="8205" max="8210" width="13" style="1366" customWidth="1"/>
    <col min="8211" max="8211" width="13.1640625" style="1366" customWidth="1"/>
    <col min="8212" max="8212" width="15" style="1366" customWidth="1"/>
    <col min="8213" max="8213" width="12.5" style="1366" customWidth="1"/>
    <col min="8214" max="8214" width="11.6640625" style="1366" customWidth="1"/>
    <col min="8215" max="8215" width="14.1640625" style="1366" customWidth="1"/>
    <col min="8216" max="8216" width="12" style="1366" customWidth="1"/>
    <col min="8217" max="8217" width="8.5" style="1366" customWidth="1"/>
    <col min="8218" max="8218" width="10.1640625" style="1366" customWidth="1"/>
    <col min="8219" max="8219" width="10.6640625" style="1366" customWidth="1"/>
    <col min="8220" max="8220" width="8.5" style="1366" customWidth="1"/>
    <col min="8221" max="8221" width="10" style="1366" customWidth="1"/>
    <col min="8222" max="8223" width="8.5" style="1366" customWidth="1"/>
    <col min="8224" max="8224" width="10.83203125" style="1366" customWidth="1"/>
    <col min="8225" max="8225" width="9.5" style="1366" customWidth="1"/>
    <col min="8226" max="8226" width="9.33203125" style="1366" customWidth="1"/>
    <col min="8227" max="8227" width="13" style="1366" customWidth="1"/>
    <col min="8228" max="8228" width="14.5" style="1366" customWidth="1"/>
    <col min="8229" max="8229" width="12.6640625" style="1366" bestFit="1" customWidth="1"/>
    <col min="8230" max="8231" width="0" style="1366" hidden="1" customWidth="1"/>
    <col min="8232" max="8232" width="9.33203125" style="1366"/>
    <col min="8233" max="8233" width="14.5" style="1366" bestFit="1" customWidth="1"/>
    <col min="8234" max="8448" width="9.33203125" style="1366"/>
    <col min="8449" max="8449" width="12.1640625" style="1366" customWidth="1"/>
    <col min="8450" max="8450" width="30.83203125" style="1366" customWidth="1"/>
    <col min="8451" max="8451" width="13.83203125" style="1366" customWidth="1"/>
    <col min="8452" max="8452" width="14" style="1366" customWidth="1"/>
    <col min="8453" max="8453" width="13" style="1366" customWidth="1"/>
    <col min="8454" max="8454" width="14.6640625" style="1366" customWidth="1"/>
    <col min="8455" max="8455" width="11.83203125" style="1366" customWidth="1"/>
    <col min="8456" max="8456" width="11.6640625" style="1366" customWidth="1"/>
    <col min="8457" max="8457" width="12.5" style="1366" customWidth="1"/>
    <col min="8458" max="8458" width="11.33203125" style="1366" customWidth="1"/>
    <col min="8459" max="8459" width="17" style="1366" customWidth="1"/>
    <col min="8460" max="8460" width="12.1640625" style="1366" customWidth="1"/>
    <col min="8461" max="8466" width="13" style="1366" customWidth="1"/>
    <col min="8467" max="8467" width="13.1640625" style="1366" customWidth="1"/>
    <col min="8468" max="8468" width="15" style="1366" customWidth="1"/>
    <col min="8469" max="8469" width="12.5" style="1366" customWidth="1"/>
    <col min="8470" max="8470" width="11.6640625" style="1366" customWidth="1"/>
    <col min="8471" max="8471" width="14.1640625" style="1366" customWidth="1"/>
    <col min="8472" max="8472" width="12" style="1366" customWidth="1"/>
    <col min="8473" max="8473" width="8.5" style="1366" customWidth="1"/>
    <col min="8474" max="8474" width="10.1640625" style="1366" customWidth="1"/>
    <col min="8475" max="8475" width="10.6640625" style="1366" customWidth="1"/>
    <col min="8476" max="8476" width="8.5" style="1366" customWidth="1"/>
    <col min="8477" max="8477" width="10" style="1366" customWidth="1"/>
    <col min="8478" max="8479" width="8.5" style="1366" customWidth="1"/>
    <col min="8480" max="8480" width="10.83203125" style="1366" customWidth="1"/>
    <col min="8481" max="8481" width="9.5" style="1366" customWidth="1"/>
    <col min="8482" max="8482" width="9.33203125" style="1366" customWidth="1"/>
    <col min="8483" max="8483" width="13" style="1366" customWidth="1"/>
    <col min="8484" max="8484" width="14.5" style="1366" customWidth="1"/>
    <col min="8485" max="8485" width="12.6640625" style="1366" bestFit="1" customWidth="1"/>
    <col min="8486" max="8487" width="0" style="1366" hidden="1" customWidth="1"/>
    <col min="8488" max="8488" width="9.33203125" style="1366"/>
    <col min="8489" max="8489" width="14.5" style="1366" bestFit="1" customWidth="1"/>
    <col min="8490" max="8704" width="9.33203125" style="1366"/>
    <col min="8705" max="8705" width="12.1640625" style="1366" customWidth="1"/>
    <col min="8706" max="8706" width="30.83203125" style="1366" customWidth="1"/>
    <col min="8707" max="8707" width="13.83203125" style="1366" customWidth="1"/>
    <col min="8708" max="8708" width="14" style="1366" customWidth="1"/>
    <col min="8709" max="8709" width="13" style="1366" customWidth="1"/>
    <col min="8710" max="8710" width="14.6640625" style="1366" customWidth="1"/>
    <col min="8711" max="8711" width="11.83203125" style="1366" customWidth="1"/>
    <col min="8712" max="8712" width="11.6640625" style="1366" customWidth="1"/>
    <col min="8713" max="8713" width="12.5" style="1366" customWidth="1"/>
    <col min="8714" max="8714" width="11.33203125" style="1366" customWidth="1"/>
    <col min="8715" max="8715" width="17" style="1366" customWidth="1"/>
    <col min="8716" max="8716" width="12.1640625" style="1366" customWidth="1"/>
    <col min="8717" max="8722" width="13" style="1366" customWidth="1"/>
    <col min="8723" max="8723" width="13.1640625" style="1366" customWidth="1"/>
    <col min="8724" max="8724" width="15" style="1366" customWidth="1"/>
    <col min="8725" max="8725" width="12.5" style="1366" customWidth="1"/>
    <col min="8726" max="8726" width="11.6640625" style="1366" customWidth="1"/>
    <col min="8727" max="8727" width="14.1640625" style="1366" customWidth="1"/>
    <col min="8728" max="8728" width="12" style="1366" customWidth="1"/>
    <col min="8729" max="8729" width="8.5" style="1366" customWidth="1"/>
    <col min="8730" max="8730" width="10.1640625" style="1366" customWidth="1"/>
    <col min="8731" max="8731" width="10.6640625" style="1366" customWidth="1"/>
    <col min="8732" max="8732" width="8.5" style="1366" customWidth="1"/>
    <col min="8733" max="8733" width="10" style="1366" customWidth="1"/>
    <col min="8734" max="8735" width="8.5" style="1366" customWidth="1"/>
    <col min="8736" max="8736" width="10.83203125" style="1366" customWidth="1"/>
    <col min="8737" max="8737" width="9.5" style="1366" customWidth="1"/>
    <col min="8738" max="8738" width="9.33203125" style="1366" customWidth="1"/>
    <col min="8739" max="8739" width="13" style="1366" customWidth="1"/>
    <col min="8740" max="8740" width="14.5" style="1366" customWidth="1"/>
    <col min="8741" max="8741" width="12.6640625" style="1366" bestFit="1" customWidth="1"/>
    <col min="8742" max="8743" width="0" style="1366" hidden="1" customWidth="1"/>
    <col min="8744" max="8744" width="9.33203125" style="1366"/>
    <col min="8745" max="8745" width="14.5" style="1366" bestFit="1" customWidth="1"/>
    <col min="8746" max="8960" width="9.33203125" style="1366"/>
    <col min="8961" max="8961" width="12.1640625" style="1366" customWidth="1"/>
    <col min="8962" max="8962" width="30.83203125" style="1366" customWidth="1"/>
    <col min="8963" max="8963" width="13.83203125" style="1366" customWidth="1"/>
    <col min="8964" max="8964" width="14" style="1366" customWidth="1"/>
    <col min="8965" max="8965" width="13" style="1366" customWidth="1"/>
    <col min="8966" max="8966" width="14.6640625" style="1366" customWidth="1"/>
    <col min="8967" max="8967" width="11.83203125" style="1366" customWidth="1"/>
    <col min="8968" max="8968" width="11.6640625" style="1366" customWidth="1"/>
    <col min="8969" max="8969" width="12.5" style="1366" customWidth="1"/>
    <col min="8970" max="8970" width="11.33203125" style="1366" customWidth="1"/>
    <col min="8971" max="8971" width="17" style="1366" customWidth="1"/>
    <col min="8972" max="8972" width="12.1640625" style="1366" customWidth="1"/>
    <col min="8973" max="8978" width="13" style="1366" customWidth="1"/>
    <col min="8979" max="8979" width="13.1640625" style="1366" customWidth="1"/>
    <col min="8980" max="8980" width="15" style="1366" customWidth="1"/>
    <col min="8981" max="8981" width="12.5" style="1366" customWidth="1"/>
    <col min="8982" max="8982" width="11.6640625" style="1366" customWidth="1"/>
    <col min="8983" max="8983" width="14.1640625" style="1366" customWidth="1"/>
    <col min="8984" max="8984" width="12" style="1366" customWidth="1"/>
    <col min="8985" max="8985" width="8.5" style="1366" customWidth="1"/>
    <col min="8986" max="8986" width="10.1640625" style="1366" customWidth="1"/>
    <col min="8987" max="8987" width="10.6640625" style="1366" customWidth="1"/>
    <col min="8988" max="8988" width="8.5" style="1366" customWidth="1"/>
    <col min="8989" max="8989" width="10" style="1366" customWidth="1"/>
    <col min="8990" max="8991" width="8.5" style="1366" customWidth="1"/>
    <col min="8992" max="8992" width="10.83203125" style="1366" customWidth="1"/>
    <col min="8993" max="8993" width="9.5" style="1366" customWidth="1"/>
    <col min="8994" max="8994" width="9.33203125" style="1366" customWidth="1"/>
    <col min="8995" max="8995" width="13" style="1366" customWidth="1"/>
    <col min="8996" max="8996" width="14.5" style="1366" customWidth="1"/>
    <col min="8997" max="8997" width="12.6640625" style="1366" bestFit="1" customWidth="1"/>
    <col min="8998" max="8999" width="0" style="1366" hidden="1" customWidth="1"/>
    <col min="9000" max="9000" width="9.33203125" style="1366"/>
    <col min="9001" max="9001" width="14.5" style="1366" bestFit="1" customWidth="1"/>
    <col min="9002" max="9216" width="9.33203125" style="1366"/>
    <col min="9217" max="9217" width="12.1640625" style="1366" customWidth="1"/>
    <col min="9218" max="9218" width="30.83203125" style="1366" customWidth="1"/>
    <col min="9219" max="9219" width="13.83203125" style="1366" customWidth="1"/>
    <col min="9220" max="9220" width="14" style="1366" customWidth="1"/>
    <col min="9221" max="9221" width="13" style="1366" customWidth="1"/>
    <col min="9222" max="9222" width="14.6640625" style="1366" customWidth="1"/>
    <col min="9223" max="9223" width="11.83203125" style="1366" customWidth="1"/>
    <col min="9224" max="9224" width="11.6640625" style="1366" customWidth="1"/>
    <col min="9225" max="9225" width="12.5" style="1366" customWidth="1"/>
    <col min="9226" max="9226" width="11.33203125" style="1366" customWidth="1"/>
    <col min="9227" max="9227" width="17" style="1366" customWidth="1"/>
    <col min="9228" max="9228" width="12.1640625" style="1366" customWidth="1"/>
    <col min="9229" max="9234" width="13" style="1366" customWidth="1"/>
    <col min="9235" max="9235" width="13.1640625" style="1366" customWidth="1"/>
    <col min="9236" max="9236" width="15" style="1366" customWidth="1"/>
    <col min="9237" max="9237" width="12.5" style="1366" customWidth="1"/>
    <col min="9238" max="9238" width="11.6640625" style="1366" customWidth="1"/>
    <col min="9239" max="9239" width="14.1640625" style="1366" customWidth="1"/>
    <col min="9240" max="9240" width="12" style="1366" customWidth="1"/>
    <col min="9241" max="9241" width="8.5" style="1366" customWidth="1"/>
    <col min="9242" max="9242" width="10.1640625" style="1366" customWidth="1"/>
    <col min="9243" max="9243" width="10.6640625" style="1366" customWidth="1"/>
    <col min="9244" max="9244" width="8.5" style="1366" customWidth="1"/>
    <col min="9245" max="9245" width="10" style="1366" customWidth="1"/>
    <col min="9246" max="9247" width="8.5" style="1366" customWidth="1"/>
    <col min="9248" max="9248" width="10.83203125" style="1366" customWidth="1"/>
    <col min="9249" max="9249" width="9.5" style="1366" customWidth="1"/>
    <col min="9250" max="9250" width="9.33203125" style="1366" customWidth="1"/>
    <col min="9251" max="9251" width="13" style="1366" customWidth="1"/>
    <col min="9252" max="9252" width="14.5" style="1366" customWidth="1"/>
    <col min="9253" max="9253" width="12.6640625" style="1366" bestFit="1" customWidth="1"/>
    <col min="9254" max="9255" width="0" style="1366" hidden="1" customWidth="1"/>
    <col min="9256" max="9256" width="9.33203125" style="1366"/>
    <col min="9257" max="9257" width="14.5" style="1366" bestFit="1" customWidth="1"/>
    <col min="9258" max="9472" width="9.33203125" style="1366"/>
    <col min="9473" max="9473" width="12.1640625" style="1366" customWidth="1"/>
    <col min="9474" max="9474" width="30.83203125" style="1366" customWidth="1"/>
    <col min="9475" max="9475" width="13.83203125" style="1366" customWidth="1"/>
    <col min="9476" max="9476" width="14" style="1366" customWidth="1"/>
    <col min="9477" max="9477" width="13" style="1366" customWidth="1"/>
    <col min="9478" max="9478" width="14.6640625" style="1366" customWidth="1"/>
    <col min="9479" max="9479" width="11.83203125" style="1366" customWidth="1"/>
    <col min="9480" max="9480" width="11.6640625" style="1366" customWidth="1"/>
    <col min="9481" max="9481" width="12.5" style="1366" customWidth="1"/>
    <col min="9482" max="9482" width="11.33203125" style="1366" customWidth="1"/>
    <col min="9483" max="9483" width="17" style="1366" customWidth="1"/>
    <col min="9484" max="9484" width="12.1640625" style="1366" customWidth="1"/>
    <col min="9485" max="9490" width="13" style="1366" customWidth="1"/>
    <col min="9491" max="9491" width="13.1640625" style="1366" customWidth="1"/>
    <col min="9492" max="9492" width="15" style="1366" customWidth="1"/>
    <col min="9493" max="9493" width="12.5" style="1366" customWidth="1"/>
    <col min="9494" max="9494" width="11.6640625" style="1366" customWidth="1"/>
    <col min="9495" max="9495" width="14.1640625" style="1366" customWidth="1"/>
    <col min="9496" max="9496" width="12" style="1366" customWidth="1"/>
    <col min="9497" max="9497" width="8.5" style="1366" customWidth="1"/>
    <col min="9498" max="9498" width="10.1640625" style="1366" customWidth="1"/>
    <col min="9499" max="9499" width="10.6640625" style="1366" customWidth="1"/>
    <col min="9500" max="9500" width="8.5" style="1366" customWidth="1"/>
    <col min="9501" max="9501" width="10" style="1366" customWidth="1"/>
    <col min="9502" max="9503" width="8.5" style="1366" customWidth="1"/>
    <col min="9504" max="9504" width="10.83203125" style="1366" customWidth="1"/>
    <col min="9505" max="9505" width="9.5" style="1366" customWidth="1"/>
    <col min="9506" max="9506" width="9.33203125" style="1366" customWidth="1"/>
    <col min="9507" max="9507" width="13" style="1366" customWidth="1"/>
    <col min="9508" max="9508" width="14.5" style="1366" customWidth="1"/>
    <col min="9509" max="9509" width="12.6640625" style="1366" bestFit="1" customWidth="1"/>
    <col min="9510" max="9511" width="0" style="1366" hidden="1" customWidth="1"/>
    <col min="9512" max="9512" width="9.33203125" style="1366"/>
    <col min="9513" max="9513" width="14.5" style="1366" bestFit="1" customWidth="1"/>
    <col min="9514" max="9728" width="9.33203125" style="1366"/>
    <col min="9729" max="9729" width="12.1640625" style="1366" customWidth="1"/>
    <col min="9730" max="9730" width="30.83203125" style="1366" customWidth="1"/>
    <col min="9731" max="9731" width="13.83203125" style="1366" customWidth="1"/>
    <col min="9732" max="9732" width="14" style="1366" customWidth="1"/>
    <col min="9733" max="9733" width="13" style="1366" customWidth="1"/>
    <col min="9734" max="9734" width="14.6640625" style="1366" customWidth="1"/>
    <col min="9735" max="9735" width="11.83203125" style="1366" customWidth="1"/>
    <col min="9736" max="9736" width="11.6640625" style="1366" customWidth="1"/>
    <col min="9737" max="9737" width="12.5" style="1366" customWidth="1"/>
    <col min="9738" max="9738" width="11.33203125" style="1366" customWidth="1"/>
    <col min="9739" max="9739" width="17" style="1366" customWidth="1"/>
    <col min="9740" max="9740" width="12.1640625" style="1366" customWidth="1"/>
    <col min="9741" max="9746" width="13" style="1366" customWidth="1"/>
    <col min="9747" max="9747" width="13.1640625" style="1366" customWidth="1"/>
    <col min="9748" max="9748" width="15" style="1366" customWidth="1"/>
    <col min="9749" max="9749" width="12.5" style="1366" customWidth="1"/>
    <col min="9750" max="9750" width="11.6640625" style="1366" customWidth="1"/>
    <col min="9751" max="9751" width="14.1640625" style="1366" customWidth="1"/>
    <col min="9752" max="9752" width="12" style="1366" customWidth="1"/>
    <col min="9753" max="9753" width="8.5" style="1366" customWidth="1"/>
    <col min="9754" max="9754" width="10.1640625" style="1366" customWidth="1"/>
    <col min="9755" max="9755" width="10.6640625" style="1366" customWidth="1"/>
    <col min="9756" max="9756" width="8.5" style="1366" customWidth="1"/>
    <col min="9757" max="9757" width="10" style="1366" customWidth="1"/>
    <col min="9758" max="9759" width="8.5" style="1366" customWidth="1"/>
    <col min="9760" max="9760" width="10.83203125" style="1366" customWidth="1"/>
    <col min="9761" max="9761" width="9.5" style="1366" customWidth="1"/>
    <col min="9762" max="9762" width="9.33203125" style="1366" customWidth="1"/>
    <col min="9763" max="9763" width="13" style="1366" customWidth="1"/>
    <col min="9764" max="9764" width="14.5" style="1366" customWidth="1"/>
    <col min="9765" max="9765" width="12.6640625" style="1366" bestFit="1" customWidth="1"/>
    <col min="9766" max="9767" width="0" style="1366" hidden="1" customWidth="1"/>
    <col min="9768" max="9768" width="9.33203125" style="1366"/>
    <col min="9769" max="9769" width="14.5" style="1366" bestFit="1" customWidth="1"/>
    <col min="9770" max="9984" width="9.33203125" style="1366"/>
    <col min="9985" max="9985" width="12.1640625" style="1366" customWidth="1"/>
    <col min="9986" max="9986" width="30.83203125" style="1366" customWidth="1"/>
    <col min="9987" max="9987" width="13.83203125" style="1366" customWidth="1"/>
    <col min="9988" max="9988" width="14" style="1366" customWidth="1"/>
    <col min="9989" max="9989" width="13" style="1366" customWidth="1"/>
    <col min="9990" max="9990" width="14.6640625" style="1366" customWidth="1"/>
    <col min="9991" max="9991" width="11.83203125" style="1366" customWidth="1"/>
    <col min="9992" max="9992" width="11.6640625" style="1366" customWidth="1"/>
    <col min="9993" max="9993" width="12.5" style="1366" customWidth="1"/>
    <col min="9994" max="9994" width="11.33203125" style="1366" customWidth="1"/>
    <col min="9995" max="9995" width="17" style="1366" customWidth="1"/>
    <col min="9996" max="9996" width="12.1640625" style="1366" customWidth="1"/>
    <col min="9997" max="10002" width="13" style="1366" customWidth="1"/>
    <col min="10003" max="10003" width="13.1640625" style="1366" customWidth="1"/>
    <col min="10004" max="10004" width="15" style="1366" customWidth="1"/>
    <col min="10005" max="10005" width="12.5" style="1366" customWidth="1"/>
    <col min="10006" max="10006" width="11.6640625" style="1366" customWidth="1"/>
    <col min="10007" max="10007" width="14.1640625" style="1366" customWidth="1"/>
    <col min="10008" max="10008" width="12" style="1366" customWidth="1"/>
    <col min="10009" max="10009" width="8.5" style="1366" customWidth="1"/>
    <col min="10010" max="10010" width="10.1640625" style="1366" customWidth="1"/>
    <col min="10011" max="10011" width="10.6640625" style="1366" customWidth="1"/>
    <col min="10012" max="10012" width="8.5" style="1366" customWidth="1"/>
    <col min="10013" max="10013" width="10" style="1366" customWidth="1"/>
    <col min="10014" max="10015" width="8.5" style="1366" customWidth="1"/>
    <col min="10016" max="10016" width="10.83203125" style="1366" customWidth="1"/>
    <col min="10017" max="10017" width="9.5" style="1366" customWidth="1"/>
    <col min="10018" max="10018" width="9.33203125" style="1366" customWidth="1"/>
    <col min="10019" max="10019" width="13" style="1366" customWidth="1"/>
    <col min="10020" max="10020" width="14.5" style="1366" customWidth="1"/>
    <col min="10021" max="10021" width="12.6640625" style="1366" bestFit="1" customWidth="1"/>
    <col min="10022" max="10023" width="0" style="1366" hidden="1" customWidth="1"/>
    <col min="10024" max="10024" width="9.33203125" style="1366"/>
    <col min="10025" max="10025" width="14.5" style="1366" bestFit="1" customWidth="1"/>
    <col min="10026" max="10240" width="9.33203125" style="1366"/>
    <col min="10241" max="10241" width="12.1640625" style="1366" customWidth="1"/>
    <col min="10242" max="10242" width="30.83203125" style="1366" customWidth="1"/>
    <col min="10243" max="10243" width="13.83203125" style="1366" customWidth="1"/>
    <col min="10244" max="10244" width="14" style="1366" customWidth="1"/>
    <col min="10245" max="10245" width="13" style="1366" customWidth="1"/>
    <col min="10246" max="10246" width="14.6640625" style="1366" customWidth="1"/>
    <col min="10247" max="10247" width="11.83203125" style="1366" customWidth="1"/>
    <col min="10248" max="10248" width="11.6640625" style="1366" customWidth="1"/>
    <col min="10249" max="10249" width="12.5" style="1366" customWidth="1"/>
    <col min="10250" max="10250" width="11.33203125" style="1366" customWidth="1"/>
    <col min="10251" max="10251" width="17" style="1366" customWidth="1"/>
    <col min="10252" max="10252" width="12.1640625" style="1366" customWidth="1"/>
    <col min="10253" max="10258" width="13" style="1366" customWidth="1"/>
    <col min="10259" max="10259" width="13.1640625" style="1366" customWidth="1"/>
    <col min="10260" max="10260" width="15" style="1366" customWidth="1"/>
    <col min="10261" max="10261" width="12.5" style="1366" customWidth="1"/>
    <col min="10262" max="10262" width="11.6640625" style="1366" customWidth="1"/>
    <col min="10263" max="10263" width="14.1640625" style="1366" customWidth="1"/>
    <col min="10264" max="10264" width="12" style="1366" customWidth="1"/>
    <col min="10265" max="10265" width="8.5" style="1366" customWidth="1"/>
    <col min="10266" max="10266" width="10.1640625" style="1366" customWidth="1"/>
    <col min="10267" max="10267" width="10.6640625" style="1366" customWidth="1"/>
    <col min="10268" max="10268" width="8.5" style="1366" customWidth="1"/>
    <col min="10269" max="10269" width="10" style="1366" customWidth="1"/>
    <col min="10270" max="10271" width="8.5" style="1366" customWidth="1"/>
    <col min="10272" max="10272" width="10.83203125" style="1366" customWidth="1"/>
    <col min="10273" max="10273" width="9.5" style="1366" customWidth="1"/>
    <col min="10274" max="10274" width="9.33203125" style="1366" customWidth="1"/>
    <col min="10275" max="10275" width="13" style="1366" customWidth="1"/>
    <col min="10276" max="10276" width="14.5" style="1366" customWidth="1"/>
    <col min="10277" max="10277" width="12.6640625" style="1366" bestFit="1" customWidth="1"/>
    <col min="10278" max="10279" width="0" style="1366" hidden="1" customWidth="1"/>
    <col min="10280" max="10280" width="9.33203125" style="1366"/>
    <col min="10281" max="10281" width="14.5" style="1366" bestFit="1" customWidth="1"/>
    <col min="10282" max="10496" width="9.33203125" style="1366"/>
    <col min="10497" max="10497" width="12.1640625" style="1366" customWidth="1"/>
    <col min="10498" max="10498" width="30.83203125" style="1366" customWidth="1"/>
    <col min="10499" max="10499" width="13.83203125" style="1366" customWidth="1"/>
    <col min="10500" max="10500" width="14" style="1366" customWidth="1"/>
    <col min="10501" max="10501" width="13" style="1366" customWidth="1"/>
    <col min="10502" max="10502" width="14.6640625" style="1366" customWidth="1"/>
    <col min="10503" max="10503" width="11.83203125" style="1366" customWidth="1"/>
    <col min="10504" max="10504" width="11.6640625" style="1366" customWidth="1"/>
    <col min="10505" max="10505" width="12.5" style="1366" customWidth="1"/>
    <col min="10506" max="10506" width="11.33203125" style="1366" customWidth="1"/>
    <col min="10507" max="10507" width="17" style="1366" customWidth="1"/>
    <col min="10508" max="10508" width="12.1640625" style="1366" customWidth="1"/>
    <col min="10509" max="10514" width="13" style="1366" customWidth="1"/>
    <col min="10515" max="10515" width="13.1640625" style="1366" customWidth="1"/>
    <col min="10516" max="10516" width="15" style="1366" customWidth="1"/>
    <col min="10517" max="10517" width="12.5" style="1366" customWidth="1"/>
    <col min="10518" max="10518" width="11.6640625" style="1366" customWidth="1"/>
    <col min="10519" max="10519" width="14.1640625" style="1366" customWidth="1"/>
    <col min="10520" max="10520" width="12" style="1366" customWidth="1"/>
    <col min="10521" max="10521" width="8.5" style="1366" customWidth="1"/>
    <col min="10522" max="10522" width="10.1640625" style="1366" customWidth="1"/>
    <col min="10523" max="10523" width="10.6640625" style="1366" customWidth="1"/>
    <col min="10524" max="10524" width="8.5" style="1366" customWidth="1"/>
    <col min="10525" max="10525" width="10" style="1366" customWidth="1"/>
    <col min="10526" max="10527" width="8.5" style="1366" customWidth="1"/>
    <col min="10528" max="10528" width="10.83203125" style="1366" customWidth="1"/>
    <col min="10529" max="10529" width="9.5" style="1366" customWidth="1"/>
    <col min="10530" max="10530" width="9.33203125" style="1366" customWidth="1"/>
    <col min="10531" max="10531" width="13" style="1366" customWidth="1"/>
    <col min="10532" max="10532" width="14.5" style="1366" customWidth="1"/>
    <col min="10533" max="10533" width="12.6640625" style="1366" bestFit="1" customWidth="1"/>
    <col min="10534" max="10535" width="0" style="1366" hidden="1" customWidth="1"/>
    <col min="10536" max="10536" width="9.33203125" style="1366"/>
    <col min="10537" max="10537" width="14.5" style="1366" bestFit="1" customWidth="1"/>
    <col min="10538" max="10752" width="9.33203125" style="1366"/>
    <col min="10753" max="10753" width="12.1640625" style="1366" customWidth="1"/>
    <col min="10754" max="10754" width="30.83203125" style="1366" customWidth="1"/>
    <col min="10755" max="10755" width="13.83203125" style="1366" customWidth="1"/>
    <col min="10756" max="10756" width="14" style="1366" customWidth="1"/>
    <col min="10757" max="10757" width="13" style="1366" customWidth="1"/>
    <col min="10758" max="10758" width="14.6640625" style="1366" customWidth="1"/>
    <col min="10759" max="10759" width="11.83203125" style="1366" customWidth="1"/>
    <col min="10760" max="10760" width="11.6640625" style="1366" customWidth="1"/>
    <col min="10761" max="10761" width="12.5" style="1366" customWidth="1"/>
    <col min="10762" max="10762" width="11.33203125" style="1366" customWidth="1"/>
    <col min="10763" max="10763" width="17" style="1366" customWidth="1"/>
    <col min="10764" max="10764" width="12.1640625" style="1366" customWidth="1"/>
    <col min="10765" max="10770" width="13" style="1366" customWidth="1"/>
    <col min="10771" max="10771" width="13.1640625" style="1366" customWidth="1"/>
    <col min="10772" max="10772" width="15" style="1366" customWidth="1"/>
    <col min="10773" max="10773" width="12.5" style="1366" customWidth="1"/>
    <col min="10774" max="10774" width="11.6640625" style="1366" customWidth="1"/>
    <col min="10775" max="10775" width="14.1640625" style="1366" customWidth="1"/>
    <col min="10776" max="10776" width="12" style="1366" customWidth="1"/>
    <col min="10777" max="10777" width="8.5" style="1366" customWidth="1"/>
    <col min="10778" max="10778" width="10.1640625" style="1366" customWidth="1"/>
    <col min="10779" max="10779" width="10.6640625" style="1366" customWidth="1"/>
    <col min="10780" max="10780" width="8.5" style="1366" customWidth="1"/>
    <col min="10781" max="10781" width="10" style="1366" customWidth="1"/>
    <col min="10782" max="10783" width="8.5" style="1366" customWidth="1"/>
    <col min="10784" max="10784" width="10.83203125" style="1366" customWidth="1"/>
    <col min="10785" max="10785" width="9.5" style="1366" customWidth="1"/>
    <col min="10786" max="10786" width="9.33203125" style="1366" customWidth="1"/>
    <col min="10787" max="10787" width="13" style="1366" customWidth="1"/>
    <col min="10788" max="10788" width="14.5" style="1366" customWidth="1"/>
    <col min="10789" max="10789" width="12.6640625" style="1366" bestFit="1" customWidth="1"/>
    <col min="10790" max="10791" width="0" style="1366" hidden="1" customWidth="1"/>
    <col min="10792" max="10792" width="9.33203125" style="1366"/>
    <col min="10793" max="10793" width="14.5" style="1366" bestFit="1" customWidth="1"/>
    <col min="10794" max="11008" width="9.33203125" style="1366"/>
    <col min="11009" max="11009" width="12.1640625" style="1366" customWidth="1"/>
    <col min="11010" max="11010" width="30.83203125" style="1366" customWidth="1"/>
    <col min="11011" max="11011" width="13.83203125" style="1366" customWidth="1"/>
    <col min="11012" max="11012" width="14" style="1366" customWidth="1"/>
    <col min="11013" max="11013" width="13" style="1366" customWidth="1"/>
    <col min="11014" max="11014" width="14.6640625" style="1366" customWidth="1"/>
    <col min="11015" max="11015" width="11.83203125" style="1366" customWidth="1"/>
    <col min="11016" max="11016" width="11.6640625" style="1366" customWidth="1"/>
    <col min="11017" max="11017" width="12.5" style="1366" customWidth="1"/>
    <col min="11018" max="11018" width="11.33203125" style="1366" customWidth="1"/>
    <col min="11019" max="11019" width="17" style="1366" customWidth="1"/>
    <col min="11020" max="11020" width="12.1640625" style="1366" customWidth="1"/>
    <col min="11021" max="11026" width="13" style="1366" customWidth="1"/>
    <col min="11027" max="11027" width="13.1640625" style="1366" customWidth="1"/>
    <col min="11028" max="11028" width="15" style="1366" customWidth="1"/>
    <col min="11029" max="11029" width="12.5" style="1366" customWidth="1"/>
    <col min="11030" max="11030" width="11.6640625" style="1366" customWidth="1"/>
    <col min="11031" max="11031" width="14.1640625" style="1366" customWidth="1"/>
    <col min="11032" max="11032" width="12" style="1366" customWidth="1"/>
    <col min="11033" max="11033" width="8.5" style="1366" customWidth="1"/>
    <col min="11034" max="11034" width="10.1640625" style="1366" customWidth="1"/>
    <col min="11035" max="11035" width="10.6640625" style="1366" customWidth="1"/>
    <col min="11036" max="11036" width="8.5" style="1366" customWidth="1"/>
    <col min="11037" max="11037" width="10" style="1366" customWidth="1"/>
    <col min="11038" max="11039" width="8.5" style="1366" customWidth="1"/>
    <col min="11040" max="11040" width="10.83203125" style="1366" customWidth="1"/>
    <col min="11041" max="11041" width="9.5" style="1366" customWidth="1"/>
    <col min="11042" max="11042" width="9.33203125" style="1366" customWidth="1"/>
    <col min="11043" max="11043" width="13" style="1366" customWidth="1"/>
    <col min="11044" max="11044" width="14.5" style="1366" customWidth="1"/>
    <col min="11045" max="11045" width="12.6640625" style="1366" bestFit="1" customWidth="1"/>
    <col min="11046" max="11047" width="0" style="1366" hidden="1" customWidth="1"/>
    <col min="11048" max="11048" width="9.33203125" style="1366"/>
    <col min="11049" max="11049" width="14.5" style="1366" bestFit="1" customWidth="1"/>
    <col min="11050" max="11264" width="9.33203125" style="1366"/>
    <col min="11265" max="11265" width="12.1640625" style="1366" customWidth="1"/>
    <col min="11266" max="11266" width="30.83203125" style="1366" customWidth="1"/>
    <col min="11267" max="11267" width="13.83203125" style="1366" customWidth="1"/>
    <col min="11268" max="11268" width="14" style="1366" customWidth="1"/>
    <col min="11269" max="11269" width="13" style="1366" customWidth="1"/>
    <col min="11270" max="11270" width="14.6640625" style="1366" customWidth="1"/>
    <col min="11271" max="11271" width="11.83203125" style="1366" customWidth="1"/>
    <col min="11272" max="11272" width="11.6640625" style="1366" customWidth="1"/>
    <col min="11273" max="11273" width="12.5" style="1366" customWidth="1"/>
    <col min="11274" max="11274" width="11.33203125" style="1366" customWidth="1"/>
    <col min="11275" max="11275" width="17" style="1366" customWidth="1"/>
    <col min="11276" max="11276" width="12.1640625" style="1366" customWidth="1"/>
    <col min="11277" max="11282" width="13" style="1366" customWidth="1"/>
    <col min="11283" max="11283" width="13.1640625" style="1366" customWidth="1"/>
    <col min="11284" max="11284" width="15" style="1366" customWidth="1"/>
    <col min="11285" max="11285" width="12.5" style="1366" customWidth="1"/>
    <col min="11286" max="11286" width="11.6640625" style="1366" customWidth="1"/>
    <col min="11287" max="11287" width="14.1640625" style="1366" customWidth="1"/>
    <col min="11288" max="11288" width="12" style="1366" customWidth="1"/>
    <col min="11289" max="11289" width="8.5" style="1366" customWidth="1"/>
    <col min="11290" max="11290" width="10.1640625" style="1366" customWidth="1"/>
    <col min="11291" max="11291" width="10.6640625" style="1366" customWidth="1"/>
    <col min="11292" max="11292" width="8.5" style="1366" customWidth="1"/>
    <col min="11293" max="11293" width="10" style="1366" customWidth="1"/>
    <col min="11294" max="11295" width="8.5" style="1366" customWidth="1"/>
    <col min="11296" max="11296" width="10.83203125" style="1366" customWidth="1"/>
    <col min="11297" max="11297" width="9.5" style="1366" customWidth="1"/>
    <col min="11298" max="11298" width="9.33203125" style="1366" customWidth="1"/>
    <col min="11299" max="11299" width="13" style="1366" customWidth="1"/>
    <col min="11300" max="11300" width="14.5" style="1366" customWidth="1"/>
    <col min="11301" max="11301" width="12.6640625" style="1366" bestFit="1" customWidth="1"/>
    <col min="11302" max="11303" width="0" style="1366" hidden="1" customWidth="1"/>
    <col min="11304" max="11304" width="9.33203125" style="1366"/>
    <col min="11305" max="11305" width="14.5" style="1366" bestFit="1" customWidth="1"/>
    <col min="11306" max="11520" width="9.33203125" style="1366"/>
    <col min="11521" max="11521" width="12.1640625" style="1366" customWidth="1"/>
    <col min="11522" max="11522" width="30.83203125" style="1366" customWidth="1"/>
    <col min="11523" max="11523" width="13.83203125" style="1366" customWidth="1"/>
    <col min="11524" max="11524" width="14" style="1366" customWidth="1"/>
    <col min="11525" max="11525" width="13" style="1366" customWidth="1"/>
    <col min="11526" max="11526" width="14.6640625" style="1366" customWidth="1"/>
    <col min="11527" max="11527" width="11.83203125" style="1366" customWidth="1"/>
    <col min="11528" max="11528" width="11.6640625" style="1366" customWidth="1"/>
    <col min="11529" max="11529" width="12.5" style="1366" customWidth="1"/>
    <col min="11530" max="11530" width="11.33203125" style="1366" customWidth="1"/>
    <col min="11531" max="11531" width="17" style="1366" customWidth="1"/>
    <col min="11532" max="11532" width="12.1640625" style="1366" customWidth="1"/>
    <col min="11533" max="11538" width="13" style="1366" customWidth="1"/>
    <col min="11539" max="11539" width="13.1640625" style="1366" customWidth="1"/>
    <col min="11540" max="11540" width="15" style="1366" customWidth="1"/>
    <col min="11541" max="11541" width="12.5" style="1366" customWidth="1"/>
    <col min="11542" max="11542" width="11.6640625" style="1366" customWidth="1"/>
    <col min="11543" max="11543" width="14.1640625" style="1366" customWidth="1"/>
    <col min="11544" max="11544" width="12" style="1366" customWidth="1"/>
    <col min="11545" max="11545" width="8.5" style="1366" customWidth="1"/>
    <col min="11546" max="11546" width="10.1640625" style="1366" customWidth="1"/>
    <col min="11547" max="11547" width="10.6640625" style="1366" customWidth="1"/>
    <col min="11548" max="11548" width="8.5" style="1366" customWidth="1"/>
    <col min="11549" max="11549" width="10" style="1366" customWidth="1"/>
    <col min="11550" max="11551" width="8.5" style="1366" customWidth="1"/>
    <col min="11552" max="11552" width="10.83203125" style="1366" customWidth="1"/>
    <col min="11553" max="11553" width="9.5" style="1366" customWidth="1"/>
    <col min="11554" max="11554" width="9.33203125" style="1366" customWidth="1"/>
    <col min="11555" max="11555" width="13" style="1366" customWidth="1"/>
    <col min="11556" max="11556" width="14.5" style="1366" customWidth="1"/>
    <col min="11557" max="11557" width="12.6640625" style="1366" bestFit="1" customWidth="1"/>
    <col min="11558" max="11559" width="0" style="1366" hidden="1" customWidth="1"/>
    <col min="11560" max="11560" width="9.33203125" style="1366"/>
    <col min="11561" max="11561" width="14.5" style="1366" bestFit="1" customWidth="1"/>
    <col min="11562" max="11776" width="9.33203125" style="1366"/>
    <col min="11777" max="11777" width="12.1640625" style="1366" customWidth="1"/>
    <col min="11778" max="11778" width="30.83203125" style="1366" customWidth="1"/>
    <col min="11779" max="11779" width="13.83203125" style="1366" customWidth="1"/>
    <col min="11780" max="11780" width="14" style="1366" customWidth="1"/>
    <col min="11781" max="11781" width="13" style="1366" customWidth="1"/>
    <col min="11782" max="11782" width="14.6640625" style="1366" customWidth="1"/>
    <col min="11783" max="11783" width="11.83203125" style="1366" customWidth="1"/>
    <col min="11784" max="11784" width="11.6640625" style="1366" customWidth="1"/>
    <col min="11785" max="11785" width="12.5" style="1366" customWidth="1"/>
    <col min="11786" max="11786" width="11.33203125" style="1366" customWidth="1"/>
    <col min="11787" max="11787" width="17" style="1366" customWidth="1"/>
    <col min="11788" max="11788" width="12.1640625" style="1366" customWidth="1"/>
    <col min="11789" max="11794" width="13" style="1366" customWidth="1"/>
    <col min="11795" max="11795" width="13.1640625" style="1366" customWidth="1"/>
    <col min="11796" max="11796" width="15" style="1366" customWidth="1"/>
    <col min="11797" max="11797" width="12.5" style="1366" customWidth="1"/>
    <col min="11798" max="11798" width="11.6640625" style="1366" customWidth="1"/>
    <col min="11799" max="11799" width="14.1640625" style="1366" customWidth="1"/>
    <col min="11800" max="11800" width="12" style="1366" customWidth="1"/>
    <col min="11801" max="11801" width="8.5" style="1366" customWidth="1"/>
    <col min="11802" max="11802" width="10.1640625" style="1366" customWidth="1"/>
    <col min="11803" max="11803" width="10.6640625" style="1366" customWidth="1"/>
    <col min="11804" max="11804" width="8.5" style="1366" customWidth="1"/>
    <col min="11805" max="11805" width="10" style="1366" customWidth="1"/>
    <col min="11806" max="11807" width="8.5" style="1366" customWidth="1"/>
    <col min="11808" max="11808" width="10.83203125" style="1366" customWidth="1"/>
    <col min="11809" max="11809" width="9.5" style="1366" customWidth="1"/>
    <col min="11810" max="11810" width="9.33203125" style="1366" customWidth="1"/>
    <col min="11811" max="11811" width="13" style="1366" customWidth="1"/>
    <col min="11812" max="11812" width="14.5" style="1366" customWidth="1"/>
    <col min="11813" max="11813" width="12.6640625" style="1366" bestFit="1" customWidth="1"/>
    <col min="11814" max="11815" width="0" style="1366" hidden="1" customWidth="1"/>
    <col min="11816" max="11816" width="9.33203125" style="1366"/>
    <col min="11817" max="11817" width="14.5" style="1366" bestFit="1" customWidth="1"/>
    <col min="11818" max="12032" width="9.33203125" style="1366"/>
    <col min="12033" max="12033" width="12.1640625" style="1366" customWidth="1"/>
    <col min="12034" max="12034" width="30.83203125" style="1366" customWidth="1"/>
    <col min="12035" max="12035" width="13.83203125" style="1366" customWidth="1"/>
    <col min="12036" max="12036" width="14" style="1366" customWidth="1"/>
    <col min="12037" max="12037" width="13" style="1366" customWidth="1"/>
    <col min="12038" max="12038" width="14.6640625" style="1366" customWidth="1"/>
    <col min="12039" max="12039" width="11.83203125" style="1366" customWidth="1"/>
    <col min="12040" max="12040" width="11.6640625" style="1366" customWidth="1"/>
    <col min="12041" max="12041" width="12.5" style="1366" customWidth="1"/>
    <col min="12042" max="12042" width="11.33203125" style="1366" customWidth="1"/>
    <col min="12043" max="12043" width="17" style="1366" customWidth="1"/>
    <col min="12044" max="12044" width="12.1640625" style="1366" customWidth="1"/>
    <col min="12045" max="12050" width="13" style="1366" customWidth="1"/>
    <col min="12051" max="12051" width="13.1640625" style="1366" customWidth="1"/>
    <col min="12052" max="12052" width="15" style="1366" customWidth="1"/>
    <col min="12053" max="12053" width="12.5" style="1366" customWidth="1"/>
    <col min="12054" max="12054" width="11.6640625" style="1366" customWidth="1"/>
    <col min="12055" max="12055" width="14.1640625" style="1366" customWidth="1"/>
    <col min="12056" max="12056" width="12" style="1366" customWidth="1"/>
    <col min="12057" max="12057" width="8.5" style="1366" customWidth="1"/>
    <col min="12058" max="12058" width="10.1640625" style="1366" customWidth="1"/>
    <col min="12059" max="12059" width="10.6640625" style="1366" customWidth="1"/>
    <col min="12060" max="12060" width="8.5" style="1366" customWidth="1"/>
    <col min="12061" max="12061" width="10" style="1366" customWidth="1"/>
    <col min="12062" max="12063" width="8.5" style="1366" customWidth="1"/>
    <col min="12064" max="12064" width="10.83203125" style="1366" customWidth="1"/>
    <col min="12065" max="12065" width="9.5" style="1366" customWidth="1"/>
    <col min="12066" max="12066" width="9.33203125" style="1366" customWidth="1"/>
    <col min="12067" max="12067" width="13" style="1366" customWidth="1"/>
    <col min="12068" max="12068" width="14.5" style="1366" customWidth="1"/>
    <col min="12069" max="12069" width="12.6640625" style="1366" bestFit="1" customWidth="1"/>
    <col min="12070" max="12071" width="0" style="1366" hidden="1" customWidth="1"/>
    <col min="12072" max="12072" width="9.33203125" style="1366"/>
    <col min="12073" max="12073" width="14.5" style="1366" bestFit="1" customWidth="1"/>
    <col min="12074" max="12288" width="9.33203125" style="1366"/>
    <col min="12289" max="12289" width="12.1640625" style="1366" customWidth="1"/>
    <col min="12290" max="12290" width="30.83203125" style="1366" customWidth="1"/>
    <col min="12291" max="12291" width="13.83203125" style="1366" customWidth="1"/>
    <col min="12292" max="12292" width="14" style="1366" customWidth="1"/>
    <col min="12293" max="12293" width="13" style="1366" customWidth="1"/>
    <col min="12294" max="12294" width="14.6640625" style="1366" customWidth="1"/>
    <col min="12295" max="12295" width="11.83203125" style="1366" customWidth="1"/>
    <col min="12296" max="12296" width="11.6640625" style="1366" customWidth="1"/>
    <col min="12297" max="12297" width="12.5" style="1366" customWidth="1"/>
    <col min="12298" max="12298" width="11.33203125" style="1366" customWidth="1"/>
    <col min="12299" max="12299" width="17" style="1366" customWidth="1"/>
    <col min="12300" max="12300" width="12.1640625" style="1366" customWidth="1"/>
    <col min="12301" max="12306" width="13" style="1366" customWidth="1"/>
    <col min="12307" max="12307" width="13.1640625" style="1366" customWidth="1"/>
    <col min="12308" max="12308" width="15" style="1366" customWidth="1"/>
    <col min="12309" max="12309" width="12.5" style="1366" customWidth="1"/>
    <col min="12310" max="12310" width="11.6640625" style="1366" customWidth="1"/>
    <col min="12311" max="12311" width="14.1640625" style="1366" customWidth="1"/>
    <col min="12312" max="12312" width="12" style="1366" customWidth="1"/>
    <col min="12313" max="12313" width="8.5" style="1366" customWidth="1"/>
    <col min="12314" max="12314" width="10.1640625" style="1366" customWidth="1"/>
    <col min="12315" max="12315" width="10.6640625" style="1366" customWidth="1"/>
    <col min="12316" max="12316" width="8.5" style="1366" customWidth="1"/>
    <col min="12317" max="12317" width="10" style="1366" customWidth="1"/>
    <col min="12318" max="12319" width="8.5" style="1366" customWidth="1"/>
    <col min="12320" max="12320" width="10.83203125" style="1366" customWidth="1"/>
    <col min="12321" max="12321" width="9.5" style="1366" customWidth="1"/>
    <col min="12322" max="12322" width="9.33203125" style="1366" customWidth="1"/>
    <col min="12323" max="12323" width="13" style="1366" customWidth="1"/>
    <col min="12324" max="12324" width="14.5" style="1366" customWidth="1"/>
    <col min="12325" max="12325" width="12.6640625" style="1366" bestFit="1" customWidth="1"/>
    <col min="12326" max="12327" width="0" style="1366" hidden="1" customWidth="1"/>
    <col min="12328" max="12328" width="9.33203125" style="1366"/>
    <col min="12329" max="12329" width="14.5" style="1366" bestFit="1" customWidth="1"/>
    <col min="12330" max="12544" width="9.33203125" style="1366"/>
    <col min="12545" max="12545" width="12.1640625" style="1366" customWidth="1"/>
    <col min="12546" max="12546" width="30.83203125" style="1366" customWidth="1"/>
    <col min="12547" max="12547" width="13.83203125" style="1366" customWidth="1"/>
    <col min="12548" max="12548" width="14" style="1366" customWidth="1"/>
    <col min="12549" max="12549" width="13" style="1366" customWidth="1"/>
    <col min="12550" max="12550" width="14.6640625" style="1366" customWidth="1"/>
    <col min="12551" max="12551" width="11.83203125" style="1366" customWidth="1"/>
    <col min="12552" max="12552" width="11.6640625" style="1366" customWidth="1"/>
    <col min="12553" max="12553" width="12.5" style="1366" customWidth="1"/>
    <col min="12554" max="12554" width="11.33203125" style="1366" customWidth="1"/>
    <col min="12555" max="12555" width="17" style="1366" customWidth="1"/>
    <col min="12556" max="12556" width="12.1640625" style="1366" customWidth="1"/>
    <col min="12557" max="12562" width="13" style="1366" customWidth="1"/>
    <col min="12563" max="12563" width="13.1640625" style="1366" customWidth="1"/>
    <col min="12564" max="12564" width="15" style="1366" customWidth="1"/>
    <col min="12565" max="12565" width="12.5" style="1366" customWidth="1"/>
    <col min="12566" max="12566" width="11.6640625" style="1366" customWidth="1"/>
    <col min="12567" max="12567" width="14.1640625" style="1366" customWidth="1"/>
    <col min="12568" max="12568" width="12" style="1366" customWidth="1"/>
    <col min="12569" max="12569" width="8.5" style="1366" customWidth="1"/>
    <col min="12570" max="12570" width="10.1640625" style="1366" customWidth="1"/>
    <col min="12571" max="12571" width="10.6640625" style="1366" customWidth="1"/>
    <col min="12572" max="12572" width="8.5" style="1366" customWidth="1"/>
    <col min="12573" max="12573" width="10" style="1366" customWidth="1"/>
    <col min="12574" max="12575" width="8.5" style="1366" customWidth="1"/>
    <col min="12576" max="12576" width="10.83203125" style="1366" customWidth="1"/>
    <col min="12577" max="12577" width="9.5" style="1366" customWidth="1"/>
    <col min="12578" max="12578" width="9.33203125" style="1366" customWidth="1"/>
    <col min="12579" max="12579" width="13" style="1366" customWidth="1"/>
    <col min="12580" max="12580" width="14.5" style="1366" customWidth="1"/>
    <col min="12581" max="12581" width="12.6640625" style="1366" bestFit="1" customWidth="1"/>
    <col min="12582" max="12583" width="0" style="1366" hidden="1" customWidth="1"/>
    <col min="12584" max="12584" width="9.33203125" style="1366"/>
    <col min="12585" max="12585" width="14.5" style="1366" bestFit="1" customWidth="1"/>
    <col min="12586" max="12800" width="9.33203125" style="1366"/>
    <col min="12801" max="12801" width="12.1640625" style="1366" customWidth="1"/>
    <col min="12802" max="12802" width="30.83203125" style="1366" customWidth="1"/>
    <col min="12803" max="12803" width="13.83203125" style="1366" customWidth="1"/>
    <col min="12804" max="12804" width="14" style="1366" customWidth="1"/>
    <col min="12805" max="12805" width="13" style="1366" customWidth="1"/>
    <col min="12806" max="12806" width="14.6640625" style="1366" customWidth="1"/>
    <col min="12807" max="12807" width="11.83203125" style="1366" customWidth="1"/>
    <col min="12808" max="12808" width="11.6640625" style="1366" customWidth="1"/>
    <col min="12809" max="12809" width="12.5" style="1366" customWidth="1"/>
    <col min="12810" max="12810" width="11.33203125" style="1366" customWidth="1"/>
    <col min="12811" max="12811" width="17" style="1366" customWidth="1"/>
    <col min="12812" max="12812" width="12.1640625" style="1366" customWidth="1"/>
    <col min="12813" max="12818" width="13" style="1366" customWidth="1"/>
    <col min="12819" max="12819" width="13.1640625" style="1366" customWidth="1"/>
    <col min="12820" max="12820" width="15" style="1366" customWidth="1"/>
    <col min="12821" max="12821" width="12.5" style="1366" customWidth="1"/>
    <col min="12822" max="12822" width="11.6640625" style="1366" customWidth="1"/>
    <col min="12823" max="12823" width="14.1640625" style="1366" customWidth="1"/>
    <col min="12824" max="12824" width="12" style="1366" customWidth="1"/>
    <col min="12825" max="12825" width="8.5" style="1366" customWidth="1"/>
    <col min="12826" max="12826" width="10.1640625" style="1366" customWidth="1"/>
    <col min="12827" max="12827" width="10.6640625" style="1366" customWidth="1"/>
    <col min="12828" max="12828" width="8.5" style="1366" customWidth="1"/>
    <col min="12829" max="12829" width="10" style="1366" customWidth="1"/>
    <col min="12830" max="12831" width="8.5" style="1366" customWidth="1"/>
    <col min="12832" max="12832" width="10.83203125" style="1366" customWidth="1"/>
    <col min="12833" max="12833" width="9.5" style="1366" customWidth="1"/>
    <col min="12834" max="12834" width="9.33203125" style="1366" customWidth="1"/>
    <col min="12835" max="12835" width="13" style="1366" customWidth="1"/>
    <col min="12836" max="12836" width="14.5" style="1366" customWidth="1"/>
    <col min="12837" max="12837" width="12.6640625" style="1366" bestFit="1" customWidth="1"/>
    <col min="12838" max="12839" width="0" style="1366" hidden="1" customWidth="1"/>
    <col min="12840" max="12840" width="9.33203125" style="1366"/>
    <col min="12841" max="12841" width="14.5" style="1366" bestFit="1" customWidth="1"/>
    <col min="12842" max="13056" width="9.33203125" style="1366"/>
    <col min="13057" max="13057" width="12.1640625" style="1366" customWidth="1"/>
    <col min="13058" max="13058" width="30.83203125" style="1366" customWidth="1"/>
    <col min="13059" max="13059" width="13.83203125" style="1366" customWidth="1"/>
    <col min="13060" max="13060" width="14" style="1366" customWidth="1"/>
    <col min="13061" max="13061" width="13" style="1366" customWidth="1"/>
    <col min="13062" max="13062" width="14.6640625" style="1366" customWidth="1"/>
    <col min="13063" max="13063" width="11.83203125" style="1366" customWidth="1"/>
    <col min="13064" max="13064" width="11.6640625" style="1366" customWidth="1"/>
    <col min="13065" max="13065" width="12.5" style="1366" customWidth="1"/>
    <col min="13066" max="13066" width="11.33203125" style="1366" customWidth="1"/>
    <col min="13067" max="13067" width="17" style="1366" customWidth="1"/>
    <col min="13068" max="13068" width="12.1640625" style="1366" customWidth="1"/>
    <col min="13069" max="13074" width="13" style="1366" customWidth="1"/>
    <col min="13075" max="13075" width="13.1640625" style="1366" customWidth="1"/>
    <col min="13076" max="13076" width="15" style="1366" customWidth="1"/>
    <col min="13077" max="13077" width="12.5" style="1366" customWidth="1"/>
    <col min="13078" max="13078" width="11.6640625" style="1366" customWidth="1"/>
    <col min="13079" max="13079" width="14.1640625" style="1366" customWidth="1"/>
    <col min="13080" max="13080" width="12" style="1366" customWidth="1"/>
    <col min="13081" max="13081" width="8.5" style="1366" customWidth="1"/>
    <col min="13082" max="13082" width="10.1640625" style="1366" customWidth="1"/>
    <col min="13083" max="13083" width="10.6640625" style="1366" customWidth="1"/>
    <col min="13084" max="13084" width="8.5" style="1366" customWidth="1"/>
    <col min="13085" max="13085" width="10" style="1366" customWidth="1"/>
    <col min="13086" max="13087" width="8.5" style="1366" customWidth="1"/>
    <col min="13088" max="13088" width="10.83203125" style="1366" customWidth="1"/>
    <col min="13089" max="13089" width="9.5" style="1366" customWidth="1"/>
    <col min="13090" max="13090" width="9.33203125" style="1366" customWidth="1"/>
    <col min="13091" max="13091" width="13" style="1366" customWidth="1"/>
    <col min="13092" max="13092" width="14.5" style="1366" customWidth="1"/>
    <col min="13093" max="13093" width="12.6640625" style="1366" bestFit="1" customWidth="1"/>
    <col min="13094" max="13095" width="0" style="1366" hidden="1" customWidth="1"/>
    <col min="13096" max="13096" width="9.33203125" style="1366"/>
    <col min="13097" max="13097" width="14.5" style="1366" bestFit="1" customWidth="1"/>
    <col min="13098" max="13312" width="9.33203125" style="1366"/>
    <col min="13313" max="13313" width="12.1640625" style="1366" customWidth="1"/>
    <col min="13314" max="13314" width="30.83203125" style="1366" customWidth="1"/>
    <col min="13315" max="13315" width="13.83203125" style="1366" customWidth="1"/>
    <col min="13316" max="13316" width="14" style="1366" customWidth="1"/>
    <col min="13317" max="13317" width="13" style="1366" customWidth="1"/>
    <col min="13318" max="13318" width="14.6640625" style="1366" customWidth="1"/>
    <col min="13319" max="13319" width="11.83203125" style="1366" customWidth="1"/>
    <col min="13320" max="13320" width="11.6640625" style="1366" customWidth="1"/>
    <col min="13321" max="13321" width="12.5" style="1366" customWidth="1"/>
    <col min="13322" max="13322" width="11.33203125" style="1366" customWidth="1"/>
    <col min="13323" max="13323" width="17" style="1366" customWidth="1"/>
    <col min="13324" max="13324" width="12.1640625" style="1366" customWidth="1"/>
    <col min="13325" max="13330" width="13" style="1366" customWidth="1"/>
    <col min="13331" max="13331" width="13.1640625" style="1366" customWidth="1"/>
    <col min="13332" max="13332" width="15" style="1366" customWidth="1"/>
    <col min="13333" max="13333" width="12.5" style="1366" customWidth="1"/>
    <col min="13334" max="13334" width="11.6640625" style="1366" customWidth="1"/>
    <col min="13335" max="13335" width="14.1640625" style="1366" customWidth="1"/>
    <col min="13336" max="13336" width="12" style="1366" customWidth="1"/>
    <col min="13337" max="13337" width="8.5" style="1366" customWidth="1"/>
    <col min="13338" max="13338" width="10.1640625" style="1366" customWidth="1"/>
    <col min="13339" max="13339" width="10.6640625" style="1366" customWidth="1"/>
    <col min="13340" max="13340" width="8.5" style="1366" customWidth="1"/>
    <col min="13341" max="13341" width="10" style="1366" customWidth="1"/>
    <col min="13342" max="13343" width="8.5" style="1366" customWidth="1"/>
    <col min="13344" max="13344" width="10.83203125" style="1366" customWidth="1"/>
    <col min="13345" max="13345" width="9.5" style="1366" customWidth="1"/>
    <col min="13346" max="13346" width="9.33203125" style="1366" customWidth="1"/>
    <col min="13347" max="13347" width="13" style="1366" customWidth="1"/>
    <col min="13348" max="13348" width="14.5" style="1366" customWidth="1"/>
    <col min="13349" max="13349" width="12.6640625" style="1366" bestFit="1" customWidth="1"/>
    <col min="13350" max="13351" width="0" style="1366" hidden="1" customWidth="1"/>
    <col min="13352" max="13352" width="9.33203125" style="1366"/>
    <col min="13353" max="13353" width="14.5" style="1366" bestFit="1" customWidth="1"/>
    <col min="13354" max="13568" width="9.33203125" style="1366"/>
    <col min="13569" max="13569" width="12.1640625" style="1366" customWidth="1"/>
    <col min="13570" max="13570" width="30.83203125" style="1366" customWidth="1"/>
    <col min="13571" max="13571" width="13.83203125" style="1366" customWidth="1"/>
    <col min="13572" max="13572" width="14" style="1366" customWidth="1"/>
    <col min="13573" max="13573" width="13" style="1366" customWidth="1"/>
    <col min="13574" max="13574" width="14.6640625" style="1366" customWidth="1"/>
    <col min="13575" max="13575" width="11.83203125" style="1366" customWidth="1"/>
    <col min="13576" max="13576" width="11.6640625" style="1366" customWidth="1"/>
    <col min="13577" max="13577" width="12.5" style="1366" customWidth="1"/>
    <col min="13578" max="13578" width="11.33203125" style="1366" customWidth="1"/>
    <col min="13579" max="13579" width="17" style="1366" customWidth="1"/>
    <col min="13580" max="13580" width="12.1640625" style="1366" customWidth="1"/>
    <col min="13581" max="13586" width="13" style="1366" customWidth="1"/>
    <col min="13587" max="13587" width="13.1640625" style="1366" customWidth="1"/>
    <col min="13588" max="13588" width="15" style="1366" customWidth="1"/>
    <col min="13589" max="13589" width="12.5" style="1366" customWidth="1"/>
    <col min="13590" max="13590" width="11.6640625" style="1366" customWidth="1"/>
    <col min="13591" max="13591" width="14.1640625" style="1366" customWidth="1"/>
    <col min="13592" max="13592" width="12" style="1366" customWidth="1"/>
    <col min="13593" max="13593" width="8.5" style="1366" customWidth="1"/>
    <col min="13594" max="13594" width="10.1640625" style="1366" customWidth="1"/>
    <col min="13595" max="13595" width="10.6640625" style="1366" customWidth="1"/>
    <col min="13596" max="13596" width="8.5" style="1366" customWidth="1"/>
    <col min="13597" max="13597" width="10" style="1366" customWidth="1"/>
    <col min="13598" max="13599" width="8.5" style="1366" customWidth="1"/>
    <col min="13600" max="13600" width="10.83203125" style="1366" customWidth="1"/>
    <col min="13601" max="13601" width="9.5" style="1366" customWidth="1"/>
    <col min="13602" max="13602" width="9.33203125" style="1366" customWidth="1"/>
    <col min="13603" max="13603" width="13" style="1366" customWidth="1"/>
    <col min="13604" max="13604" width="14.5" style="1366" customWidth="1"/>
    <col min="13605" max="13605" width="12.6640625" style="1366" bestFit="1" customWidth="1"/>
    <col min="13606" max="13607" width="0" style="1366" hidden="1" customWidth="1"/>
    <col min="13608" max="13608" width="9.33203125" style="1366"/>
    <col min="13609" max="13609" width="14.5" style="1366" bestFit="1" customWidth="1"/>
    <col min="13610" max="13824" width="9.33203125" style="1366"/>
    <col min="13825" max="13825" width="12.1640625" style="1366" customWidth="1"/>
    <col min="13826" max="13826" width="30.83203125" style="1366" customWidth="1"/>
    <col min="13827" max="13827" width="13.83203125" style="1366" customWidth="1"/>
    <col min="13828" max="13828" width="14" style="1366" customWidth="1"/>
    <col min="13829" max="13829" width="13" style="1366" customWidth="1"/>
    <col min="13830" max="13830" width="14.6640625" style="1366" customWidth="1"/>
    <col min="13831" max="13831" width="11.83203125" style="1366" customWidth="1"/>
    <col min="13832" max="13832" width="11.6640625" style="1366" customWidth="1"/>
    <col min="13833" max="13833" width="12.5" style="1366" customWidth="1"/>
    <col min="13834" max="13834" width="11.33203125" style="1366" customWidth="1"/>
    <col min="13835" max="13835" width="17" style="1366" customWidth="1"/>
    <col min="13836" max="13836" width="12.1640625" style="1366" customWidth="1"/>
    <col min="13837" max="13842" width="13" style="1366" customWidth="1"/>
    <col min="13843" max="13843" width="13.1640625" style="1366" customWidth="1"/>
    <col min="13844" max="13844" width="15" style="1366" customWidth="1"/>
    <col min="13845" max="13845" width="12.5" style="1366" customWidth="1"/>
    <col min="13846" max="13846" width="11.6640625" style="1366" customWidth="1"/>
    <col min="13847" max="13847" width="14.1640625" style="1366" customWidth="1"/>
    <col min="13848" max="13848" width="12" style="1366" customWidth="1"/>
    <col min="13849" max="13849" width="8.5" style="1366" customWidth="1"/>
    <col min="13850" max="13850" width="10.1640625" style="1366" customWidth="1"/>
    <col min="13851" max="13851" width="10.6640625" style="1366" customWidth="1"/>
    <col min="13852" max="13852" width="8.5" style="1366" customWidth="1"/>
    <col min="13853" max="13853" width="10" style="1366" customWidth="1"/>
    <col min="13854" max="13855" width="8.5" style="1366" customWidth="1"/>
    <col min="13856" max="13856" width="10.83203125" style="1366" customWidth="1"/>
    <col min="13857" max="13857" width="9.5" style="1366" customWidth="1"/>
    <col min="13858" max="13858" width="9.33203125" style="1366" customWidth="1"/>
    <col min="13859" max="13859" width="13" style="1366" customWidth="1"/>
    <col min="13860" max="13860" width="14.5" style="1366" customWidth="1"/>
    <col min="13861" max="13861" width="12.6640625" style="1366" bestFit="1" customWidth="1"/>
    <col min="13862" max="13863" width="0" style="1366" hidden="1" customWidth="1"/>
    <col min="13864" max="13864" width="9.33203125" style="1366"/>
    <col min="13865" max="13865" width="14.5" style="1366" bestFit="1" customWidth="1"/>
    <col min="13866" max="14080" width="9.33203125" style="1366"/>
    <col min="14081" max="14081" width="12.1640625" style="1366" customWidth="1"/>
    <col min="14082" max="14082" width="30.83203125" style="1366" customWidth="1"/>
    <col min="14083" max="14083" width="13.83203125" style="1366" customWidth="1"/>
    <col min="14084" max="14084" width="14" style="1366" customWidth="1"/>
    <col min="14085" max="14085" width="13" style="1366" customWidth="1"/>
    <col min="14086" max="14086" width="14.6640625" style="1366" customWidth="1"/>
    <col min="14087" max="14087" width="11.83203125" style="1366" customWidth="1"/>
    <col min="14088" max="14088" width="11.6640625" style="1366" customWidth="1"/>
    <col min="14089" max="14089" width="12.5" style="1366" customWidth="1"/>
    <col min="14090" max="14090" width="11.33203125" style="1366" customWidth="1"/>
    <col min="14091" max="14091" width="17" style="1366" customWidth="1"/>
    <col min="14092" max="14092" width="12.1640625" style="1366" customWidth="1"/>
    <col min="14093" max="14098" width="13" style="1366" customWidth="1"/>
    <col min="14099" max="14099" width="13.1640625" style="1366" customWidth="1"/>
    <col min="14100" max="14100" width="15" style="1366" customWidth="1"/>
    <col min="14101" max="14101" width="12.5" style="1366" customWidth="1"/>
    <col min="14102" max="14102" width="11.6640625" style="1366" customWidth="1"/>
    <col min="14103" max="14103" width="14.1640625" style="1366" customWidth="1"/>
    <col min="14104" max="14104" width="12" style="1366" customWidth="1"/>
    <col min="14105" max="14105" width="8.5" style="1366" customWidth="1"/>
    <col min="14106" max="14106" width="10.1640625" style="1366" customWidth="1"/>
    <col min="14107" max="14107" width="10.6640625" style="1366" customWidth="1"/>
    <col min="14108" max="14108" width="8.5" style="1366" customWidth="1"/>
    <col min="14109" max="14109" width="10" style="1366" customWidth="1"/>
    <col min="14110" max="14111" width="8.5" style="1366" customWidth="1"/>
    <col min="14112" max="14112" width="10.83203125" style="1366" customWidth="1"/>
    <col min="14113" max="14113" width="9.5" style="1366" customWidth="1"/>
    <col min="14114" max="14114" width="9.33203125" style="1366" customWidth="1"/>
    <col min="14115" max="14115" width="13" style="1366" customWidth="1"/>
    <col min="14116" max="14116" width="14.5" style="1366" customWidth="1"/>
    <col min="14117" max="14117" width="12.6640625" style="1366" bestFit="1" customWidth="1"/>
    <col min="14118" max="14119" width="0" style="1366" hidden="1" customWidth="1"/>
    <col min="14120" max="14120" width="9.33203125" style="1366"/>
    <col min="14121" max="14121" width="14.5" style="1366" bestFit="1" customWidth="1"/>
    <col min="14122" max="14336" width="9.33203125" style="1366"/>
    <col min="14337" max="14337" width="12.1640625" style="1366" customWidth="1"/>
    <col min="14338" max="14338" width="30.83203125" style="1366" customWidth="1"/>
    <col min="14339" max="14339" width="13.83203125" style="1366" customWidth="1"/>
    <col min="14340" max="14340" width="14" style="1366" customWidth="1"/>
    <col min="14341" max="14341" width="13" style="1366" customWidth="1"/>
    <col min="14342" max="14342" width="14.6640625" style="1366" customWidth="1"/>
    <col min="14343" max="14343" width="11.83203125" style="1366" customWidth="1"/>
    <col min="14344" max="14344" width="11.6640625" style="1366" customWidth="1"/>
    <col min="14345" max="14345" width="12.5" style="1366" customWidth="1"/>
    <col min="14346" max="14346" width="11.33203125" style="1366" customWidth="1"/>
    <col min="14347" max="14347" width="17" style="1366" customWidth="1"/>
    <col min="14348" max="14348" width="12.1640625" style="1366" customWidth="1"/>
    <col min="14349" max="14354" width="13" style="1366" customWidth="1"/>
    <col min="14355" max="14355" width="13.1640625" style="1366" customWidth="1"/>
    <col min="14356" max="14356" width="15" style="1366" customWidth="1"/>
    <col min="14357" max="14357" width="12.5" style="1366" customWidth="1"/>
    <col min="14358" max="14358" width="11.6640625" style="1366" customWidth="1"/>
    <col min="14359" max="14359" width="14.1640625" style="1366" customWidth="1"/>
    <col min="14360" max="14360" width="12" style="1366" customWidth="1"/>
    <col min="14361" max="14361" width="8.5" style="1366" customWidth="1"/>
    <col min="14362" max="14362" width="10.1640625" style="1366" customWidth="1"/>
    <col min="14363" max="14363" width="10.6640625" style="1366" customWidth="1"/>
    <col min="14364" max="14364" width="8.5" style="1366" customWidth="1"/>
    <col min="14365" max="14365" width="10" style="1366" customWidth="1"/>
    <col min="14366" max="14367" width="8.5" style="1366" customWidth="1"/>
    <col min="14368" max="14368" width="10.83203125" style="1366" customWidth="1"/>
    <col min="14369" max="14369" width="9.5" style="1366" customWidth="1"/>
    <col min="14370" max="14370" width="9.33203125" style="1366" customWidth="1"/>
    <col min="14371" max="14371" width="13" style="1366" customWidth="1"/>
    <col min="14372" max="14372" width="14.5" style="1366" customWidth="1"/>
    <col min="14373" max="14373" width="12.6640625" style="1366" bestFit="1" customWidth="1"/>
    <col min="14374" max="14375" width="0" style="1366" hidden="1" customWidth="1"/>
    <col min="14376" max="14376" width="9.33203125" style="1366"/>
    <col min="14377" max="14377" width="14.5" style="1366" bestFit="1" customWidth="1"/>
    <col min="14378" max="14592" width="9.33203125" style="1366"/>
    <col min="14593" max="14593" width="12.1640625" style="1366" customWidth="1"/>
    <col min="14594" max="14594" width="30.83203125" style="1366" customWidth="1"/>
    <col min="14595" max="14595" width="13.83203125" style="1366" customWidth="1"/>
    <col min="14596" max="14596" width="14" style="1366" customWidth="1"/>
    <col min="14597" max="14597" width="13" style="1366" customWidth="1"/>
    <col min="14598" max="14598" width="14.6640625" style="1366" customWidth="1"/>
    <col min="14599" max="14599" width="11.83203125" style="1366" customWidth="1"/>
    <col min="14600" max="14600" width="11.6640625" style="1366" customWidth="1"/>
    <col min="14601" max="14601" width="12.5" style="1366" customWidth="1"/>
    <col min="14602" max="14602" width="11.33203125" style="1366" customWidth="1"/>
    <col min="14603" max="14603" width="17" style="1366" customWidth="1"/>
    <col min="14604" max="14604" width="12.1640625" style="1366" customWidth="1"/>
    <col min="14605" max="14610" width="13" style="1366" customWidth="1"/>
    <col min="14611" max="14611" width="13.1640625" style="1366" customWidth="1"/>
    <col min="14612" max="14612" width="15" style="1366" customWidth="1"/>
    <col min="14613" max="14613" width="12.5" style="1366" customWidth="1"/>
    <col min="14614" max="14614" width="11.6640625" style="1366" customWidth="1"/>
    <col min="14615" max="14615" width="14.1640625" style="1366" customWidth="1"/>
    <col min="14616" max="14616" width="12" style="1366" customWidth="1"/>
    <col min="14617" max="14617" width="8.5" style="1366" customWidth="1"/>
    <col min="14618" max="14618" width="10.1640625" style="1366" customWidth="1"/>
    <col min="14619" max="14619" width="10.6640625" style="1366" customWidth="1"/>
    <col min="14620" max="14620" width="8.5" style="1366" customWidth="1"/>
    <col min="14621" max="14621" width="10" style="1366" customWidth="1"/>
    <col min="14622" max="14623" width="8.5" style="1366" customWidth="1"/>
    <col min="14624" max="14624" width="10.83203125" style="1366" customWidth="1"/>
    <col min="14625" max="14625" width="9.5" style="1366" customWidth="1"/>
    <col min="14626" max="14626" width="9.33203125" style="1366" customWidth="1"/>
    <col min="14627" max="14627" width="13" style="1366" customWidth="1"/>
    <col min="14628" max="14628" width="14.5" style="1366" customWidth="1"/>
    <col min="14629" max="14629" width="12.6640625" style="1366" bestFit="1" customWidth="1"/>
    <col min="14630" max="14631" width="0" style="1366" hidden="1" customWidth="1"/>
    <col min="14632" max="14632" width="9.33203125" style="1366"/>
    <col min="14633" max="14633" width="14.5" style="1366" bestFit="1" customWidth="1"/>
    <col min="14634" max="14848" width="9.33203125" style="1366"/>
    <col min="14849" max="14849" width="12.1640625" style="1366" customWidth="1"/>
    <col min="14850" max="14850" width="30.83203125" style="1366" customWidth="1"/>
    <col min="14851" max="14851" width="13.83203125" style="1366" customWidth="1"/>
    <col min="14852" max="14852" width="14" style="1366" customWidth="1"/>
    <col min="14853" max="14853" width="13" style="1366" customWidth="1"/>
    <col min="14854" max="14854" width="14.6640625" style="1366" customWidth="1"/>
    <col min="14855" max="14855" width="11.83203125" style="1366" customWidth="1"/>
    <col min="14856" max="14856" width="11.6640625" style="1366" customWidth="1"/>
    <col min="14857" max="14857" width="12.5" style="1366" customWidth="1"/>
    <col min="14858" max="14858" width="11.33203125" style="1366" customWidth="1"/>
    <col min="14859" max="14859" width="17" style="1366" customWidth="1"/>
    <col min="14860" max="14860" width="12.1640625" style="1366" customWidth="1"/>
    <col min="14861" max="14866" width="13" style="1366" customWidth="1"/>
    <col min="14867" max="14867" width="13.1640625" style="1366" customWidth="1"/>
    <col min="14868" max="14868" width="15" style="1366" customWidth="1"/>
    <col min="14869" max="14869" width="12.5" style="1366" customWidth="1"/>
    <col min="14870" max="14870" width="11.6640625" style="1366" customWidth="1"/>
    <col min="14871" max="14871" width="14.1640625" style="1366" customWidth="1"/>
    <col min="14872" max="14872" width="12" style="1366" customWidth="1"/>
    <col min="14873" max="14873" width="8.5" style="1366" customWidth="1"/>
    <col min="14874" max="14874" width="10.1640625" style="1366" customWidth="1"/>
    <col min="14875" max="14875" width="10.6640625" style="1366" customWidth="1"/>
    <col min="14876" max="14876" width="8.5" style="1366" customWidth="1"/>
    <col min="14877" max="14877" width="10" style="1366" customWidth="1"/>
    <col min="14878" max="14879" width="8.5" style="1366" customWidth="1"/>
    <col min="14880" max="14880" width="10.83203125" style="1366" customWidth="1"/>
    <col min="14881" max="14881" width="9.5" style="1366" customWidth="1"/>
    <col min="14882" max="14882" width="9.33203125" style="1366" customWidth="1"/>
    <col min="14883" max="14883" width="13" style="1366" customWidth="1"/>
    <col min="14884" max="14884" width="14.5" style="1366" customWidth="1"/>
    <col min="14885" max="14885" width="12.6640625" style="1366" bestFit="1" customWidth="1"/>
    <col min="14886" max="14887" width="0" style="1366" hidden="1" customWidth="1"/>
    <col min="14888" max="14888" width="9.33203125" style="1366"/>
    <col min="14889" max="14889" width="14.5" style="1366" bestFit="1" customWidth="1"/>
    <col min="14890" max="15104" width="9.33203125" style="1366"/>
    <col min="15105" max="15105" width="12.1640625" style="1366" customWidth="1"/>
    <col min="15106" max="15106" width="30.83203125" style="1366" customWidth="1"/>
    <col min="15107" max="15107" width="13.83203125" style="1366" customWidth="1"/>
    <col min="15108" max="15108" width="14" style="1366" customWidth="1"/>
    <col min="15109" max="15109" width="13" style="1366" customWidth="1"/>
    <col min="15110" max="15110" width="14.6640625" style="1366" customWidth="1"/>
    <col min="15111" max="15111" width="11.83203125" style="1366" customWidth="1"/>
    <col min="15112" max="15112" width="11.6640625" style="1366" customWidth="1"/>
    <col min="15113" max="15113" width="12.5" style="1366" customWidth="1"/>
    <col min="15114" max="15114" width="11.33203125" style="1366" customWidth="1"/>
    <col min="15115" max="15115" width="17" style="1366" customWidth="1"/>
    <col min="15116" max="15116" width="12.1640625" style="1366" customWidth="1"/>
    <col min="15117" max="15122" width="13" style="1366" customWidth="1"/>
    <col min="15123" max="15123" width="13.1640625" style="1366" customWidth="1"/>
    <col min="15124" max="15124" width="15" style="1366" customWidth="1"/>
    <col min="15125" max="15125" width="12.5" style="1366" customWidth="1"/>
    <col min="15126" max="15126" width="11.6640625" style="1366" customWidth="1"/>
    <col min="15127" max="15127" width="14.1640625" style="1366" customWidth="1"/>
    <col min="15128" max="15128" width="12" style="1366" customWidth="1"/>
    <col min="15129" max="15129" width="8.5" style="1366" customWidth="1"/>
    <col min="15130" max="15130" width="10.1640625" style="1366" customWidth="1"/>
    <col min="15131" max="15131" width="10.6640625" style="1366" customWidth="1"/>
    <col min="15132" max="15132" width="8.5" style="1366" customWidth="1"/>
    <col min="15133" max="15133" width="10" style="1366" customWidth="1"/>
    <col min="15134" max="15135" width="8.5" style="1366" customWidth="1"/>
    <col min="15136" max="15136" width="10.83203125" style="1366" customWidth="1"/>
    <col min="15137" max="15137" width="9.5" style="1366" customWidth="1"/>
    <col min="15138" max="15138" width="9.33203125" style="1366" customWidth="1"/>
    <col min="15139" max="15139" width="13" style="1366" customWidth="1"/>
    <col min="15140" max="15140" width="14.5" style="1366" customWidth="1"/>
    <col min="15141" max="15141" width="12.6640625" style="1366" bestFit="1" customWidth="1"/>
    <col min="15142" max="15143" width="0" style="1366" hidden="1" customWidth="1"/>
    <col min="15144" max="15144" width="9.33203125" style="1366"/>
    <col min="15145" max="15145" width="14.5" style="1366" bestFit="1" customWidth="1"/>
    <col min="15146" max="15360" width="9.33203125" style="1366"/>
    <col min="15361" max="15361" width="12.1640625" style="1366" customWidth="1"/>
    <col min="15362" max="15362" width="30.83203125" style="1366" customWidth="1"/>
    <col min="15363" max="15363" width="13.83203125" style="1366" customWidth="1"/>
    <col min="15364" max="15364" width="14" style="1366" customWidth="1"/>
    <col min="15365" max="15365" width="13" style="1366" customWidth="1"/>
    <col min="15366" max="15366" width="14.6640625" style="1366" customWidth="1"/>
    <col min="15367" max="15367" width="11.83203125" style="1366" customWidth="1"/>
    <col min="15368" max="15368" width="11.6640625" style="1366" customWidth="1"/>
    <col min="15369" max="15369" width="12.5" style="1366" customWidth="1"/>
    <col min="15370" max="15370" width="11.33203125" style="1366" customWidth="1"/>
    <col min="15371" max="15371" width="17" style="1366" customWidth="1"/>
    <col min="15372" max="15372" width="12.1640625" style="1366" customWidth="1"/>
    <col min="15373" max="15378" width="13" style="1366" customWidth="1"/>
    <col min="15379" max="15379" width="13.1640625" style="1366" customWidth="1"/>
    <col min="15380" max="15380" width="15" style="1366" customWidth="1"/>
    <col min="15381" max="15381" width="12.5" style="1366" customWidth="1"/>
    <col min="15382" max="15382" width="11.6640625" style="1366" customWidth="1"/>
    <col min="15383" max="15383" width="14.1640625" style="1366" customWidth="1"/>
    <col min="15384" max="15384" width="12" style="1366" customWidth="1"/>
    <col min="15385" max="15385" width="8.5" style="1366" customWidth="1"/>
    <col min="15386" max="15386" width="10.1640625" style="1366" customWidth="1"/>
    <col min="15387" max="15387" width="10.6640625" style="1366" customWidth="1"/>
    <col min="15388" max="15388" width="8.5" style="1366" customWidth="1"/>
    <col min="15389" max="15389" width="10" style="1366" customWidth="1"/>
    <col min="15390" max="15391" width="8.5" style="1366" customWidth="1"/>
    <col min="15392" max="15392" width="10.83203125" style="1366" customWidth="1"/>
    <col min="15393" max="15393" width="9.5" style="1366" customWidth="1"/>
    <col min="15394" max="15394" width="9.33203125" style="1366" customWidth="1"/>
    <col min="15395" max="15395" width="13" style="1366" customWidth="1"/>
    <col min="15396" max="15396" width="14.5" style="1366" customWidth="1"/>
    <col min="15397" max="15397" width="12.6640625" style="1366" bestFit="1" customWidth="1"/>
    <col min="15398" max="15399" width="0" style="1366" hidden="1" customWidth="1"/>
    <col min="15400" max="15400" width="9.33203125" style="1366"/>
    <col min="15401" max="15401" width="14.5" style="1366" bestFit="1" customWidth="1"/>
    <col min="15402" max="15616" width="9.33203125" style="1366"/>
    <col min="15617" max="15617" width="12.1640625" style="1366" customWidth="1"/>
    <col min="15618" max="15618" width="30.83203125" style="1366" customWidth="1"/>
    <col min="15619" max="15619" width="13.83203125" style="1366" customWidth="1"/>
    <col min="15620" max="15620" width="14" style="1366" customWidth="1"/>
    <col min="15621" max="15621" width="13" style="1366" customWidth="1"/>
    <col min="15622" max="15622" width="14.6640625" style="1366" customWidth="1"/>
    <col min="15623" max="15623" width="11.83203125" style="1366" customWidth="1"/>
    <col min="15624" max="15624" width="11.6640625" style="1366" customWidth="1"/>
    <col min="15625" max="15625" width="12.5" style="1366" customWidth="1"/>
    <col min="15626" max="15626" width="11.33203125" style="1366" customWidth="1"/>
    <col min="15627" max="15627" width="17" style="1366" customWidth="1"/>
    <col min="15628" max="15628" width="12.1640625" style="1366" customWidth="1"/>
    <col min="15629" max="15634" width="13" style="1366" customWidth="1"/>
    <col min="15635" max="15635" width="13.1640625" style="1366" customWidth="1"/>
    <col min="15636" max="15636" width="15" style="1366" customWidth="1"/>
    <col min="15637" max="15637" width="12.5" style="1366" customWidth="1"/>
    <col min="15638" max="15638" width="11.6640625" style="1366" customWidth="1"/>
    <col min="15639" max="15639" width="14.1640625" style="1366" customWidth="1"/>
    <col min="15640" max="15640" width="12" style="1366" customWidth="1"/>
    <col min="15641" max="15641" width="8.5" style="1366" customWidth="1"/>
    <col min="15642" max="15642" width="10.1640625" style="1366" customWidth="1"/>
    <col min="15643" max="15643" width="10.6640625" style="1366" customWidth="1"/>
    <col min="15644" max="15644" width="8.5" style="1366" customWidth="1"/>
    <col min="15645" max="15645" width="10" style="1366" customWidth="1"/>
    <col min="15646" max="15647" width="8.5" style="1366" customWidth="1"/>
    <col min="15648" max="15648" width="10.83203125" style="1366" customWidth="1"/>
    <col min="15649" max="15649" width="9.5" style="1366" customWidth="1"/>
    <col min="15650" max="15650" width="9.33203125" style="1366" customWidth="1"/>
    <col min="15651" max="15651" width="13" style="1366" customWidth="1"/>
    <col min="15652" max="15652" width="14.5" style="1366" customWidth="1"/>
    <col min="15653" max="15653" width="12.6640625" style="1366" bestFit="1" customWidth="1"/>
    <col min="15654" max="15655" width="0" style="1366" hidden="1" customWidth="1"/>
    <col min="15656" max="15656" width="9.33203125" style="1366"/>
    <col min="15657" max="15657" width="14.5" style="1366" bestFit="1" customWidth="1"/>
    <col min="15658" max="15872" width="9.33203125" style="1366"/>
    <col min="15873" max="15873" width="12.1640625" style="1366" customWidth="1"/>
    <col min="15874" max="15874" width="30.83203125" style="1366" customWidth="1"/>
    <col min="15875" max="15875" width="13.83203125" style="1366" customWidth="1"/>
    <col min="15876" max="15876" width="14" style="1366" customWidth="1"/>
    <col min="15877" max="15877" width="13" style="1366" customWidth="1"/>
    <col min="15878" max="15878" width="14.6640625" style="1366" customWidth="1"/>
    <col min="15879" max="15879" width="11.83203125" style="1366" customWidth="1"/>
    <col min="15880" max="15880" width="11.6640625" style="1366" customWidth="1"/>
    <col min="15881" max="15881" width="12.5" style="1366" customWidth="1"/>
    <col min="15882" max="15882" width="11.33203125" style="1366" customWidth="1"/>
    <col min="15883" max="15883" width="17" style="1366" customWidth="1"/>
    <col min="15884" max="15884" width="12.1640625" style="1366" customWidth="1"/>
    <col min="15885" max="15890" width="13" style="1366" customWidth="1"/>
    <col min="15891" max="15891" width="13.1640625" style="1366" customWidth="1"/>
    <col min="15892" max="15892" width="15" style="1366" customWidth="1"/>
    <col min="15893" max="15893" width="12.5" style="1366" customWidth="1"/>
    <col min="15894" max="15894" width="11.6640625" style="1366" customWidth="1"/>
    <col min="15895" max="15895" width="14.1640625" style="1366" customWidth="1"/>
    <col min="15896" max="15896" width="12" style="1366" customWidth="1"/>
    <col min="15897" max="15897" width="8.5" style="1366" customWidth="1"/>
    <col min="15898" max="15898" width="10.1640625" style="1366" customWidth="1"/>
    <col min="15899" max="15899" width="10.6640625" style="1366" customWidth="1"/>
    <col min="15900" max="15900" width="8.5" style="1366" customWidth="1"/>
    <col min="15901" max="15901" width="10" style="1366" customWidth="1"/>
    <col min="15902" max="15903" width="8.5" style="1366" customWidth="1"/>
    <col min="15904" max="15904" width="10.83203125" style="1366" customWidth="1"/>
    <col min="15905" max="15905" width="9.5" style="1366" customWidth="1"/>
    <col min="15906" max="15906" width="9.33203125" style="1366" customWidth="1"/>
    <col min="15907" max="15907" width="13" style="1366" customWidth="1"/>
    <col min="15908" max="15908" width="14.5" style="1366" customWidth="1"/>
    <col min="15909" max="15909" width="12.6640625" style="1366" bestFit="1" customWidth="1"/>
    <col min="15910" max="15911" width="0" style="1366" hidden="1" customWidth="1"/>
    <col min="15912" max="15912" width="9.33203125" style="1366"/>
    <col min="15913" max="15913" width="14.5" style="1366" bestFit="1" customWidth="1"/>
    <col min="15914" max="16128" width="9.33203125" style="1366"/>
    <col min="16129" max="16129" width="12.1640625" style="1366" customWidth="1"/>
    <col min="16130" max="16130" width="30.83203125" style="1366" customWidth="1"/>
    <col min="16131" max="16131" width="13.83203125" style="1366" customWidth="1"/>
    <col min="16132" max="16132" width="14" style="1366" customWidth="1"/>
    <col min="16133" max="16133" width="13" style="1366" customWidth="1"/>
    <col min="16134" max="16134" width="14.6640625" style="1366" customWidth="1"/>
    <col min="16135" max="16135" width="11.83203125" style="1366" customWidth="1"/>
    <col min="16136" max="16136" width="11.6640625" style="1366" customWidth="1"/>
    <col min="16137" max="16137" width="12.5" style="1366" customWidth="1"/>
    <col min="16138" max="16138" width="11.33203125" style="1366" customWidth="1"/>
    <col min="16139" max="16139" width="17" style="1366" customWidth="1"/>
    <col min="16140" max="16140" width="12.1640625" style="1366" customWidth="1"/>
    <col min="16141" max="16146" width="13" style="1366" customWidth="1"/>
    <col min="16147" max="16147" width="13.1640625" style="1366" customWidth="1"/>
    <col min="16148" max="16148" width="15" style="1366" customWidth="1"/>
    <col min="16149" max="16149" width="12.5" style="1366" customWidth="1"/>
    <col min="16150" max="16150" width="11.6640625" style="1366" customWidth="1"/>
    <col min="16151" max="16151" width="14.1640625" style="1366" customWidth="1"/>
    <col min="16152" max="16152" width="12" style="1366" customWidth="1"/>
    <col min="16153" max="16153" width="8.5" style="1366" customWidth="1"/>
    <col min="16154" max="16154" width="10.1640625" style="1366" customWidth="1"/>
    <col min="16155" max="16155" width="10.6640625" style="1366" customWidth="1"/>
    <col min="16156" max="16156" width="8.5" style="1366" customWidth="1"/>
    <col min="16157" max="16157" width="10" style="1366" customWidth="1"/>
    <col min="16158" max="16159" width="8.5" style="1366" customWidth="1"/>
    <col min="16160" max="16160" width="10.83203125" style="1366" customWidth="1"/>
    <col min="16161" max="16161" width="9.5" style="1366" customWidth="1"/>
    <col min="16162" max="16162" width="9.33203125" style="1366" customWidth="1"/>
    <col min="16163" max="16163" width="13" style="1366" customWidth="1"/>
    <col min="16164" max="16164" width="14.5" style="1366" customWidth="1"/>
    <col min="16165" max="16165" width="12.6640625" style="1366" bestFit="1" customWidth="1"/>
    <col min="16166" max="16167" width="0" style="1366" hidden="1" customWidth="1"/>
    <col min="16168" max="16168" width="9.33203125" style="1366"/>
    <col min="16169" max="16169" width="14.5" style="1366" bestFit="1" customWidth="1"/>
    <col min="16170" max="16384" width="9.33203125" style="1366"/>
  </cols>
  <sheetData>
    <row r="1" spans="1:44" ht="21.75" customHeight="1" x14ac:dyDescent="0.2">
      <c r="AF1" s="2530"/>
      <c r="AG1" s="2530"/>
      <c r="AH1" s="2530"/>
      <c r="AI1" s="2530"/>
    </row>
    <row r="2" spans="1:44" ht="24" customHeight="1" x14ac:dyDescent="0.2">
      <c r="A2" s="2531" t="s">
        <v>1535</v>
      </c>
      <c r="B2" s="2531"/>
      <c r="C2" s="2531"/>
      <c r="D2" s="2531"/>
      <c r="E2" s="2531"/>
      <c r="F2" s="2531"/>
      <c r="G2" s="2531"/>
      <c r="H2" s="2531"/>
      <c r="I2" s="2531"/>
      <c r="J2" s="2531"/>
      <c r="K2" s="2531"/>
      <c r="L2" s="2531"/>
      <c r="M2" s="2531"/>
      <c r="N2" s="2531"/>
      <c r="O2" s="2531"/>
      <c r="P2" s="2531"/>
      <c r="Q2" s="2531"/>
      <c r="R2" s="2531"/>
      <c r="S2" s="2531"/>
      <c r="T2" s="2531"/>
      <c r="U2" s="2531"/>
      <c r="V2" s="2531"/>
      <c r="W2" s="2531"/>
      <c r="X2" s="2531"/>
      <c r="Y2" s="2531"/>
      <c r="Z2" s="2531"/>
      <c r="AA2" s="2531"/>
      <c r="AB2" s="2531"/>
      <c r="AC2" s="2531"/>
      <c r="AD2" s="2531"/>
      <c r="AE2" s="2531"/>
      <c r="AF2" s="2531"/>
      <c r="AG2" s="2531"/>
      <c r="AH2" s="2531"/>
      <c r="AI2" s="2531"/>
      <c r="AJ2" s="1367"/>
    </row>
    <row r="3" spans="1:44" ht="24.75" customHeight="1" x14ac:dyDescent="0.2">
      <c r="A3" s="1368"/>
      <c r="B3" s="1367"/>
      <c r="C3" s="1367"/>
      <c r="D3" s="1367"/>
      <c r="E3" s="1367"/>
      <c r="F3" s="1367"/>
      <c r="G3" s="1367"/>
      <c r="H3" s="1367"/>
      <c r="I3" s="1367"/>
      <c r="J3" s="1367"/>
      <c r="K3" s="1367"/>
      <c r="L3" s="1367"/>
      <c r="N3" s="1369"/>
      <c r="O3" s="1367"/>
      <c r="P3" s="1367"/>
      <c r="Q3" s="1367"/>
      <c r="R3" s="1367"/>
      <c r="S3" s="1367"/>
      <c r="T3" s="1367"/>
      <c r="U3" s="1367"/>
      <c r="V3" s="1367"/>
      <c r="W3" s="1370"/>
      <c r="X3" s="1367"/>
      <c r="Y3" s="1367"/>
      <c r="Z3" s="1367"/>
      <c r="AA3" s="1367"/>
      <c r="AB3" s="1367"/>
      <c r="AC3" s="1367"/>
      <c r="AD3" s="1367"/>
      <c r="AE3" s="1367"/>
      <c r="AF3" s="1367"/>
      <c r="AG3" s="1367"/>
      <c r="AH3" s="1367"/>
      <c r="AI3" s="1367"/>
      <c r="AJ3" s="1367"/>
    </row>
    <row r="4" spans="1:44" s="1491" customFormat="1" ht="15.75" x14ac:dyDescent="0.2">
      <c r="A4" s="1490"/>
      <c r="M4" s="1371">
        <v>0.318</v>
      </c>
      <c r="N4" s="1499">
        <v>0.18303</v>
      </c>
      <c r="AI4" s="1494">
        <v>43875</v>
      </c>
    </row>
    <row r="5" spans="1:44" ht="38.25" customHeight="1" x14ac:dyDescent="0.2">
      <c r="A5" s="2519" t="s">
        <v>78</v>
      </c>
      <c r="B5" s="2519" t="s">
        <v>77</v>
      </c>
      <c r="C5" s="2519" t="s">
        <v>1536</v>
      </c>
      <c r="D5" s="2519" t="s">
        <v>3</v>
      </c>
      <c r="E5" s="2519"/>
      <c r="F5" s="2519"/>
      <c r="G5" s="2519"/>
      <c r="H5" s="2519"/>
      <c r="I5" s="2519"/>
      <c r="J5" s="2519"/>
      <c r="K5" s="2519"/>
      <c r="L5" s="2519"/>
      <c r="M5" s="2519"/>
      <c r="N5" s="2519"/>
      <c r="O5" s="2519"/>
      <c r="P5" s="2519"/>
      <c r="Q5" s="2519"/>
      <c r="R5" s="2519"/>
      <c r="S5" s="2519"/>
      <c r="T5" s="2519"/>
      <c r="U5" s="2519"/>
      <c r="V5" s="2519"/>
      <c r="W5" s="2519"/>
      <c r="X5" s="2519"/>
      <c r="Y5" s="2532" t="s">
        <v>4</v>
      </c>
      <c r="Z5" s="2533"/>
      <c r="AA5" s="2533"/>
      <c r="AB5" s="2533"/>
      <c r="AC5" s="2533"/>
      <c r="AD5" s="2533"/>
      <c r="AE5" s="2533"/>
      <c r="AF5" s="2533"/>
      <c r="AG5" s="2533"/>
      <c r="AH5" s="2533"/>
      <c r="AI5" s="2534"/>
    </row>
    <row r="6" spans="1:44" ht="60" customHeight="1" x14ac:dyDescent="0.2">
      <c r="A6" s="2519"/>
      <c r="B6" s="2519"/>
      <c r="C6" s="2519"/>
      <c r="D6" s="2518" t="s">
        <v>68</v>
      </c>
      <c r="E6" s="2518" t="s">
        <v>69</v>
      </c>
      <c r="F6" s="2518" t="s">
        <v>89</v>
      </c>
      <c r="G6" s="2518" t="s">
        <v>1</v>
      </c>
      <c r="H6" s="2518" t="s">
        <v>2</v>
      </c>
      <c r="I6" s="2518" t="s">
        <v>1537</v>
      </c>
      <c r="J6" s="2518" t="s">
        <v>70</v>
      </c>
      <c r="K6" s="2518" t="s">
        <v>61</v>
      </c>
      <c r="L6" s="2518" t="s">
        <v>27</v>
      </c>
      <c r="M6" s="2525" t="s">
        <v>65</v>
      </c>
      <c r="N6" s="2526" t="s">
        <v>86</v>
      </c>
      <c r="O6" s="2528" t="s">
        <v>1538</v>
      </c>
      <c r="P6" s="2529"/>
      <c r="Q6" s="2526" t="s">
        <v>88</v>
      </c>
      <c r="R6" s="2526" t="s">
        <v>82</v>
      </c>
      <c r="S6" s="2518" t="s">
        <v>83</v>
      </c>
      <c r="T6" s="2525" t="s">
        <v>87</v>
      </c>
      <c r="U6" s="2518" t="s">
        <v>84</v>
      </c>
      <c r="V6" s="2518" t="s">
        <v>9</v>
      </c>
      <c r="W6" s="2518" t="s">
        <v>7</v>
      </c>
      <c r="X6" s="2518" t="s">
        <v>85</v>
      </c>
      <c r="Y6" s="2519" t="s">
        <v>10</v>
      </c>
      <c r="Z6" s="2519"/>
      <c r="AA6" s="2519"/>
      <c r="AB6" s="2519" t="s">
        <v>11</v>
      </c>
      <c r="AC6" s="2519"/>
      <c r="AD6" s="2519"/>
      <c r="AE6" s="2519" t="s">
        <v>12</v>
      </c>
      <c r="AF6" s="2519"/>
      <c r="AG6" s="2519"/>
      <c r="AH6" s="2519" t="s">
        <v>13</v>
      </c>
      <c r="AI6" s="2519" t="s">
        <v>73</v>
      </c>
    </row>
    <row r="7" spans="1:44" ht="97.5" customHeight="1" x14ac:dyDescent="0.2">
      <c r="A7" s="2519"/>
      <c r="B7" s="2519"/>
      <c r="C7" s="2519"/>
      <c r="D7" s="2518"/>
      <c r="E7" s="2518"/>
      <c r="F7" s="2518"/>
      <c r="G7" s="2518"/>
      <c r="H7" s="2518"/>
      <c r="I7" s="2518"/>
      <c r="J7" s="2518"/>
      <c r="K7" s="2518"/>
      <c r="L7" s="2518"/>
      <c r="M7" s="2525" t="s">
        <v>66</v>
      </c>
      <c r="N7" s="2527"/>
      <c r="O7" s="1372" t="s">
        <v>80</v>
      </c>
      <c r="P7" s="1372" t="s">
        <v>81</v>
      </c>
      <c r="Q7" s="2527"/>
      <c r="R7" s="2527"/>
      <c r="S7" s="2518"/>
      <c r="T7" s="2525" t="s">
        <v>67</v>
      </c>
      <c r="U7" s="2518"/>
      <c r="V7" s="2518"/>
      <c r="W7" s="2518"/>
      <c r="X7" s="2518"/>
      <c r="Y7" s="1373" t="s">
        <v>5</v>
      </c>
      <c r="Z7" s="1373" t="s">
        <v>6</v>
      </c>
      <c r="AA7" s="1373" t="s">
        <v>74</v>
      </c>
      <c r="AB7" s="1373" t="s">
        <v>5</v>
      </c>
      <c r="AC7" s="1373" t="s">
        <v>6</v>
      </c>
      <c r="AD7" s="1373" t="s">
        <v>75</v>
      </c>
      <c r="AE7" s="1373" t="s">
        <v>5</v>
      </c>
      <c r="AF7" s="1373" t="s">
        <v>6</v>
      </c>
      <c r="AG7" s="1373" t="s">
        <v>76</v>
      </c>
      <c r="AH7" s="2519"/>
      <c r="AI7" s="2519"/>
      <c r="AK7" s="1366" t="s">
        <v>64</v>
      </c>
      <c r="AL7" s="1366" t="s">
        <v>62</v>
      </c>
      <c r="AM7" s="1366" t="s">
        <v>63</v>
      </c>
      <c r="AN7" s="1374" t="s">
        <v>116</v>
      </c>
      <c r="AO7" s="1374" t="s">
        <v>117</v>
      </c>
      <c r="AP7" s="1374" t="s">
        <v>118</v>
      </c>
      <c r="AQ7" s="1374" t="s">
        <v>119</v>
      </c>
    </row>
    <row r="8" spans="1:44" ht="15" x14ac:dyDescent="0.2">
      <c r="A8" s="1375">
        <v>1</v>
      </c>
      <c r="B8" s="1375">
        <v>2</v>
      </c>
      <c r="C8" s="1375">
        <v>3</v>
      </c>
      <c r="D8" s="1375">
        <v>4</v>
      </c>
      <c r="E8" s="1375">
        <v>5</v>
      </c>
      <c r="F8" s="1375">
        <v>6</v>
      </c>
      <c r="G8" s="1375">
        <v>7</v>
      </c>
      <c r="H8" s="1375">
        <v>8</v>
      </c>
      <c r="I8" s="1375">
        <v>9</v>
      </c>
      <c r="J8" s="1375">
        <v>10</v>
      </c>
      <c r="K8" s="1375">
        <v>11</v>
      </c>
      <c r="L8" s="1375">
        <v>12</v>
      </c>
      <c r="M8" s="1375">
        <v>13</v>
      </c>
      <c r="N8" s="1375">
        <v>14</v>
      </c>
      <c r="O8" s="1375">
        <v>15</v>
      </c>
      <c r="P8" s="1375">
        <v>16</v>
      </c>
      <c r="Q8" s="1375">
        <v>17</v>
      </c>
      <c r="R8" s="1375">
        <v>18</v>
      </c>
      <c r="S8" s="1375">
        <v>19</v>
      </c>
      <c r="T8" s="1375">
        <v>20</v>
      </c>
      <c r="U8" s="1375">
        <v>21</v>
      </c>
      <c r="V8" s="1375">
        <v>22</v>
      </c>
      <c r="W8" s="1375">
        <v>23</v>
      </c>
      <c r="X8" s="1375">
        <v>24</v>
      </c>
      <c r="Y8" s="1375">
        <v>25</v>
      </c>
      <c r="Z8" s="1375">
        <v>26</v>
      </c>
      <c r="AA8" s="1375">
        <v>27</v>
      </c>
      <c r="AB8" s="1375">
        <v>28</v>
      </c>
      <c r="AC8" s="1375">
        <v>29</v>
      </c>
      <c r="AD8" s="1375">
        <v>30</v>
      </c>
      <c r="AE8" s="1375">
        <v>31</v>
      </c>
      <c r="AF8" s="1375">
        <v>32</v>
      </c>
      <c r="AG8" s="1375">
        <v>33</v>
      </c>
      <c r="AH8" s="1375">
        <v>34</v>
      </c>
      <c r="AI8" s="1375">
        <v>35</v>
      </c>
      <c r="AJ8" s="1365">
        <f>W9/12/C9*1000</f>
        <v>116558.33333333299</v>
      </c>
      <c r="AK8" s="1365">
        <f>W9*1.043/C9</f>
        <v>1458.8441</v>
      </c>
      <c r="AL8" s="1365">
        <f>((979*0.302)+((AK8-979)*0.182))</f>
        <v>382.98962619999998</v>
      </c>
      <c r="AM8" s="1365">
        <f>AL8/AK8</f>
        <v>0.262529509630261</v>
      </c>
      <c r="AN8" s="1374">
        <f>1150*0.22+(AK8-1150)*0.1</f>
        <v>283.88</v>
      </c>
      <c r="AO8" s="1374">
        <f>865*0.029</f>
        <v>25.09</v>
      </c>
      <c r="AP8" s="1374">
        <f>AK8*0.053</f>
        <v>77.319999999999993</v>
      </c>
      <c r="AQ8" s="1374">
        <f>SUM(AN8:AP8)</f>
        <v>386.29</v>
      </c>
    </row>
    <row r="9" spans="1:44" s="1391" customFormat="1" ht="16.5" customHeight="1" x14ac:dyDescent="0.2">
      <c r="A9" s="1376">
        <v>1</v>
      </c>
      <c r="B9" s="1377" t="s">
        <v>14</v>
      </c>
      <c r="C9" s="1378">
        <v>1</v>
      </c>
      <c r="D9" s="1379">
        <v>20.442</v>
      </c>
      <c r="E9" s="1380">
        <f t="shared" ref="E9:E20" si="0">C9*D9</f>
        <v>20.440000000000001</v>
      </c>
      <c r="F9" s="1381">
        <f t="shared" ref="F9:F20" si="1">E9*12</f>
        <v>245.3</v>
      </c>
      <c r="G9" s="1382"/>
      <c r="H9" s="1382"/>
      <c r="I9" s="1382"/>
      <c r="J9" s="1382"/>
      <c r="K9" s="1382"/>
      <c r="L9" s="1382">
        <f>F9*0.3</f>
        <v>73.599999999999994</v>
      </c>
      <c r="M9" s="1382">
        <f>F9*$N$4+0.85</f>
        <v>45.7</v>
      </c>
      <c r="N9" s="1382">
        <f t="shared" ref="N9:N20" si="2">F9+G9+H9+I9+J9+K9+L9+M9</f>
        <v>364.6</v>
      </c>
      <c r="O9" s="1383">
        <v>0.43</v>
      </c>
      <c r="P9" s="1382">
        <f t="shared" ref="P9:P20" si="3">N9*O9</f>
        <v>156.80000000000001</v>
      </c>
      <c r="Q9" s="1382">
        <f t="shared" ref="Q9:Q20" si="4">N9+P9</f>
        <v>521.4</v>
      </c>
      <c r="R9" s="1382">
        <f t="shared" ref="R9:R20" si="5">Q9*0.8</f>
        <v>417.1</v>
      </c>
      <c r="S9" s="1382">
        <f t="shared" ref="S9:S20" si="6">Q9*0.8</f>
        <v>417.1</v>
      </c>
      <c r="T9" s="1382">
        <f t="shared" ref="T9:T20" si="7">(Q9+R9+S9)*0.032</f>
        <v>43.4</v>
      </c>
      <c r="U9" s="1382">
        <f>Q9+R9+S9+T9-0.3</f>
        <v>1398.7</v>
      </c>
      <c r="V9" s="2515">
        <v>1</v>
      </c>
      <c r="W9" s="1382">
        <f>U9*$V$9</f>
        <v>1398.7</v>
      </c>
      <c r="X9" s="1382">
        <f>AQ9</f>
        <v>377.1</v>
      </c>
      <c r="Y9" s="1376">
        <v>1</v>
      </c>
      <c r="Z9" s="1384">
        <v>30</v>
      </c>
      <c r="AA9" s="1378">
        <f t="shared" ref="AA9:AA20" si="8">Y9*Z9</f>
        <v>30</v>
      </c>
      <c r="AB9" s="1376"/>
      <c r="AC9" s="1384">
        <v>15</v>
      </c>
      <c r="AD9" s="1378">
        <f t="shared" ref="AD9:AD20" si="9">AB9*AC9</f>
        <v>0</v>
      </c>
      <c r="AE9" s="1376"/>
      <c r="AF9" s="1384">
        <v>30</v>
      </c>
      <c r="AG9" s="1378">
        <f t="shared" ref="AG9:AG20" si="10">AE9*AF9</f>
        <v>0</v>
      </c>
      <c r="AH9" s="1378">
        <f t="shared" ref="AH9:AH20" si="11">(AA9+AD9+AG9)*1%*30</f>
        <v>9</v>
      </c>
      <c r="AI9" s="1378">
        <f t="shared" ref="AI9:AI20" si="12">AA9+AD9+AG9+AH9</f>
        <v>39</v>
      </c>
      <c r="AJ9" s="1385">
        <f t="shared" ref="AJ9:AJ20" si="13">W9/12/C9*1000</f>
        <v>116558.3</v>
      </c>
      <c r="AK9" s="1386">
        <f t="shared" ref="AK9:AK20" si="14">W9/C9</f>
        <v>1398.7</v>
      </c>
      <c r="AL9" s="1387">
        <f>((979*0.302)+((AK9-979)*0.182))</f>
        <v>372</v>
      </c>
      <c r="AM9" s="1388">
        <f>AL9/AK9</f>
        <v>0.26600000000000001</v>
      </c>
      <c r="AN9" s="1389">
        <f>1150*0.22+(AK9-1150)*0.1</f>
        <v>277.89999999999998</v>
      </c>
      <c r="AO9" s="1389">
        <f>865*0.029</f>
        <v>25.1</v>
      </c>
      <c r="AP9" s="1389">
        <f>AK9*0.053</f>
        <v>74.099999999999994</v>
      </c>
      <c r="AQ9" s="1389">
        <f>SUM(AN9:AP9)</f>
        <v>377.1</v>
      </c>
      <c r="AR9" s="1390">
        <f>AQ8-AQ9</f>
        <v>9.19</v>
      </c>
    </row>
    <row r="10" spans="1:44" s="1391" customFormat="1" ht="15" x14ac:dyDescent="0.2">
      <c r="A10" s="1376">
        <v>2</v>
      </c>
      <c r="B10" s="1377" t="s">
        <v>127</v>
      </c>
      <c r="C10" s="1378">
        <v>3</v>
      </c>
      <c r="D10" s="1379">
        <v>14.308999999999999</v>
      </c>
      <c r="E10" s="1380">
        <f t="shared" si="0"/>
        <v>42.93</v>
      </c>
      <c r="F10" s="1381">
        <f t="shared" si="1"/>
        <v>515.20000000000005</v>
      </c>
      <c r="G10" s="1382"/>
      <c r="H10" s="1382"/>
      <c r="I10" s="1382"/>
      <c r="J10" s="1382"/>
      <c r="K10" s="1382"/>
      <c r="L10" s="1382">
        <f>D10*0.3*2*12</f>
        <v>103</v>
      </c>
      <c r="M10" s="1382">
        <f>F10*$N$4+2.55</f>
        <v>96.8</v>
      </c>
      <c r="N10" s="1382">
        <f t="shared" si="2"/>
        <v>715</v>
      </c>
      <c r="O10" s="1383">
        <v>0.43</v>
      </c>
      <c r="P10" s="1382">
        <f t="shared" si="3"/>
        <v>307.5</v>
      </c>
      <c r="Q10" s="1382">
        <f t="shared" si="4"/>
        <v>1022.5</v>
      </c>
      <c r="R10" s="1382">
        <f t="shared" si="5"/>
        <v>818</v>
      </c>
      <c r="S10" s="1382">
        <f t="shared" si="6"/>
        <v>818</v>
      </c>
      <c r="T10" s="1382">
        <f t="shared" si="7"/>
        <v>85.1</v>
      </c>
      <c r="U10" s="1382">
        <f t="shared" ref="U10:U20" si="15">Q10+R10+S10+T10</f>
        <v>2743.6</v>
      </c>
      <c r="V10" s="2516"/>
      <c r="W10" s="1382">
        <f t="shared" ref="W10:W19" si="16">U10*$V$9</f>
        <v>2743.6</v>
      </c>
      <c r="X10" s="1392">
        <f>W10*0.302</f>
        <v>828.6</v>
      </c>
      <c r="Y10" s="1376">
        <v>1</v>
      </c>
      <c r="Z10" s="1384">
        <v>30</v>
      </c>
      <c r="AA10" s="1378">
        <f t="shared" si="8"/>
        <v>30</v>
      </c>
      <c r="AB10" s="1376"/>
      <c r="AC10" s="1384">
        <v>15</v>
      </c>
      <c r="AD10" s="1378">
        <f t="shared" si="9"/>
        <v>0</v>
      </c>
      <c r="AE10" s="1376"/>
      <c r="AF10" s="1384">
        <v>30</v>
      </c>
      <c r="AG10" s="1378">
        <f t="shared" si="10"/>
        <v>0</v>
      </c>
      <c r="AH10" s="1378">
        <f t="shared" si="11"/>
        <v>9</v>
      </c>
      <c r="AI10" s="1378">
        <f t="shared" si="12"/>
        <v>39</v>
      </c>
      <c r="AJ10" s="1385">
        <f t="shared" si="13"/>
        <v>76211.100000000006</v>
      </c>
      <c r="AK10" s="1386">
        <f>W10/C10</f>
        <v>914.5</v>
      </c>
      <c r="AL10" s="1387">
        <f t="shared" ref="AL10:AL20" si="17">((979*0.302)+((AK10-979)*0.182))</f>
        <v>283.89999999999998</v>
      </c>
      <c r="AM10" s="1388">
        <v>0.30199999999999999</v>
      </c>
      <c r="AN10" s="1389"/>
      <c r="AO10" s="1389"/>
      <c r="AP10" s="1389"/>
      <c r="AQ10" s="1389"/>
    </row>
    <row r="11" spans="1:44" s="1404" customFormat="1" ht="30" x14ac:dyDescent="0.2">
      <c r="A11" s="1393">
        <v>3</v>
      </c>
      <c r="B11" s="1394" t="s">
        <v>1539</v>
      </c>
      <c r="C11" s="1395">
        <v>12.89</v>
      </c>
      <c r="D11" s="1396">
        <v>6.8140000000000001</v>
      </c>
      <c r="E11" s="1395">
        <f t="shared" si="0"/>
        <v>87.83</v>
      </c>
      <c r="F11" s="1397">
        <f t="shared" si="1"/>
        <v>1054</v>
      </c>
      <c r="G11" s="1397"/>
      <c r="H11" s="1397"/>
      <c r="I11" s="1397">
        <f>D11*0.15*11.4*12</f>
        <v>139.80000000000001</v>
      </c>
      <c r="J11" s="1397">
        <f>(D11*0.25*1.47+D11*0.1*1.56)*12</f>
        <v>42.8</v>
      </c>
      <c r="K11" s="1397">
        <f>F11*0.2</f>
        <v>210.8</v>
      </c>
      <c r="L11" s="1397">
        <f>D11*0.3*12.37*12</f>
        <v>303.39999999999998</v>
      </c>
      <c r="M11" s="1397">
        <f>F11*$M$4</f>
        <v>335.2</v>
      </c>
      <c r="N11" s="1397">
        <f>F11+G11+H11+I11+J11+K11+L11+M11</f>
        <v>2086</v>
      </c>
      <c r="O11" s="1395">
        <v>0.92</v>
      </c>
      <c r="P11" s="1397">
        <f t="shared" si="3"/>
        <v>1919.1</v>
      </c>
      <c r="Q11" s="1397">
        <f t="shared" si="4"/>
        <v>4005.1</v>
      </c>
      <c r="R11" s="1397">
        <f t="shared" si="5"/>
        <v>3204.1</v>
      </c>
      <c r="S11" s="1397">
        <f t="shared" si="6"/>
        <v>3204.1</v>
      </c>
      <c r="T11" s="1397">
        <f t="shared" si="7"/>
        <v>333.2</v>
      </c>
      <c r="U11" s="1397">
        <f t="shared" si="15"/>
        <v>10746.5</v>
      </c>
      <c r="V11" s="2516"/>
      <c r="W11" s="1397">
        <f t="shared" si="16"/>
        <v>10746.5</v>
      </c>
      <c r="X11" s="1397">
        <f>W11*0.302-16.8</f>
        <v>3228.6</v>
      </c>
      <c r="Y11" s="1398">
        <v>6</v>
      </c>
      <c r="Z11" s="1399">
        <v>30</v>
      </c>
      <c r="AA11" s="1395">
        <f t="shared" si="8"/>
        <v>180</v>
      </c>
      <c r="AB11" s="1398">
        <v>2</v>
      </c>
      <c r="AC11" s="1399">
        <v>15</v>
      </c>
      <c r="AD11" s="1395">
        <f t="shared" si="9"/>
        <v>30</v>
      </c>
      <c r="AE11" s="1398">
        <v>2</v>
      </c>
      <c r="AF11" s="1399">
        <v>30</v>
      </c>
      <c r="AG11" s="1395">
        <f t="shared" si="10"/>
        <v>60</v>
      </c>
      <c r="AH11" s="1395">
        <f t="shared" si="11"/>
        <v>81</v>
      </c>
      <c r="AI11" s="1395">
        <f t="shared" si="12"/>
        <v>351</v>
      </c>
      <c r="AJ11" s="1400">
        <f t="shared" si="13"/>
        <v>69475.7</v>
      </c>
      <c r="AK11" s="1401">
        <f t="shared" si="14"/>
        <v>833.7</v>
      </c>
      <c r="AL11" s="1402">
        <f t="shared" si="17"/>
        <v>269.2</v>
      </c>
      <c r="AM11" s="1403">
        <v>0.30199999999999999</v>
      </c>
    </row>
    <row r="12" spans="1:44" s="1404" customFormat="1" ht="30" x14ac:dyDescent="0.2">
      <c r="A12" s="1393">
        <v>4</v>
      </c>
      <c r="B12" s="1394" t="s">
        <v>1540</v>
      </c>
      <c r="C12" s="1395">
        <v>5.33</v>
      </c>
      <c r="D12" s="1396">
        <v>6.8140000000000001</v>
      </c>
      <c r="E12" s="1395">
        <f>C12*D12</f>
        <v>36.32</v>
      </c>
      <c r="F12" s="1397">
        <f>E12*12</f>
        <v>435.8</v>
      </c>
      <c r="G12" s="1397"/>
      <c r="H12" s="1397"/>
      <c r="I12" s="1397">
        <f>D12*0.15*3.62*12</f>
        <v>44.4</v>
      </c>
      <c r="J12" s="1397"/>
      <c r="K12" s="1397">
        <f>F12*0.15</f>
        <v>65.400000000000006</v>
      </c>
      <c r="L12" s="1397">
        <f>D12*5.33*0.3*12</f>
        <v>130.69999999999999</v>
      </c>
      <c r="M12" s="1397">
        <f>F12*$M$4</f>
        <v>138.6</v>
      </c>
      <c r="N12" s="1397">
        <f t="shared" si="2"/>
        <v>814.9</v>
      </c>
      <c r="O12" s="1395">
        <v>0.86</v>
      </c>
      <c r="P12" s="1397">
        <f>N12*O12</f>
        <v>700.8</v>
      </c>
      <c r="Q12" s="1397">
        <f>N12+P12</f>
        <v>1515.7</v>
      </c>
      <c r="R12" s="1397">
        <f>Q12*0.8</f>
        <v>1212.5999999999999</v>
      </c>
      <c r="S12" s="1397">
        <f>Q12*0.8</f>
        <v>1212.5999999999999</v>
      </c>
      <c r="T12" s="1397">
        <f>(Q12+R12+S12)*0.032</f>
        <v>126.1</v>
      </c>
      <c r="U12" s="1397">
        <f>Q12+R12+S12+T12</f>
        <v>4067</v>
      </c>
      <c r="V12" s="2516"/>
      <c r="W12" s="1397">
        <f>U12*$V$9</f>
        <v>4067</v>
      </c>
      <c r="X12" s="1397">
        <f t="shared" ref="X12:X19" si="18">W12*0.302</f>
        <v>1228.2</v>
      </c>
      <c r="Y12" s="1398"/>
      <c r="Z12" s="1399">
        <v>30</v>
      </c>
      <c r="AA12" s="1395">
        <f>Y12*Z12</f>
        <v>0</v>
      </c>
      <c r="AB12" s="1398"/>
      <c r="AC12" s="1399">
        <v>15</v>
      </c>
      <c r="AD12" s="1395">
        <f>AB12*AC12</f>
        <v>0</v>
      </c>
      <c r="AE12" s="1398"/>
      <c r="AF12" s="1399">
        <v>30</v>
      </c>
      <c r="AG12" s="1395">
        <f>AE12*AF12</f>
        <v>0</v>
      </c>
      <c r="AH12" s="1395">
        <f>(AA12+AD12+AG12)*1%*30</f>
        <v>0</v>
      </c>
      <c r="AI12" s="1395">
        <f>AA12+AD12+AG12+AH12</f>
        <v>0</v>
      </c>
      <c r="AJ12" s="1400">
        <f t="shared" si="13"/>
        <v>63586.6</v>
      </c>
      <c r="AK12" s="1401">
        <f t="shared" si="14"/>
        <v>763</v>
      </c>
      <c r="AL12" s="1402">
        <f t="shared" si="17"/>
        <v>256.3</v>
      </c>
      <c r="AM12" s="1403">
        <v>0.30199999999999999</v>
      </c>
    </row>
    <row r="13" spans="1:44" s="1404" customFormat="1" ht="27.75" customHeight="1" x14ac:dyDescent="0.2">
      <c r="A13" s="1393">
        <v>5</v>
      </c>
      <c r="B13" s="1394" t="s">
        <v>1541</v>
      </c>
      <c r="C13" s="1395">
        <f>19.69-C11-C12</f>
        <v>1.47</v>
      </c>
      <c r="D13" s="1396">
        <v>6.8140000000000001</v>
      </c>
      <c r="E13" s="1395">
        <f>C13*D13</f>
        <v>10.02</v>
      </c>
      <c r="F13" s="1397">
        <f>E13*12</f>
        <v>120.2</v>
      </c>
      <c r="G13" s="1397"/>
      <c r="H13" s="1397"/>
      <c r="I13" s="1397"/>
      <c r="J13" s="1397"/>
      <c r="K13" s="1397"/>
      <c r="L13" s="1397">
        <f>D13*0.2*1.47*12</f>
        <v>24</v>
      </c>
      <c r="M13" s="1397">
        <f t="shared" ref="M13" si="19">F13*$M$4</f>
        <v>38.200000000000003</v>
      </c>
      <c r="N13" s="1397">
        <f t="shared" si="2"/>
        <v>182.4</v>
      </c>
      <c r="O13" s="1395">
        <v>0.82</v>
      </c>
      <c r="P13" s="1397">
        <f>N13*O13</f>
        <v>149.6</v>
      </c>
      <c r="Q13" s="1397">
        <f>N13+P13</f>
        <v>332</v>
      </c>
      <c r="R13" s="1397">
        <f>Q13*0.8</f>
        <v>265.60000000000002</v>
      </c>
      <c r="S13" s="1397">
        <f>Q13*0.8</f>
        <v>265.60000000000002</v>
      </c>
      <c r="T13" s="1397">
        <f>(Q13+R13+S13)*0.032</f>
        <v>27.6</v>
      </c>
      <c r="U13" s="1397">
        <f>Q13+R13+S13+T13</f>
        <v>890.8</v>
      </c>
      <c r="V13" s="2516"/>
      <c r="W13" s="1397">
        <f>U13*$V$9+0.3</f>
        <v>891.1</v>
      </c>
      <c r="X13" s="1397">
        <f t="shared" si="18"/>
        <v>269.10000000000002</v>
      </c>
      <c r="Y13" s="1398"/>
      <c r="Z13" s="1399">
        <v>30</v>
      </c>
      <c r="AA13" s="1395">
        <f>Y13*Z13</f>
        <v>0</v>
      </c>
      <c r="AB13" s="1398"/>
      <c r="AC13" s="1399">
        <v>15</v>
      </c>
      <c r="AD13" s="1395">
        <f>AB13*AC13</f>
        <v>0</v>
      </c>
      <c r="AE13" s="1398"/>
      <c r="AF13" s="1399">
        <v>30</v>
      </c>
      <c r="AG13" s="1395">
        <f>AE13*AF13</f>
        <v>0</v>
      </c>
      <c r="AH13" s="1395">
        <f>(AA13+AD13+AG13)*1%*30</f>
        <v>0</v>
      </c>
      <c r="AI13" s="1395">
        <f>AA13+AD13+AG13+AH13</f>
        <v>0</v>
      </c>
      <c r="AJ13" s="1400">
        <f t="shared" si="13"/>
        <v>50515.9</v>
      </c>
      <c r="AK13" s="1401">
        <f t="shared" si="14"/>
        <v>606.20000000000005</v>
      </c>
      <c r="AL13" s="1402">
        <f t="shared" si="17"/>
        <v>227.8</v>
      </c>
      <c r="AM13" s="1403">
        <v>0.30199999999999999</v>
      </c>
    </row>
    <row r="14" spans="1:44" s="1413" customFormat="1" ht="27.75" customHeight="1" x14ac:dyDescent="0.2">
      <c r="A14" s="1376">
        <v>6</v>
      </c>
      <c r="B14" s="1405" t="s">
        <v>1542</v>
      </c>
      <c r="C14" s="1406">
        <v>1</v>
      </c>
      <c r="D14" s="1379">
        <v>3.7789999999999999</v>
      </c>
      <c r="E14" s="1406">
        <f>C14*D14</f>
        <v>3.78</v>
      </c>
      <c r="F14" s="1392">
        <f>E14*12</f>
        <v>45.4</v>
      </c>
      <c r="G14" s="1392"/>
      <c r="H14" s="1392"/>
      <c r="I14" s="1392"/>
      <c r="J14" s="1392"/>
      <c r="K14" s="1392"/>
      <c r="L14" s="1392"/>
      <c r="M14" s="1392">
        <f>F14*$N$4+0.85</f>
        <v>9.1999999999999993</v>
      </c>
      <c r="N14" s="1392">
        <f>F14+G14+H14+I14+J14+K14+L14+M14</f>
        <v>54.6</v>
      </c>
      <c r="O14" s="1406">
        <v>1.46</v>
      </c>
      <c r="P14" s="1392">
        <f>N14*O14</f>
        <v>79.7</v>
      </c>
      <c r="Q14" s="1392">
        <f>N14+P14</f>
        <v>134.30000000000001</v>
      </c>
      <c r="R14" s="1392">
        <f>Q14*0.8</f>
        <v>107.4</v>
      </c>
      <c r="S14" s="1392">
        <f>Q14*0.8</f>
        <v>107.4</v>
      </c>
      <c r="T14" s="1392">
        <f>(Q14+R14+S14)*0.032</f>
        <v>11.2</v>
      </c>
      <c r="U14" s="1392">
        <f>Q14+R14+S14+T14</f>
        <v>360.3</v>
      </c>
      <c r="V14" s="2516"/>
      <c r="W14" s="1392">
        <f>U14*$V$9</f>
        <v>360.3</v>
      </c>
      <c r="X14" s="1392">
        <f t="shared" si="18"/>
        <v>108.8</v>
      </c>
      <c r="Y14" s="1407"/>
      <c r="Z14" s="1408">
        <v>31</v>
      </c>
      <c r="AA14" s="1406">
        <f>Y14*Z14</f>
        <v>0</v>
      </c>
      <c r="AB14" s="1407"/>
      <c r="AC14" s="1408">
        <v>16</v>
      </c>
      <c r="AD14" s="1406">
        <f>AB14*AC14</f>
        <v>0</v>
      </c>
      <c r="AE14" s="1407"/>
      <c r="AF14" s="1408">
        <v>31</v>
      </c>
      <c r="AG14" s="1406">
        <f>AE14*AF14</f>
        <v>0</v>
      </c>
      <c r="AH14" s="1406">
        <f>(AA14+AD14+AG14)*1%*30</f>
        <v>0</v>
      </c>
      <c r="AI14" s="1406">
        <f>AA14+AD14+AG14+AH14</f>
        <v>0</v>
      </c>
      <c r="AJ14" s="1409">
        <f t="shared" si="13"/>
        <v>30025</v>
      </c>
      <c r="AK14" s="1410">
        <f t="shared" si="14"/>
        <v>360.3</v>
      </c>
      <c r="AL14" s="1411"/>
      <c r="AM14" s="1412"/>
    </row>
    <row r="15" spans="1:44" s="1391" customFormat="1" ht="15" x14ac:dyDescent="0.2">
      <c r="A15" s="1376">
        <v>7</v>
      </c>
      <c r="B15" s="1377" t="s">
        <v>1543</v>
      </c>
      <c r="C15" s="1380">
        <v>1</v>
      </c>
      <c r="D15" s="1379">
        <v>3.4380000000000002</v>
      </c>
      <c r="E15" s="1378">
        <f t="shared" si="0"/>
        <v>3.44</v>
      </c>
      <c r="F15" s="1382">
        <f t="shared" si="1"/>
        <v>41.3</v>
      </c>
      <c r="G15" s="1382"/>
      <c r="H15" s="1382"/>
      <c r="I15" s="1382"/>
      <c r="J15" s="1382"/>
      <c r="K15" s="1382"/>
      <c r="L15" s="1382"/>
      <c r="M15" s="1382">
        <f>26+0.85</f>
        <v>26.9</v>
      </c>
      <c r="N15" s="1382">
        <f t="shared" si="2"/>
        <v>68.2</v>
      </c>
      <c r="O15" s="1378">
        <v>1.01</v>
      </c>
      <c r="P15" s="1382">
        <f t="shared" si="3"/>
        <v>68.900000000000006</v>
      </c>
      <c r="Q15" s="1382">
        <f t="shared" si="4"/>
        <v>137.1</v>
      </c>
      <c r="R15" s="1382">
        <f t="shared" si="5"/>
        <v>109.7</v>
      </c>
      <c r="S15" s="1382">
        <f t="shared" si="6"/>
        <v>109.7</v>
      </c>
      <c r="T15" s="1382">
        <f t="shared" si="7"/>
        <v>11.4</v>
      </c>
      <c r="U15" s="1382">
        <f t="shared" si="15"/>
        <v>367.9</v>
      </c>
      <c r="V15" s="2516"/>
      <c r="W15" s="1382">
        <f t="shared" si="16"/>
        <v>367.9</v>
      </c>
      <c r="X15" s="1382">
        <f t="shared" si="18"/>
        <v>111.1</v>
      </c>
      <c r="Y15" s="1376"/>
      <c r="Z15" s="1384">
        <v>30</v>
      </c>
      <c r="AA15" s="1378">
        <f t="shared" si="8"/>
        <v>0</v>
      </c>
      <c r="AB15" s="1376"/>
      <c r="AC15" s="1384">
        <v>15</v>
      </c>
      <c r="AD15" s="1378">
        <f t="shared" si="9"/>
        <v>0</v>
      </c>
      <c r="AE15" s="1376">
        <v>1</v>
      </c>
      <c r="AF15" s="1384">
        <v>30</v>
      </c>
      <c r="AG15" s="1378">
        <f t="shared" si="10"/>
        <v>30</v>
      </c>
      <c r="AH15" s="1378">
        <f t="shared" si="11"/>
        <v>9</v>
      </c>
      <c r="AI15" s="1378">
        <f t="shared" si="12"/>
        <v>39</v>
      </c>
      <c r="AJ15" s="1385">
        <f t="shared" si="13"/>
        <v>30658.3</v>
      </c>
      <c r="AK15" s="1386">
        <f t="shared" si="14"/>
        <v>367.9</v>
      </c>
      <c r="AL15" s="1387">
        <f t="shared" si="17"/>
        <v>184.4</v>
      </c>
      <c r="AM15" s="1388">
        <v>0.30199999999999999</v>
      </c>
      <c r="AN15" s="1413"/>
      <c r="AO15" s="1413"/>
      <c r="AP15" s="1413"/>
      <c r="AQ15" s="1413"/>
    </row>
    <row r="16" spans="1:44" s="1391" customFormat="1" ht="29.25" customHeight="1" x14ac:dyDescent="0.2">
      <c r="A16" s="1376">
        <v>8</v>
      </c>
      <c r="B16" s="1377" t="s">
        <v>1544</v>
      </c>
      <c r="C16" s="1378">
        <v>3.75</v>
      </c>
      <c r="D16" s="1379">
        <v>2.6619999999999999</v>
      </c>
      <c r="E16" s="1378">
        <f t="shared" si="0"/>
        <v>9.98</v>
      </c>
      <c r="F16" s="1381">
        <f t="shared" si="1"/>
        <v>119.8</v>
      </c>
      <c r="G16" s="1382"/>
      <c r="H16" s="1382"/>
      <c r="I16" s="1382"/>
      <c r="J16" s="1382"/>
      <c r="K16" s="1382"/>
      <c r="L16" s="1382"/>
      <c r="M16" s="1382">
        <f>75+3.19</f>
        <v>78.2</v>
      </c>
      <c r="N16" s="1382">
        <f t="shared" si="2"/>
        <v>198</v>
      </c>
      <c r="O16" s="1378">
        <v>1.64</v>
      </c>
      <c r="P16" s="1382">
        <f t="shared" si="3"/>
        <v>324.7</v>
      </c>
      <c r="Q16" s="1382">
        <f t="shared" si="4"/>
        <v>522.70000000000005</v>
      </c>
      <c r="R16" s="1382">
        <f t="shared" si="5"/>
        <v>418.2</v>
      </c>
      <c r="S16" s="1382">
        <f t="shared" si="6"/>
        <v>418.2</v>
      </c>
      <c r="T16" s="1382">
        <f t="shared" si="7"/>
        <v>43.5</v>
      </c>
      <c r="U16" s="1382">
        <f t="shared" si="15"/>
        <v>1402.6</v>
      </c>
      <c r="V16" s="2516"/>
      <c r="W16" s="1382">
        <f t="shared" si="16"/>
        <v>1402.6</v>
      </c>
      <c r="X16" s="1382">
        <f t="shared" si="18"/>
        <v>423.6</v>
      </c>
      <c r="Y16" s="1376">
        <v>2</v>
      </c>
      <c r="Z16" s="1384">
        <v>30</v>
      </c>
      <c r="AA16" s="1378">
        <f t="shared" si="8"/>
        <v>60</v>
      </c>
      <c r="AB16" s="1376"/>
      <c r="AC16" s="1384">
        <v>15</v>
      </c>
      <c r="AD16" s="1378">
        <f t="shared" si="9"/>
        <v>0</v>
      </c>
      <c r="AE16" s="1376"/>
      <c r="AF16" s="1384">
        <v>30</v>
      </c>
      <c r="AG16" s="1378">
        <f t="shared" si="10"/>
        <v>0</v>
      </c>
      <c r="AH16" s="1378">
        <f t="shared" si="11"/>
        <v>18</v>
      </c>
      <c r="AI16" s="1378">
        <f t="shared" si="12"/>
        <v>78</v>
      </c>
      <c r="AJ16" s="1385">
        <f t="shared" si="13"/>
        <v>31168.9</v>
      </c>
      <c r="AK16" s="1386">
        <f t="shared" si="14"/>
        <v>374</v>
      </c>
      <c r="AL16" s="1387">
        <f t="shared" si="17"/>
        <v>185.5</v>
      </c>
      <c r="AM16" s="1388">
        <v>0.30199999999999999</v>
      </c>
      <c r="AN16" s="1413"/>
      <c r="AO16" s="1413"/>
      <c r="AP16" s="1413"/>
      <c r="AQ16" s="1413"/>
    </row>
    <row r="17" spans="1:44" s="1391" customFormat="1" ht="28.5" customHeight="1" x14ac:dyDescent="0.2">
      <c r="A17" s="1376">
        <v>9</v>
      </c>
      <c r="B17" s="1377" t="s">
        <v>1545</v>
      </c>
      <c r="C17" s="1378">
        <v>1</v>
      </c>
      <c r="D17" s="1379">
        <v>2.6619999999999999</v>
      </c>
      <c r="E17" s="1378">
        <f t="shared" si="0"/>
        <v>2.66</v>
      </c>
      <c r="F17" s="1381">
        <f t="shared" si="1"/>
        <v>31.9</v>
      </c>
      <c r="G17" s="1382"/>
      <c r="H17" s="1382"/>
      <c r="I17" s="1382"/>
      <c r="J17" s="1382"/>
      <c r="K17" s="1382"/>
      <c r="L17" s="1382"/>
      <c r="M17" s="1382">
        <f>9.5+0.85</f>
        <v>10.4</v>
      </c>
      <c r="N17" s="1382">
        <f t="shared" si="2"/>
        <v>42.3</v>
      </c>
      <c r="O17" s="1378">
        <v>1.64</v>
      </c>
      <c r="P17" s="1382">
        <f t="shared" si="3"/>
        <v>69.400000000000006</v>
      </c>
      <c r="Q17" s="1382">
        <f t="shared" si="4"/>
        <v>111.7</v>
      </c>
      <c r="R17" s="1382">
        <f t="shared" si="5"/>
        <v>89.4</v>
      </c>
      <c r="S17" s="1382">
        <f t="shared" si="6"/>
        <v>89.4</v>
      </c>
      <c r="T17" s="1382">
        <f t="shared" si="7"/>
        <v>9.3000000000000007</v>
      </c>
      <c r="U17" s="1382">
        <f t="shared" si="15"/>
        <v>299.8</v>
      </c>
      <c r="V17" s="2516"/>
      <c r="W17" s="1382">
        <f t="shared" si="16"/>
        <v>299.8</v>
      </c>
      <c r="X17" s="1382">
        <f t="shared" si="18"/>
        <v>90.5</v>
      </c>
      <c r="Y17" s="1376">
        <v>1</v>
      </c>
      <c r="Z17" s="1384">
        <v>30</v>
      </c>
      <c r="AA17" s="1378">
        <f t="shared" si="8"/>
        <v>30</v>
      </c>
      <c r="AB17" s="1376">
        <v>1</v>
      </c>
      <c r="AC17" s="1384">
        <v>15</v>
      </c>
      <c r="AD17" s="1378">
        <f t="shared" si="9"/>
        <v>15</v>
      </c>
      <c r="AE17" s="1376">
        <v>1</v>
      </c>
      <c r="AF17" s="1384">
        <v>30</v>
      </c>
      <c r="AG17" s="1378">
        <f t="shared" si="10"/>
        <v>30</v>
      </c>
      <c r="AH17" s="1378">
        <f t="shared" si="11"/>
        <v>22.5</v>
      </c>
      <c r="AI17" s="1378">
        <f t="shared" si="12"/>
        <v>97.5</v>
      </c>
      <c r="AJ17" s="1385">
        <f t="shared" si="13"/>
        <v>24983.3</v>
      </c>
      <c r="AK17" s="1386">
        <f t="shared" si="14"/>
        <v>299.8</v>
      </c>
      <c r="AL17" s="1387">
        <f t="shared" si="17"/>
        <v>172</v>
      </c>
      <c r="AM17" s="1388">
        <v>0.30199999999999999</v>
      </c>
      <c r="AN17" s="1413"/>
      <c r="AO17" s="1413"/>
      <c r="AP17" s="1413"/>
      <c r="AQ17" s="1413"/>
    </row>
    <row r="18" spans="1:44" s="1391" customFormat="1" ht="15.75" customHeight="1" x14ac:dyDescent="0.2">
      <c r="A18" s="1376">
        <v>10</v>
      </c>
      <c r="B18" s="1377" t="s">
        <v>1546</v>
      </c>
      <c r="C18" s="1378">
        <v>5</v>
      </c>
      <c r="D18" s="1379">
        <v>2.6619999999999999</v>
      </c>
      <c r="E18" s="1378">
        <f t="shared" si="0"/>
        <v>13.31</v>
      </c>
      <c r="F18" s="1381">
        <f t="shared" si="1"/>
        <v>159.69999999999999</v>
      </c>
      <c r="G18" s="1382">
        <f>17625.2/1000</f>
        <v>17.600000000000001</v>
      </c>
      <c r="H18" s="1392">
        <f>5778.8/1000</f>
        <v>5.8</v>
      </c>
      <c r="I18" s="1382"/>
      <c r="J18" s="1382"/>
      <c r="K18" s="1382"/>
      <c r="L18" s="1382"/>
      <c r="M18" s="1382">
        <f>73+0.85</f>
        <v>73.900000000000006</v>
      </c>
      <c r="N18" s="1382">
        <f t="shared" si="2"/>
        <v>257</v>
      </c>
      <c r="O18" s="1378">
        <v>1.64</v>
      </c>
      <c r="P18" s="1382">
        <f t="shared" si="3"/>
        <v>421.5</v>
      </c>
      <c r="Q18" s="1382">
        <f t="shared" si="4"/>
        <v>678.5</v>
      </c>
      <c r="R18" s="1382">
        <f t="shared" si="5"/>
        <v>542.79999999999995</v>
      </c>
      <c r="S18" s="1382">
        <f t="shared" si="6"/>
        <v>542.79999999999995</v>
      </c>
      <c r="T18" s="1382">
        <f t="shared" si="7"/>
        <v>56.5</v>
      </c>
      <c r="U18" s="1382">
        <f t="shared" si="15"/>
        <v>1820.6</v>
      </c>
      <c r="V18" s="2516"/>
      <c r="W18" s="1382">
        <f t="shared" si="16"/>
        <v>1820.6</v>
      </c>
      <c r="X18" s="1382">
        <f t="shared" si="18"/>
        <v>549.79999999999995</v>
      </c>
      <c r="Y18" s="1376">
        <v>2</v>
      </c>
      <c r="Z18" s="1384">
        <v>30</v>
      </c>
      <c r="AA18" s="1378">
        <f t="shared" si="8"/>
        <v>60</v>
      </c>
      <c r="AB18" s="1376"/>
      <c r="AC18" s="1384">
        <v>15</v>
      </c>
      <c r="AD18" s="1378">
        <f t="shared" si="9"/>
        <v>0</v>
      </c>
      <c r="AE18" s="1376"/>
      <c r="AF18" s="1384">
        <v>30</v>
      </c>
      <c r="AG18" s="1378">
        <f t="shared" si="10"/>
        <v>0</v>
      </c>
      <c r="AH18" s="1378">
        <f t="shared" si="11"/>
        <v>18</v>
      </c>
      <c r="AI18" s="1378">
        <f t="shared" si="12"/>
        <v>78</v>
      </c>
      <c r="AJ18" s="1385">
        <f t="shared" si="13"/>
        <v>30343.3</v>
      </c>
      <c r="AK18" s="1386">
        <f t="shared" si="14"/>
        <v>364.1</v>
      </c>
      <c r="AL18" s="1387">
        <f t="shared" si="17"/>
        <v>183.7</v>
      </c>
      <c r="AM18" s="1388">
        <v>0.30199999999999999</v>
      </c>
      <c r="AN18" s="1413"/>
      <c r="AO18" s="1413"/>
      <c r="AP18" s="1413"/>
      <c r="AQ18" s="1413"/>
    </row>
    <row r="19" spans="1:44" s="1391" customFormat="1" ht="15" x14ac:dyDescent="0.2">
      <c r="A19" s="1376">
        <v>11</v>
      </c>
      <c r="B19" s="1377" t="s">
        <v>1547</v>
      </c>
      <c r="C19" s="1378">
        <v>1</v>
      </c>
      <c r="D19" s="1379">
        <v>2.6619999999999999</v>
      </c>
      <c r="E19" s="1378">
        <f t="shared" si="0"/>
        <v>2.66</v>
      </c>
      <c r="F19" s="1381">
        <f t="shared" si="1"/>
        <v>31.9</v>
      </c>
      <c r="G19" s="1392"/>
      <c r="H19" s="1392"/>
      <c r="I19" s="1382"/>
      <c r="J19" s="1382"/>
      <c r="K19" s="1382"/>
      <c r="L19" s="1382"/>
      <c r="M19" s="1382">
        <f>20+0.85</f>
        <v>20.9</v>
      </c>
      <c r="N19" s="1382">
        <f t="shared" si="2"/>
        <v>52.8</v>
      </c>
      <c r="O19" s="1378">
        <v>1.64</v>
      </c>
      <c r="P19" s="1382">
        <f t="shared" si="3"/>
        <v>86.6</v>
      </c>
      <c r="Q19" s="1382">
        <f t="shared" si="4"/>
        <v>139.4</v>
      </c>
      <c r="R19" s="1382">
        <f t="shared" si="5"/>
        <v>111.5</v>
      </c>
      <c r="S19" s="1382">
        <f t="shared" si="6"/>
        <v>111.5</v>
      </c>
      <c r="T19" s="1382">
        <f t="shared" si="7"/>
        <v>11.6</v>
      </c>
      <c r="U19" s="1382">
        <f t="shared" si="15"/>
        <v>374</v>
      </c>
      <c r="V19" s="2516"/>
      <c r="W19" s="1382">
        <f t="shared" si="16"/>
        <v>374</v>
      </c>
      <c r="X19" s="1382">
        <f t="shared" si="18"/>
        <v>112.9</v>
      </c>
      <c r="Y19" s="1376"/>
      <c r="Z19" s="1384">
        <v>30</v>
      </c>
      <c r="AA19" s="1378">
        <f t="shared" si="8"/>
        <v>0</v>
      </c>
      <c r="AB19" s="1376"/>
      <c r="AC19" s="1384">
        <v>15</v>
      </c>
      <c r="AD19" s="1378">
        <f t="shared" si="9"/>
        <v>0</v>
      </c>
      <c r="AE19" s="1376"/>
      <c r="AF19" s="1384">
        <v>30</v>
      </c>
      <c r="AG19" s="1378">
        <f t="shared" si="10"/>
        <v>0</v>
      </c>
      <c r="AH19" s="1378">
        <f t="shared" si="11"/>
        <v>0</v>
      </c>
      <c r="AI19" s="1378">
        <f t="shared" si="12"/>
        <v>0</v>
      </c>
      <c r="AJ19" s="1385">
        <f t="shared" si="13"/>
        <v>31166.7</v>
      </c>
      <c r="AK19" s="1386">
        <f t="shared" si="14"/>
        <v>374</v>
      </c>
      <c r="AL19" s="1387">
        <f t="shared" si="17"/>
        <v>185.5</v>
      </c>
      <c r="AM19" s="1388">
        <v>0.30199999999999999</v>
      </c>
    </row>
    <row r="20" spans="1:44" s="1391" customFormat="1" ht="15" x14ac:dyDescent="0.2">
      <c r="A20" s="1376">
        <v>12</v>
      </c>
      <c r="B20" s="1377" t="s">
        <v>1548</v>
      </c>
      <c r="C20" s="1378">
        <v>1</v>
      </c>
      <c r="D20" s="1379">
        <v>2.6619999999999999</v>
      </c>
      <c r="E20" s="1378">
        <f t="shared" si="0"/>
        <v>2.66</v>
      </c>
      <c r="F20" s="1381">
        <f t="shared" si="1"/>
        <v>31.9</v>
      </c>
      <c r="G20" s="1382"/>
      <c r="H20" s="1382"/>
      <c r="I20" s="1382"/>
      <c r="J20" s="1382"/>
      <c r="K20" s="1382"/>
      <c r="L20" s="1382"/>
      <c r="M20" s="1382">
        <f>20+0.85</f>
        <v>20.9</v>
      </c>
      <c r="N20" s="1382">
        <f t="shared" si="2"/>
        <v>52.8</v>
      </c>
      <c r="O20" s="1378">
        <v>1.64</v>
      </c>
      <c r="P20" s="1382">
        <f t="shared" si="3"/>
        <v>86.6</v>
      </c>
      <c r="Q20" s="1382">
        <f t="shared" si="4"/>
        <v>139.4</v>
      </c>
      <c r="R20" s="1382">
        <f t="shared" si="5"/>
        <v>111.5</v>
      </c>
      <c r="S20" s="1382">
        <f t="shared" si="6"/>
        <v>111.5</v>
      </c>
      <c r="T20" s="1382">
        <f t="shared" si="7"/>
        <v>11.6</v>
      </c>
      <c r="U20" s="1382">
        <f t="shared" si="15"/>
        <v>374</v>
      </c>
      <c r="V20" s="2517"/>
      <c r="W20" s="1382">
        <f>U20*$V$9+0.1</f>
        <v>374.1</v>
      </c>
      <c r="X20" s="1382">
        <f>W20*0.302+0.7</f>
        <v>113.7</v>
      </c>
      <c r="Y20" s="1376">
        <v>1</v>
      </c>
      <c r="Z20" s="1384">
        <v>30</v>
      </c>
      <c r="AA20" s="1378">
        <f t="shared" si="8"/>
        <v>30</v>
      </c>
      <c r="AB20" s="1376"/>
      <c r="AC20" s="1384">
        <v>15</v>
      </c>
      <c r="AD20" s="1378">
        <f t="shared" si="9"/>
        <v>0</v>
      </c>
      <c r="AE20" s="1376"/>
      <c r="AF20" s="1384">
        <v>30</v>
      </c>
      <c r="AG20" s="1378">
        <f t="shared" si="10"/>
        <v>0</v>
      </c>
      <c r="AH20" s="1378">
        <f t="shared" si="11"/>
        <v>9</v>
      </c>
      <c r="AI20" s="1378">
        <f t="shared" si="12"/>
        <v>39</v>
      </c>
      <c r="AJ20" s="1385">
        <f t="shared" si="13"/>
        <v>31175</v>
      </c>
      <c r="AK20" s="1386">
        <f t="shared" si="14"/>
        <v>374.1</v>
      </c>
      <c r="AL20" s="1387">
        <f t="shared" si="17"/>
        <v>185.6</v>
      </c>
      <c r="AM20" s="1388">
        <v>0.30199999999999999</v>
      </c>
    </row>
    <row r="21" spans="1:44" s="1416" customFormat="1" ht="20.25" customHeight="1" x14ac:dyDescent="0.2">
      <c r="A21" s="2524" t="s">
        <v>8</v>
      </c>
      <c r="B21" s="2524"/>
      <c r="C21" s="1414">
        <f>SUM(C9:C20)</f>
        <v>37.44</v>
      </c>
      <c r="D21" s="1414">
        <f t="shared" ref="D21:AI21" si="20">SUM(D9:D20)</f>
        <v>75.72</v>
      </c>
      <c r="E21" s="1414">
        <f t="shared" si="20"/>
        <v>236.03</v>
      </c>
      <c r="F21" s="1415">
        <f t="shared" si="20"/>
        <v>2832.4</v>
      </c>
      <c r="G21" s="1415">
        <f t="shared" si="20"/>
        <v>17.600000000000001</v>
      </c>
      <c r="H21" s="1415">
        <f t="shared" si="20"/>
        <v>5.8</v>
      </c>
      <c r="I21" s="1415">
        <f t="shared" si="20"/>
        <v>184.2</v>
      </c>
      <c r="J21" s="1415">
        <f t="shared" si="20"/>
        <v>42.8</v>
      </c>
      <c r="K21" s="1415">
        <f t="shared" si="20"/>
        <v>276.2</v>
      </c>
      <c r="L21" s="1415">
        <f t="shared" si="20"/>
        <v>634.70000000000005</v>
      </c>
      <c r="M21" s="1415">
        <f t="shared" si="20"/>
        <v>894.9</v>
      </c>
      <c r="N21" s="1415">
        <f t="shared" si="20"/>
        <v>4888.6000000000004</v>
      </c>
      <c r="O21" s="1414"/>
      <c r="P21" s="1415">
        <f t="shared" si="20"/>
        <v>4371.2</v>
      </c>
      <c r="Q21" s="1415">
        <f t="shared" si="20"/>
        <v>9259.7999999999993</v>
      </c>
      <c r="R21" s="1415">
        <f t="shared" si="20"/>
        <v>7407.9</v>
      </c>
      <c r="S21" s="1415">
        <f t="shared" si="20"/>
        <v>7407.9</v>
      </c>
      <c r="T21" s="1415">
        <f t="shared" si="20"/>
        <v>770.5</v>
      </c>
      <c r="U21" s="1415">
        <f t="shared" si="20"/>
        <v>24845.8</v>
      </c>
      <c r="V21" s="1414">
        <f t="shared" si="20"/>
        <v>1</v>
      </c>
      <c r="W21" s="1415">
        <f t="shared" si="20"/>
        <v>24846.2</v>
      </c>
      <c r="X21" s="1415">
        <f t="shared" si="20"/>
        <v>7442</v>
      </c>
      <c r="Y21" s="1414">
        <f>SUM(Y9:Y20)</f>
        <v>14</v>
      </c>
      <c r="Z21" s="1414"/>
      <c r="AA21" s="1414">
        <f t="shared" si="20"/>
        <v>420</v>
      </c>
      <c r="AB21" s="1414">
        <f t="shared" si="20"/>
        <v>3</v>
      </c>
      <c r="AC21" s="1414"/>
      <c r="AD21" s="1414">
        <f t="shared" si="20"/>
        <v>45</v>
      </c>
      <c r="AE21" s="1414">
        <f t="shared" si="20"/>
        <v>4</v>
      </c>
      <c r="AF21" s="1414"/>
      <c r="AG21" s="1414">
        <f t="shared" si="20"/>
        <v>120</v>
      </c>
      <c r="AH21" s="1414">
        <f t="shared" si="20"/>
        <v>175.5</v>
      </c>
      <c r="AI21" s="1414">
        <f t="shared" si="20"/>
        <v>760.5</v>
      </c>
      <c r="AN21" s="1365"/>
      <c r="AO21" s="1365"/>
      <c r="AP21" s="1365"/>
      <c r="AQ21" s="1365"/>
    </row>
    <row r="22" spans="1:44" s="1418" customFormat="1" ht="15.75" x14ac:dyDescent="0.2">
      <c r="A22" s="1417"/>
      <c r="C22" s="1419"/>
      <c r="U22" s="1420"/>
      <c r="V22" s="1420"/>
      <c r="W22" s="1492"/>
      <c r="X22" s="1493"/>
      <c r="AN22" s="1421"/>
      <c r="AO22" s="1421"/>
      <c r="AP22" s="1421"/>
      <c r="AQ22" s="1421"/>
    </row>
    <row r="23" spans="1:44" s="1418" customFormat="1" ht="15.75" x14ac:dyDescent="0.2">
      <c r="A23" s="1417"/>
      <c r="U23" s="1420"/>
      <c r="V23" s="1420"/>
      <c r="X23" s="1422"/>
      <c r="AN23" s="1421"/>
      <c r="AO23" s="1421"/>
      <c r="AP23" s="1421"/>
      <c r="AQ23" s="1421"/>
    </row>
    <row r="24" spans="1:44" s="1418" customFormat="1" ht="33.75" customHeight="1" x14ac:dyDescent="0.2">
      <c r="A24" s="1423"/>
      <c r="B24" s="1423"/>
      <c r="C24" s="2511" t="s">
        <v>140</v>
      </c>
      <c r="D24" s="2511"/>
      <c r="E24" s="2511" t="s">
        <v>141</v>
      </c>
      <c r="F24" s="2511"/>
      <c r="G24" s="2512" t="s">
        <v>128</v>
      </c>
      <c r="H24" s="2512"/>
      <c r="J24" s="1424"/>
      <c r="K24" s="2513" t="s">
        <v>1549</v>
      </c>
      <c r="L24" s="2514"/>
      <c r="M24" s="2513" t="s">
        <v>1550</v>
      </c>
      <c r="N24" s="2514"/>
      <c r="O24" s="2521" t="s">
        <v>1551</v>
      </c>
      <c r="P24" s="2523"/>
      <c r="Q24" s="2521" t="s">
        <v>1559</v>
      </c>
      <c r="R24" s="2522"/>
      <c r="S24" s="2523"/>
      <c r="T24" s="2521" t="s">
        <v>197</v>
      </c>
      <c r="U24" s="2523"/>
      <c r="W24" s="1425"/>
      <c r="X24" s="1425"/>
      <c r="AN24" s="1421"/>
      <c r="AO24" s="1421"/>
      <c r="AP24" s="1421"/>
      <c r="AQ24" s="1421"/>
    </row>
    <row r="25" spans="1:44" s="1432" customFormat="1" ht="15" x14ac:dyDescent="0.2">
      <c r="A25" s="1426"/>
      <c r="B25" s="1426"/>
      <c r="C25" s="1427">
        <v>991</v>
      </c>
      <c r="D25" s="1427">
        <v>992</v>
      </c>
      <c r="E25" s="1427">
        <v>991</v>
      </c>
      <c r="F25" s="1427">
        <v>992</v>
      </c>
      <c r="G25" s="1427">
        <v>991</v>
      </c>
      <c r="H25" s="1427">
        <v>992</v>
      </c>
      <c r="I25" s="1428"/>
      <c r="J25" s="1429"/>
      <c r="K25" s="1430">
        <v>991</v>
      </c>
      <c r="L25" s="1430">
        <v>992</v>
      </c>
      <c r="M25" s="1430">
        <v>991</v>
      </c>
      <c r="N25" s="1431">
        <v>992</v>
      </c>
      <c r="O25" s="1431">
        <v>991</v>
      </c>
      <c r="P25" s="1431">
        <v>992</v>
      </c>
      <c r="Q25" s="1431">
        <v>991</v>
      </c>
      <c r="R25" s="1431">
        <v>992</v>
      </c>
      <c r="S25" s="1497">
        <v>911</v>
      </c>
      <c r="T25" s="1431">
        <v>991</v>
      </c>
      <c r="U25" s="1431">
        <v>992</v>
      </c>
      <c r="W25" s="1429"/>
      <c r="X25" s="1429"/>
      <c r="Y25" s="1429"/>
      <c r="Z25" s="1429"/>
      <c r="AA25" s="1429"/>
      <c r="AB25" s="1429"/>
      <c r="AC25" s="1429"/>
      <c r="AD25" s="1429"/>
      <c r="AE25" s="1429"/>
      <c r="AF25" s="1429"/>
      <c r="AG25" s="1429"/>
      <c r="AH25" s="1429"/>
      <c r="AI25" s="1429"/>
      <c r="AJ25" s="1374"/>
      <c r="AN25" s="1366"/>
      <c r="AO25" s="1366"/>
      <c r="AP25" s="1366"/>
      <c r="AQ25" s="1366"/>
    </row>
    <row r="26" spans="1:44" s="1432" customFormat="1" ht="15" x14ac:dyDescent="0.2">
      <c r="A26" s="1426"/>
      <c r="B26" s="1426"/>
      <c r="C26" s="1433">
        <v>22761.599999999999</v>
      </c>
      <c r="D26" s="1434">
        <v>6817.3</v>
      </c>
      <c r="E26" s="1435">
        <f>W21</f>
        <v>24846.2</v>
      </c>
      <c r="F26" s="1435">
        <f>X21</f>
        <v>7442</v>
      </c>
      <c r="G26" s="1435">
        <f>C26-E26</f>
        <v>-2084.6</v>
      </c>
      <c r="H26" s="1435">
        <f>D26-F26</f>
        <v>-624.70000000000005</v>
      </c>
      <c r="I26" s="1428"/>
      <c r="J26" s="1429"/>
      <c r="K26" s="1436">
        <f>W11+W12+W13</f>
        <v>15704.6</v>
      </c>
      <c r="L26" s="1436">
        <f>X11+X12+X13</f>
        <v>4725.8999999999996</v>
      </c>
      <c r="M26" s="1437">
        <f>V13</f>
        <v>0</v>
      </c>
      <c r="N26" s="1436">
        <v>0</v>
      </c>
      <c r="O26" s="1436">
        <f>W21-K26</f>
        <v>9141.6</v>
      </c>
      <c r="P26" s="1436">
        <f>X21-L26</f>
        <v>2716.1</v>
      </c>
      <c r="Q26" s="1436">
        <f>K26+M26+O26</f>
        <v>24846.2</v>
      </c>
      <c r="R26" s="1436">
        <f>L26+N26+P26</f>
        <v>7442</v>
      </c>
      <c r="S26" s="1498">
        <f>AI21</f>
        <v>760.5</v>
      </c>
      <c r="T26" s="1436">
        <f>W21-Q26</f>
        <v>0</v>
      </c>
      <c r="U26" s="1436">
        <f>X21-R26</f>
        <v>0</v>
      </c>
      <c r="W26" s="1429"/>
      <c r="X26" s="1429"/>
      <c r="Y26" s="1429"/>
      <c r="Z26" s="1429"/>
      <c r="AA26" s="1429"/>
      <c r="AB26" s="1429"/>
      <c r="AC26" s="1429"/>
      <c r="AD26" s="1429"/>
      <c r="AE26" s="1429"/>
      <c r="AF26" s="1429"/>
      <c r="AG26" s="1429"/>
      <c r="AH26" s="1429"/>
      <c r="AI26" s="1429"/>
      <c r="AJ26" s="1374"/>
      <c r="AN26" s="1366"/>
      <c r="AO26" s="1366"/>
      <c r="AP26" s="1366"/>
      <c r="AQ26" s="1366"/>
    </row>
    <row r="27" spans="1:44" s="1432" customFormat="1" ht="15" x14ac:dyDescent="0.2">
      <c r="A27" s="1426"/>
      <c r="B27" s="1426"/>
      <c r="C27" s="1438"/>
      <c r="D27" s="1439"/>
      <c r="E27" s="1439"/>
      <c r="F27" s="1439"/>
      <c r="G27" s="1439"/>
      <c r="H27" s="1428"/>
      <c r="I27" s="1428"/>
      <c r="J27" s="1429"/>
      <c r="K27" s="1424"/>
      <c r="L27" s="1418"/>
      <c r="M27" s="1418"/>
      <c r="N27" s="1418"/>
      <c r="O27" s="1418"/>
      <c r="P27" s="1418"/>
      <c r="Q27" s="1418"/>
      <c r="R27" s="1418"/>
      <c r="S27" s="1418"/>
      <c r="T27" s="1418"/>
      <c r="U27" s="1429"/>
      <c r="V27" s="1429"/>
      <c r="W27" s="1429"/>
      <c r="X27" s="1429"/>
      <c r="Y27" s="1429"/>
      <c r="Z27" s="1429"/>
      <c r="AA27" s="1429"/>
      <c r="AB27" s="1429"/>
      <c r="AC27" s="1429"/>
      <c r="AD27" s="1429"/>
      <c r="AE27" s="1429"/>
      <c r="AF27" s="1429"/>
      <c r="AG27" s="1429"/>
      <c r="AH27" s="1429"/>
      <c r="AI27" s="1429"/>
      <c r="AJ27" s="1374"/>
      <c r="AN27" s="1366"/>
      <c r="AO27" s="1366"/>
      <c r="AP27" s="1366"/>
      <c r="AQ27" s="1366"/>
    </row>
    <row r="28" spans="1:44" s="1432" customFormat="1" ht="15" x14ac:dyDescent="0.2">
      <c r="A28" s="1426"/>
      <c r="B28" s="1426"/>
      <c r="C28" s="1438"/>
      <c r="D28" s="1439"/>
      <c r="E28" s="1439"/>
      <c r="F28" s="1439"/>
      <c r="G28" s="1439"/>
      <c r="H28" s="1428"/>
      <c r="I28" s="1428"/>
      <c r="J28" s="1429"/>
      <c r="K28" s="1429">
        <f>15527.2+177.4</f>
        <v>15704.6</v>
      </c>
      <c r="L28" s="1429">
        <f>4672.2+53.7</f>
        <v>4725.8999999999996</v>
      </c>
      <c r="M28" s="1429">
        <v>0</v>
      </c>
      <c r="N28" s="1429">
        <v>0</v>
      </c>
      <c r="O28" s="1429">
        <v>9141.6</v>
      </c>
      <c r="P28" s="1429">
        <v>2716.1</v>
      </c>
      <c r="Q28" s="1429">
        <f>24668.8+177.4</f>
        <v>24846.2</v>
      </c>
      <c r="R28" s="1429">
        <f>7388.3+53.7</f>
        <v>7442</v>
      </c>
      <c r="S28" s="1429">
        <v>760.5</v>
      </c>
      <c r="T28" s="1429">
        <v>0</v>
      </c>
      <c r="U28" s="1429">
        <v>0</v>
      </c>
      <c r="V28" s="1441"/>
      <c r="W28" s="1429"/>
      <c r="X28" s="1429"/>
      <c r="Y28" s="1429"/>
      <c r="Z28" s="1429"/>
      <c r="AA28" s="1429"/>
      <c r="AB28" s="1429"/>
      <c r="AC28" s="1429"/>
      <c r="AD28" s="1429"/>
      <c r="AE28" s="1429"/>
      <c r="AF28" s="1429"/>
      <c r="AG28" s="1429"/>
      <c r="AH28" s="1429"/>
      <c r="AI28" s="1429"/>
      <c r="AJ28" s="1374"/>
      <c r="AN28" s="1366"/>
      <c r="AO28" s="1366"/>
      <c r="AP28" s="1366"/>
      <c r="AQ28" s="1366"/>
    </row>
    <row r="29" spans="1:44" s="1432" customFormat="1" ht="15" x14ac:dyDescent="0.2">
      <c r="A29" s="1426"/>
      <c r="B29" s="1426"/>
      <c r="C29" s="1438"/>
      <c r="D29" s="1442"/>
      <c r="E29" s="1442"/>
      <c r="F29" s="1429"/>
      <c r="G29" s="1429"/>
      <c r="H29" s="1428"/>
      <c r="I29" s="1428"/>
      <c r="J29" s="1429"/>
      <c r="K29" s="1429">
        <f>K26-K28</f>
        <v>0</v>
      </c>
      <c r="L29" s="1429">
        <f t="shared" ref="L29:U29" si="21">L26-L28</f>
        <v>0</v>
      </c>
      <c r="M29" s="1429">
        <f t="shared" si="21"/>
        <v>0</v>
      </c>
      <c r="N29" s="1429">
        <f t="shared" si="21"/>
        <v>0</v>
      </c>
      <c r="O29" s="1429">
        <f t="shared" si="21"/>
        <v>0</v>
      </c>
      <c r="P29" s="1429">
        <f t="shared" si="21"/>
        <v>0</v>
      </c>
      <c r="Q29" s="1429">
        <f t="shared" si="21"/>
        <v>0</v>
      </c>
      <c r="R29" s="1429">
        <f t="shared" si="21"/>
        <v>0</v>
      </c>
      <c r="S29" s="1429">
        <f t="shared" si="21"/>
        <v>0</v>
      </c>
      <c r="T29" s="1429">
        <f t="shared" si="21"/>
        <v>0</v>
      </c>
      <c r="U29" s="1429">
        <f t="shared" si="21"/>
        <v>0</v>
      </c>
      <c r="V29" s="1441"/>
      <c r="W29" s="1429"/>
      <c r="X29" s="1429"/>
      <c r="Y29" s="1429"/>
      <c r="Z29" s="1429"/>
      <c r="AA29" s="1429"/>
      <c r="AB29" s="1429"/>
      <c r="AC29" s="1429"/>
      <c r="AD29" s="1429"/>
      <c r="AE29" s="1429"/>
      <c r="AF29" s="1429"/>
      <c r="AG29" s="1429"/>
      <c r="AH29" s="1429"/>
      <c r="AI29" s="1429"/>
      <c r="AJ29" s="1374"/>
      <c r="AN29" s="1445"/>
      <c r="AO29" s="1445"/>
      <c r="AP29" s="1445"/>
      <c r="AQ29" s="1445"/>
    </row>
    <row r="30" spans="1:44" s="1432" customFormat="1" ht="15" x14ac:dyDescent="0.2">
      <c r="A30" s="1426"/>
      <c r="B30" s="1426"/>
      <c r="C30" s="1438"/>
      <c r="D30" s="1442"/>
      <c r="E30" s="1442"/>
      <c r="F30" s="1429"/>
      <c r="G30" s="1429"/>
      <c r="H30" s="1428"/>
      <c r="I30" s="1428"/>
      <c r="J30" s="1429"/>
      <c r="K30" s="1429"/>
      <c r="L30" s="1429"/>
      <c r="M30" s="1429"/>
      <c r="N30" s="1443"/>
      <c r="O30" s="1444"/>
      <c r="P30" s="1429"/>
      <c r="Q30" s="1429"/>
      <c r="R30" s="1429"/>
      <c r="S30" s="1429"/>
      <c r="T30" s="1429"/>
      <c r="U30" s="1429"/>
      <c r="V30" s="1429"/>
      <c r="W30" s="1429"/>
      <c r="X30" s="1429"/>
      <c r="Y30" s="1429"/>
      <c r="Z30" s="1429"/>
      <c r="AA30" s="1429"/>
      <c r="AB30" s="1429"/>
      <c r="AC30" s="1429"/>
      <c r="AD30" s="1429"/>
      <c r="AE30" s="1429"/>
      <c r="AF30" s="1429"/>
      <c r="AG30" s="1429"/>
      <c r="AH30" s="1429"/>
      <c r="AI30" s="1429"/>
      <c r="AJ30" s="1374"/>
      <c r="AN30" s="1374"/>
      <c r="AO30" s="1374"/>
      <c r="AP30" s="1374"/>
      <c r="AQ30" s="1374"/>
    </row>
    <row r="31" spans="1:44" s="1432" customFormat="1" ht="15.75" x14ac:dyDescent="0.2">
      <c r="A31" s="1446"/>
      <c r="B31" s="1447">
        <v>211</v>
      </c>
      <c r="C31" s="1448"/>
      <c r="D31" s="1449"/>
      <c r="E31" s="2520">
        <v>213</v>
      </c>
      <c r="F31" s="2520"/>
      <c r="G31" s="1450" t="s">
        <v>1552</v>
      </c>
      <c r="H31" s="1428"/>
      <c r="I31" s="1428"/>
      <c r="J31" s="1429"/>
      <c r="K31" s="1429">
        <f>13996.9+C33</f>
        <v>15521.7</v>
      </c>
      <c r="L31" s="1429">
        <f>4206.5+F33</f>
        <v>4663.1000000000004</v>
      </c>
      <c r="M31" s="1429">
        <v>0</v>
      </c>
      <c r="N31" s="1495" t="s">
        <v>1558</v>
      </c>
      <c r="O31" s="1496">
        <f>8764.7+C36</f>
        <v>9141.6</v>
      </c>
      <c r="P31" s="1429">
        <f>2610.8+F36</f>
        <v>2716.1</v>
      </c>
      <c r="Q31" s="1429">
        <f>22761.6+C37</f>
        <v>24663.3</v>
      </c>
      <c r="R31" s="1429">
        <f>6817.3+F37</f>
        <v>7379.2</v>
      </c>
      <c r="S31" s="1429">
        <v>760.5</v>
      </c>
      <c r="T31" s="1429"/>
      <c r="U31" s="1429"/>
      <c r="V31" s="1429"/>
      <c r="W31" s="1429"/>
      <c r="X31" s="1429"/>
      <c r="Y31" s="1429"/>
      <c r="Z31" s="1429"/>
      <c r="AA31" s="1429"/>
      <c r="AB31" s="1429"/>
      <c r="AC31" s="1429"/>
      <c r="AD31" s="1429"/>
      <c r="AE31" s="1429"/>
      <c r="AF31" s="1429"/>
      <c r="AG31" s="1429"/>
      <c r="AH31" s="1429"/>
      <c r="AI31" s="1429"/>
      <c r="AJ31" s="1374"/>
      <c r="AN31" s="1374"/>
      <c r="AO31" s="1374"/>
      <c r="AP31" s="1374"/>
      <c r="AQ31" s="1374"/>
    </row>
    <row r="32" spans="1:44" s="1459" customFormat="1" ht="20.25" x14ac:dyDescent="0.2">
      <c r="A32" s="1451"/>
      <c r="B32" s="1452"/>
      <c r="C32" s="1453" t="s">
        <v>1553</v>
      </c>
      <c r="D32" s="1449"/>
      <c r="E32" s="1454"/>
      <c r="F32" s="1455" t="s">
        <v>1554</v>
      </c>
      <c r="G32" s="1450"/>
      <c r="H32" s="1456"/>
      <c r="I32" s="1456"/>
      <c r="J32" s="1457"/>
      <c r="K32" s="1429">
        <f>K26-K31</f>
        <v>182.9</v>
      </c>
      <c r="L32" s="1429">
        <f>L26-L31</f>
        <v>62.8</v>
      </c>
      <c r="M32" s="1429">
        <f t="shared" ref="M32:S32" si="22">M26-M31</f>
        <v>0</v>
      </c>
      <c r="N32" s="1429">
        <f t="shared" si="22"/>
        <v>0</v>
      </c>
      <c r="O32" s="1429">
        <f t="shared" si="22"/>
        <v>0</v>
      </c>
      <c r="P32" s="1429">
        <f t="shared" si="22"/>
        <v>0</v>
      </c>
      <c r="Q32" s="1429">
        <f t="shared" si="22"/>
        <v>182.9</v>
      </c>
      <c r="R32" s="1429">
        <f t="shared" si="22"/>
        <v>62.8</v>
      </c>
      <c r="S32" s="1429">
        <f t="shared" si="22"/>
        <v>0</v>
      </c>
      <c r="T32" s="1429"/>
      <c r="U32" s="1457"/>
      <c r="V32" s="1457"/>
      <c r="W32" s="1457"/>
      <c r="X32" s="1457"/>
      <c r="Y32" s="1457"/>
      <c r="Z32" s="1457"/>
      <c r="AA32" s="1457"/>
      <c r="AB32" s="1457"/>
      <c r="AC32" s="1457"/>
      <c r="AD32" s="1457"/>
      <c r="AE32" s="1457"/>
      <c r="AF32" s="1457"/>
      <c r="AG32" s="1457"/>
      <c r="AH32" s="1457"/>
      <c r="AI32" s="1457"/>
      <c r="AJ32" s="1458"/>
      <c r="AO32" s="1458"/>
      <c r="AP32" s="1458"/>
      <c r="AQ32" s="1458"/>
      <c r="AR32" s="1458"/>
    </row>
    <row r="33" spans="1:43" s="1432" customFormat="1" ht="15.75" x14ac:dyDescent="0.2">
      <c r="A33" s="1460" t="s">
        <v>1555</v>
      </c>
      <c r="B33" s="1452">
        <f>W11+W12+W13</f>
        <v>15704.6</v>
      </c>
      <c r="C33" s="1453">
        <f>762.4*2</f>
        <v>1524.8</v>
      </c>
      <c r="D33" s="1449">
        <f>C11+C12+C13</f>
        <v>19.690000000000001</v>
      </c>
      <c r="E33" s="1454">
        <f>X11+X12+X13</f>
        <v>4725.8999999999996</v>
      </c>
      <c r="F33" s="1455">
        <f>228.3*2</f>
        <v>456.6</v>
      </c>
      <c r="G33" s="1450">
        <f>AI11+AI12+AI13</f>
        <v>351</v>
      </c>
      <c r="H33" s="1428"/>
      <c r="I33" s="1428"/>
      <c r="J33" s="1429"/>
      <c r="K33" s="1429"/>
      <c r="L33" s="1429"/>
      <c r="M33" s="1429"/>
      <c r="N33" s="1440"/>
      <c r="O33" s="1429"/>
      <c r="P33" s="1429"/>
      <c r="Q33" s="1429"/>
      <c r="R33" s="1429"/>
      <c r="S33" s="1429"/>
      <c r="T33" s="1429"/>
      <c r="U33" s="1429"/>
      <c r="V33" s="1429"/>
      <c r="W33" s="1429"/>
      <c r="X33" s="1429"/>
      <c r="Y33" s="1429"/>
      <c r="Z33" s="1429"/>
      <c r="AA33" s="1429"/>
      <c r="AB33" s="1429"/>
      <c r="AC33" s="1429"/>
      <c r="AD33" s="1429"/>
      <c r="AE33" s="1429"/>
      <c r="AF33" s="1429"/>
      <c r="AG33" s="1429"/>
      <c r="AH33" s="1429"/>
      <c r="AI33" s="1429"/>
      <c r="AJ33" s="1374"/>
      <c r="AN33" s="1374"/>
      <c r="AO33" s="1374"/>
      <c r="AP33" s="1374"/>
      <c r="AQ33" s="1374"/>
    </row>
    <row r="34" spans="1:43" s="1432" customFormat="1" ht="31.5" x14ac:dyDescent="0.2">
      <c r="A34" s="1461" t="s">
        <v>1556</v>
      </c>
      <c r="B34" s="1452"/>
      <c r="C34" s="1453"/>
      <c r="D34" s="1449"/>
      <c r="E34" s="1454"/>
      <c r="F34" s="1455"/>
      <c r="G34" s="1450"/>
      <c r="H34" s="1428"/>
      <c r="I34" s="1428"/>
      <c r="J34" s="1429"/>
      <c r="K34" s="1429"/>
      <c r="L34" s="1429"/>
      <c r="M34" s="1429"/>
      <c r="N34" s="1440"/>
      <c r="O34" s="1429"/>
      <c r="P34" s="1429"/>
      <c r="Q34" s="1429"/>
      <c r="R34" s="1429"/>
      <c r="S34" s="1429"/>
      <c r="T34" s="1429"/>
      <c r="U34" s="1429"/>
      <c r="V34" s="1429"/>
      <c r="W34" s="1429"/>
      <c r="X34" s="1429"/>
      <c r="Y34" s="1429"/>
      <c r="Z34" s="1429"/>
      <c r="AA34" s="1429"/>
      <c r="AB34" s="1429"/>
      <c r="AC34" s="1429"/>
      <c r="AD34" s="1429"/>
      <c r="AE34" s="1429"/>
      <c r="AF34" s="1429"/>
      <c r="AG34" s="1429"/>
      <c r="AH34" s="1429"/>
      <c r="AI34" s="1429"/>
      <c r="AJ34" s="1374"/>
      <c r="AN34" s="1374"/>
      <c r="AO34" s="1374"/>
      <c r="AP34" s="1374"/>
      <c r="AQ34" s="1374"/>
    </row>
    <row r="35" spans="1:43" s="1432" customFormat="1" ht="20.25" customHeight="1" x14ac:dyDescent="0.2">
      <c r="A35" s="1461" t="s">
        <v>1557</v>
      </c>
      <c r="B35" s="1452">
        <f>W9+W10+W14+W15+W16+W17+W18+W19+W20</f>
        <v>9141.6</v>
      </c>
      <c r="C35" s="1453"/>
      <c r="D35" s="1449">
        <f>C9+C10+C14+C15+C16+C17+C18+C19+C20</f>
        <v>17.75</v>
      </c>
      <c r="E35" s="1454">
        <f>X9+X10+X14+X15+X16+X17+X18+X19+X20</f>
        <v>2716.1</v>
      </c>
      <c r="F35" s="1455"/>
      <c r="G35" s="1450">
        <f>AI9+AI10+AI14+AI15+AI16+AI17+AI18+AI19+AI20</f>
        <v>409.5</v>
      </c>
      <c r="H35" s="1462"/>
      <c r="I35" s="1462"/>
      <c r="J35" s="1462"/>
      <c r="K35" s="1457"/>
      <c r="L35" s="1457"/>
      <c r="M35" s="1457"/>
      <c r="N35" s="1463"/>
      <c r="O35" s="1457"/>
      <c r="P35" s="1457"/>
      <c r="Q35" s="1457"/>
      <c r="R35" s="1457"/>
      <c r="S35" s="1457"/>
      <c r="T35" s="1457"/>
      <c r="U35" s="1424"/>
      <c r="V35" s="1424"/>
      <c r="W35" s="1424"/>
      <c r="X35" s="1424"/>
      <c r="Y35" s="1424"/>
      <c r="Z35" s="1424"/>
      <c r="AA35" s="1424"/>
      <c r="AB35" s="1424"/>
      <c r="AC35" s="1424"/>
      <c r="AD35" s="1424"/>
      <c r="AE35" s="1424"/>
      <c r="AF35" s="1424"/>
      <c r="AG35" s="1424"/>
      <c r="AH35" s="1424"/>
      <c r="AI35" s="1424"/>
      <c r="AJ35" s="1374"/>
      <c r="AN35" s="1374"/>
      <c r="AO35" s="1374"/>
      <c r="AP35" s="1374"/>
      <c r="AQ35" s="1374"/>
    </row>
    <row r="36" spans="1:43" s="1432" customFormat="1" ht="20.25" customHeight="1" x14ac:dyDescent="0.2">
      <c r="A36" s="1464">
        <v>4.2999999999999997E-2</v>
      </c>
      <c r="B36" s="1465"/>
      <c r="C36" s="1466">
        <v>376.9</v>
      </c>
      <c r="D36" s="1467"/>
      <c r="E36" s="1468"/>
      <c r="F36" s="1469">
        <v>105.3</v>
      </c>
      <c r="G36" s="1466"/>
      <c r="H36" s="1470"/>
      <c r="I36" s="1470"/>
      <c r="J36" s="1470"/>
      <c r="K36" s="1429"/>
      <c r="L36" s="1429"/>
      <c r="M36" s="1429"/>
      <c r="N36" s="1440"/>
      <c r="O36" s="1429"/>
      <c r="P36" s="1429"/>
      <c r="Q36" s="1429"/>
      <c r="R36" s="1429"/>
      <c r="S36" s="1429"/>
      <c r="T36" s="1429"/>
      <c r="U36" s="1424"/>
      <c r="V36" s="1424"/>
      <c r="W36" s="1424"/>
      <c r="X36" s="1424"/>
      <c r="Y36" s="1424"/>
      <c r="Z36" s="1424"/>
      <c r="AA36" s="1424"/>
      <c r="AB36" s="1424"/>
      <c r="AC36" s="1424"/>
      <c r="AD36" s="1424"/>
      <c r="AE36" s="1424"/>
      <c r="AF36" s="1424"/>
      <c r="AG36" s="1424"/>
      <c r="AH36" s="1424"/>
      <c r="AI36" s="1424"/>
      <c r="AJ36" s="1374"/>
      <c r="AN36" s="1374"/>
      <c r="AO36" s="1374"/>
      <c r="AP36" s="1374"/>
      <c r="AQ36" s="1374"/>
    </row>
    <row r="37" spans="1:43" s="1432" customFormat="1" ht="20.25" customHeight="1" x14ac:dyDescent="0.2">
      <c r="A37" s="1471"/>
      <c r="B37" s="1472">
        <f>SUM(B33:B36)</f>
        <v>24846.2</v>
      </c>
      <c r="C37" s="1473">
        <f t="shared" ref="C37:G37" si="23">SUM(C33:C36)</f>
        <v>1901.7</v>
      </c>
      <c r="D37" s="1473">
        <f t="shared" si="23"/>
        <v>37.44</v>
      </c>
      <c r="E37" s="1454">
        <f t="shared" si="23"/>
        <v>7442</v>
      </c>
      <c r="F37" s="1455">
        <f t="shared" si="23"/>
        <v>561.9</v>
      </c>
      <c r="G37" s="1455">
        <f t="shared" si="23"/>
        <v>760.5</v>
      </c>
      <c r="H37" s="1424"/>
      <c r="I37" s="1424"/>
      <c r="J37" s="1424"/>
      <c r="K37" s="1429"/>
      <c r="L37" s="1429"/>
      <c r="M37" s="1429"/>
      <c r="N37" s="1440"/>
      <c r="O37" s="1429"/>
      <c r="P37" s="1429"/>
      <c r="Q37" s="1429"/>
      <c r="R37" s="1429"/>
      <c r="S37" s="1429"/>
      <c r="T37" s="1429"/>
      <c r="U37" s="1424"/>
      <c r="V37" s="1424"/>
      <c r="W37" s="1424"/>
      <c r="X37" s="1424"/>
      <c r="Y37" s="1424"/>
      <c r="Z37" s="1424"/>
      <c r="AA37" s="1424"/>
      <c r="AB37" s="1424"/>
      <c r="AC37" s="1424"/>
      <c r="AD37" s="1424"/>
      <c r="AE37" s="1424"/>
      <c r="AF37" s="1424"/>
      <c r="AG37" s="1424"/>
      <c r="AH37" s="1424"/>
      <c r="AI37" s="1424"/>
      <c r="AJ37" s="1374"/>
      <c r="AN37" s="1374"/>
      <c r="AO37" s="1374"/>
      <c r="AP37" s="1374"/>
      <c r="AQ37" s="1374"/>
    </row>
    <row r="38" spans="1:43" s="1475" customFormat="1" ht="20.25" x14ac:dyDescent="0.2">
      <c r="A38" s="1474"/>
      <c r="K38" s="1462"/>
      <c r="L38" s="1424"/>
      <c r="M38" s="1424"/>
      <c r="N38" s="1476"/>
      <c r="O38" s="1424"/>
      <c r="P38" s="1424"/>
      <c r="Q38" s="1424"/>
      <c r="R38" s="1424"/>
      <c r="S38" s="1424"/>
      <c r="T38" s="1424"/>
      <c r="AN38" s="1477"/>
      <c r="AO38" s="1477"/>
      <c r="AP38" s="1477"/>
      <c r="AQ38" s="1477"/>
    </row>
    <row r="39" spans="1:43" s="1445" customFormat="1" ht="15.75" x14ac:dyDescent="0.2">
      <c r="A39" s="1478"/>
      <c r="D39" s="1479"/>
      <c r="E39" s="1479"/>
      <c r="I39" s="1418"/>
      <c r="J39" s="1418"/>
      <c r="K39" s="1470"/>
      <c r="L39" s="1424"/>
      <c r="M39" s="1424"/>
      <c r="N39" s="1424"/>
      <c r="O39" s="1424"/>
      <c r="P39" s="1424"/>
      <c r="Q39" s="1424"/>
      <c r="R39" s="1424"/>
      <c r="S39" s="1424"/>
      <c r="T39" s="1424"/>
      <c r="V39" s="1480"/>
      <c r="AA39" s="1480"/>
      <c r="AC39" s="1480"/>
      <c r="AD39" s="1480"/>
      <c r="AE39" s="1480"/>
      <c r="AF39" s="1480"/>
      <c r="AN39" s="1374"/>
      <c r="AO39" s="1374"/>
      <c r="AP39" s="1374"/>
      <c r="AQ39" s="1374"/>
    </row>
    <row r="40" spans="1:43" s="1418" customFormat="1" ht="19.5" x14ac:dyDescent="0.3">
      <c r="A40" s="1481"/>
      <c r="B40" s="1482"/>
      <c r="C40" s="1483"/>
      <c r="D40" s="1484"/>
      <c r="E40" s="1479"/>
      <c r="F40" s="1483"/>
      <c r="G40" s="1485"/>
      <c r="H40" s="1486"/>
      <c r="K40" s="1424"/>
      <c r="L40" s="1424"/>
      <c r="M40" s="1424"/>
      <c r="N40" s="1424"/>
      <c r="O40" s="1424"/>
      <c r="P40" s="1424"/>
      <c r="Q40" s="1424"/>
      <c r="R40" s="1424"/>
      <c r="S40" s="1424"/>
      <c r="T40" s="1424"/>
      <c r="U40" s="1487"/>
      <c r="V40" s="1487"/>
      <c r="W40" s="1487"/>
      <c r="X40" s="1420"/>
      <c r="AN40" s="1374"/>
      <c r="AO40" s="1374"/>
      <c r="AP40" s="1374"/>
      <c r="AQ40" s="1374"/>
    </row>
    <row r="41" spans="1:43" s="1418" customFormat="1" ht="15" x14ac:dyDescent="0.2">
      <c r="A41" s="1417"/>
      <c r="D41" s="1488"/>
      <c r="E41" s="1479"/>
      <c r="K41" s="1475"/>
      <c r="L41" s="1475"/>
      <c r="M41" s="1475"/>
      <c r="N41" s="1475"/>
      <c r="O41" s="1475"/>
      <c r="P41" s="1475"/>
      <c r="Q41" s="1475"/>
      <c r="R41" s="1475"/>
      <c r="S41" s="1475"/>
      <c r="T41" s="1475"/>
      <c r="AN41" s="1374"/>
      <c r="AO41" s="1374"/>
      <c r="AP41" s="1374"/>
      <c r="AQ41" s="1374"/>
    </row>
    <row r="42" spans="1:43" s="1418" customFormat="1" ht="15" x14ac:dyDescent="0.2">
      <c r="A42" s="1417"/>
      <c r="D42" s="1488"/>
      <c r="E42" s="1479"/>
      <c r="R42" s="1445"/>
      <c r="S42" s="1489"/>
      <c r="T42" s="1445"/>
      <c r="AN42" s="1374"/>
      <c r="AO42" s="1374"/>
      <c r="AP42" s="1374"/>
      <c r="AQ42" s="1374"/>
    </row>
    <row r="43" spans="1:43" s="1418" customFormat="1" ht="19.5" x14ac:dyDescent="0.3">
      <c r="A43" s="1417"/>
      <c r="D43" s="1488"/>
      <c r="E43" s="1479"/>
      <c r="R43" s="1486"/>
      <c r="S43" s="1486"/>
      <c r="T43" s="1486"/>
      <c r="AN43" s="1374"/>
      <c r="AO43" s="1374"/>
      <c r="AP43" s="1374"/>
      <c r="AQ43" s="1374"/>
    </row>
    <row r="44" spans="1:43" s="1418" customFormat="1" ht="15" x14ac:dyDescent="0.2">
      <c r="A44" s="1417"/>
      <c r="D44" s="1488"/>
      <c r="E44" s="1479"/>
      <c r="AN44" s="1475"/>
      <c r="AO44" s="1475"/>
      <c r="AP44" s="1475"/>
      <c r="AQ44" s="1475"/>
    </row>
    <row r="45" spans="1:43" s="1418" customFormat="1" x14ac:dyDescent="0.2">
      <c r="A45" s="1417"/>
      <c r="D45" s="1488"/>
      <c r="E45" s="1479"/>
      <c r="AN45" s="1445"/>
      <c r="AO45" s="1445"/>
      <c r="AP45" s="1445"/>
      <c r="AQ45" s="1445"/>
    </row>
    <row r="46" spans="1:43" s="1418" customFormat="1" x14ac:dyDescent="0.2">
      <c r="A46" s="1417"/>
      <c r="D46" s="1488"/>
      <c r="E46" s="1479"/>
    </row>
    <row r="47" spans="1:43" s="1418" customFormat="1" x14ac:dyDescent="0.2">
      <c r="A47" s="1417"/>
      <c r="D47" s="1488"/>
      <c r="E47" s="1479"/>
    </row>
    <row r="48" spans="1:43" s="1418" customFormat="1" x14ac:dyDescent="0.2">
      <c r="A48" s="1417"/>
      <c r="D48" s="1488"/>
      <c r="E48" s="1479"/>
    </row>
    <row r="49" spans="1:43" s="1418" customFormat="1" x14ac:dyDescent="0.2">
      <c r="A49" s="1417"/>
      <c r="D49" s="1488"/>
      <c r="E49" s="1479"/>
    </row>
    <row r="50" spans="1:43" s="1418" customFormat="1" x14ac:dyDescent="0.2">
      <c r="A50" s="1417"/>
      <c r="D50" s="1488"/>
      <c r="E50" s="1479"/>
    </row>
    <row r="51" spans="1:43" s="1418" customFormat="1" x14ac:dyDescent="0.2">
      <c r="A51" s="1417"/>
      <c r="D51" s="1488"/>
      <c r="E51" s="1479"/>
    </row>
    <row r="52" spans="1:43" s="1418" customFormat="1" x14ac:dyDescent="0.2">
      <c r="A52" s="1417"/>
    </row>
    <row r="53" spans="1:43" s="1418" customFormat="1" x14ac:dyDescent="0.2">
      <c r="A53" s="1417"/>
      <c r="AN53" s="1366"/>
      <c r="AO53" s="1366"/>
      <c r="AP53" s="1366"/>
      <c r="AQ53" s="1366"/>
    </row>
    <row r="54" spans="1:43" s="1418" customFormat="1" x14ac:dyDescent="0.2">
      <c r="A54" s="1417"/>
      <c r="AN54" s="1366"/>
      <c r="AO54" s="1366"/>
      <c r="AP54" s="1366"/>
      <c r="AQ54" s="1366"/>
    </row>
    <row r="55" spans="1:43" s="1418" customFormat="1" x14ac:dyDescent="0.2">
      <c r="A55" s="1417"/>
      <c r="I55" s="1366"/>
      <c r="J55" s="1366"/>
      <c r="AN55" s="1366"/>
      <c r="AO55" s="1366"/>
      <c r="AP55" s="1366"/>
      <c r="AQ55" s="1366"/>
    </row>
    <row r="56" spans="1:43" s="1418" customFormat="1" x14ac:dyDescent="0.2">
      <c r="A56" s="1417"/>
      <c r="I56" s="1366"/>
      <c r="J56" s="1366"/>
      <c r="AN56" s="1366"/>
      <c r="AO56" s="1366"/>
      <c r="AP56" s="1366"/>
      <c r="AQ56" s="1366"/>
    </row>
    <row r="57" spans="1:43" s="1418" customFormat="1" x14ac:dyDescent="0.2">
      <c r="A57" s="1417"/>
      <c r="I57" s="1366"/>
      <c r="J57" s="1366"/>
      <c r="AN57" s="1366"/>
      <c r="AO57" s="1366"/>
      <c r="AP57" s="1366"/>
      <c r="AQ57" s="1366"/>
    </row>
    <row r="58" spans="1:43" s="1418" customFormat="1" x14ac:dyDescent="0.2">
      <c r="A58" s="1417"/>
      <c r="I58" s="1366"/>
      <c r="J58" s="1366"/>
      <c r="K58" s="1366"/>
      <c r="L58" s="1366"/>
      <c r="M58" s="1366"/>
      <c r="N58" s="1366"/>
      <c r="O58" s="1366"/>
      <c r="P58" s="1366"/>
      <c r="AN58" s="1366"/>
      <c r="AO58" s="1366"/>
      <c r="AP58" s="1366"/>
      <c r="AQ58" s="1366"/>
    </row>
    <row r="59" spans="1:43" x14ac:dyDescent="0.2">
      <c r="Q59" s="1418"/>
      <c r="R59" s="1418"/>
      <c r="S59" s="1418"/>
      <c r="T59" s="1418"/>
    </row>
    <row r="60" spans="1:43" x14ac:dyDescent="0.2">
      <c r="Q60" s="1418"/>
      <c r="R60" s="1418"/>
      <c r="S60" s="1418"/>
      <c r="T60" s="1418"/>
    </row>
    <row r="61" spans="1:43" x14ac:dyDescent="0.2">
      <c r="Q61" s="1418"/>
      <c r="R61" s="1418"/>
      <c r="S61" s="1418"/>
      <c r="T61" s="1418"/>
    </row>
  </sheetData>
  <autoFilter ref="A8:AR22" xr:uid="{00000000-0009-0000-0000-000019000000}"/>
  <mergeCells count="43">
    <mergeCell ref="AF1:AI1"/>
    <mergeCell ref="A2:AI2"/>
    <mergeCell ref="A5:A7"/>
    <mergeCell ref="B5:B7"/>
    <mergeCell ref="C5:C7"/>
    <mergeCell ref="D5:X5"/>
    <mergeCell ref="Y5:AI5"/>
    <mergeCell ref="D6:D7"/>
    <mergeCell ref="E6:E7"/>
    <mergeCell ref="F6:F7"/>
    <mergeCell ref="AB6:AD6"/>
    <mergeCell ref="AE6:AG6"/>
    <mergeCell ref="AH6:AH7"/>
    <mergeCell ref="AI6:AI7"/>
    <mergeCell ref="A21:B21"/>
    <mergeCell ref="T6:T7"/>
    <mergeCell ref="U6:U7"/>
    <mergeCell ref="V6:V7"/>
    <mergeCell ref="W6:W7"/>
    <mergeCell ref="M6:M7"/>
    <mergeCell ref="N6:N7"/>
    <mergeCell ref="O6:P6"/>
    <mergeCell ref="Q6:Q7"/>
    <mergeCell ref="R6:R7"/>
    <mergeCell ref="S6:S7"/>
    <mergeCell ref="G6:G7"/>
    <mergeCell ref="H6:H7"/>
    <mergeCell ref="I6:I7"/>
    <mergeCell ref="J6:J7"/>
    <mergeCell ref="K6:K7"/>
    <mergeCell ref="V9:V20"/>
    <mergeCell ref="X6:X7"/>
    <mergeCell ref="Y6:AA6"/>
    <mergeCell ref="E31:F31"/>
    <mergeCell ref="Q24:S24"/>
    <mergeCell ref="T24:U24"/>
    <mergeCell ref="O24:P24"/>
    <mergeCell ref="L6:L7"/>
    <mergeCell ref="C24:D24"/>
    <mergeCell ref="E24:F24"/>
    <mergeCell ref="G24:H24"/>
    <mergeCell ref="K24:L24"/>
    <mergeCell ref="M24:N24"/>
  </mergeCells>
  <printOptions horizontalCentered="1"/>
  <pageMargins left="0" right="0" top="0" bottom="0" header="0.31496062992125984" footer="0.31496062992125984"/>
  <pageSetup paperSize="9" scale="37"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pageSetUpPr fitToPage="1"/>
  </sheetPr>
  <dimension ref="A1:AR61"/>
  <sheetViews>
    <sheetView view="pageBreakPreview" zoomScale="70" zoomScaleNormal="80" zoomScaleSheetLayoutView="70" workbookViewId="0">
      <pane xSplit="2" ySplit="8" topLeftCell="C9" activePane="bottomRight" state="frozen"/>
      <selection activeCell="X14" sqref="X14"/>
      <selection pane="topRight" activeCell="X14" sqref="X14"/>
      <selection pane="bottomLeft" activeCell="X14" sqref="X14"/>
      <selection pane="bottomRight" activeCell="AI4" sqref="AI4"/>
    </sheetView>
  </sheetViews>
  <sheetFormatPr defaultRowHeight="12.75" x14ac:dyDescent="0.2"/>
  <cols>
    <col min="1" max="1" width="12.1640625" style="1365" customWidth="1"/>
    <col min="2" max="2" width="30.83203125" style="1366" customWidth="1"/>
    <col min="3" max="3" width="16.1640625" style="1366" customWidth="1"/>
    <col min="4" max="4" width="14" style="1366" customWidth="1"/>
    <col min="5" max="5" width="13" style="1366" customWidth="1"/>
    <col min="6" max="6" width="14.6640625" style="1366" customWidth="1"/>
    <col min="7" max="7" width="11.83203125" style="1366" customWidth="1"/>
    <col min="8" max="8" width="11.6640625" style="1366" customWidth="1"/>
    <col min="9" max="9" width="12.5" style="1366" customWidth="1"/>
    <col min="10" max="10" width="11.33203125" style="1366" customWidth="1"/>
    <col min="11" max="11" width="17" style="1366" customWidth="1"/>
    <col min="12" max="12" width="12.1640625" style="1366" customWidth="1"/>
    <col min="13" max="18" width="13" style="1366" customWidth="1"/>
    <col min="19" max="19" width="13.1640625" style="1366" customWidth="1"/>
    <col min="20" max="20" width="15" style="1366" customWidth="1"/>
    <col min="21" max="21" width="12.5" style="1366" customWidth="1"/>
    <col min="22" max="22" width="11.6640625" style="1366" customWidth="1"/>
    <col min="23" max="23" width="14.1640625" style="1366" customWidth="1"/>
    <col min="24" max="24" width="12" style="1366" customWidth="1"/>
    <col min="25" max="25" width="8.5" style="1366" customWidth="1"/>
    <col min="26" max="26" width="10.1640625" style="1366" customWidth="1"/>
    <col min="27" max="27" width="10.6640625" style="1366" customWidth="1"/>
    <col min="28" max="28" width="8.5" style="1366" customWidth="1"/>
    <col min="29" max="29" width="10" style="1366" customWidth="1"/>
    <col min="30" max="31" width="8.5" style="1366" customWidth="1"/>
    <col min="32" max="32" width="10.83203125" style="1366" customWidth="1"/>
    <col min="33" max="33" width="9.5" style="1366" customWidth="1"/>
    <col min="34" max="34" width="9.33203125" style="1366" customWidth="1"/>
    <col min="35" max="35" width="14.6640625" style="1366" customWidth="1"/>
    <col min="36" max="36" width="14.5" style="1366" customWidth="1"/>
    <col min="37" max="37" width="12.6640625" style="1366" bestFit="1" customWidth="1"/>
    <col min="38" max="38" width="9.6640625" style="1366" hidden="1" customWidth="1"/>
    <col min="39" max="39" width="9.5" style="1366" hidden="1" customWidth="1"/>
    <col min="40" max="40" width="9.33203125" style="1366"/>
    <col min="41" max="41" width="14.5" style="1366" bestFit="1" customWidth="1"/>
    <col min="42" max="256" width="9.33203125" style="1366"/>
    <col min="257" max="257" width="12.1640625" style="1366" customWidth="1"/>
    <col min="258" max="258" width="30.83203125" style="1366" customWidth="1"/>
    <col min="259" max="259" width="13.83203125" style="1366" customWidth="1"/>
    <col min="260" max="260" width="14" style="1366" customWidth="1"/>
    <col min="261" max="261" width="13" style="1366" customWidth="1"/>
    <col min="262" max="262" width="14.6640625" style="1366" customWidth="1"/>
    <col min="263" max="263" width="11.83203125" style="1366" customWidth="1"/>
    <col min="264" max="264" width="11.6640625" style="1366" customWidth="1"/>
    <col min="265" max="265" width="12.5" style="1366" customWidth="1"/>
    <col min="266" max="266" width="11.33203125" style="1366" customWidth="1"/>
    <col min="267" max="267" width="17" style="1366" customWidth="1"/>
    <col min="268" max="268" width="12.1640625" style="1366" customWidth="1"/>
    <col min="269" max="274" width="13" style="1366" customWidth="1"/>
    <col min="275" max="275" width="13.1640625" style="1366" customWidth="1"/>
    <col min="276" max="276" width="15" style="1366" customWidth="1"/>
    <col min="277" max="277" width="12.5" style="1366" customWidth="1"/>
    <col min="278" max="278" width="11.6640625" style="1366" customWidth="1"/>
    <col min="279" max="279" width="14.1640625" style="1366" customWidth="1"/>
    <col min="280" max="280" width="12" style="1366" customWidth="1"/>
    <col min="281" max="281" width="8.5" style="1366" customWidth="1"/>
    <col min="282" max="282" width="10.1640625" style="1366" customWidth="1"/>
    <col min="283" max="283" width="10.6640625" style="1366" customWidth="1"/>
    <col min="284" max="284" width="8.5" style="1366" customWidth="1"/>
    <col min="285" max="285" width="10" style="1366" customWidth="1"/>
    <col min="286" max="287" width="8.5" style="1366" customWidth="1"/>
    <col min="288" max="288" width="10.83203125" style="1366" customWidth="1"/>
    <col min="289" max="289" width="9.5" style="1366" customWidth="1"/>
    <col min="290" max="290" width="9.33203125" style="1366" customWidth="1"/>
    <col min="291" max="291" width="13" style="1366" customWidth="1"/>
    <col min="292" max="292" width="14.5" style="1366" customWidth="1"/>
    <col min="293" max="293" width="12.6640625" style="1366" bestFit="1" customWidth="1"/>
    <col min="294" max="295" width="0" style="1366" hidden="1" customWidth="1"/>
    <col min="296" max="296" width="9.33203125" style="1366"/>
    <col min="297" max="297" width="14.5" style="1366" bestFit="1" customWidth="1"/>
    <col min="298" max="512" width="9.33203125" style="1366"/>
    <col min="513" max="513" width="12.1640625" style="1366" customWidth="1"/>
    <col min="514" max="514" width="30.83203125" style="1366" customWidth="1"/>
    <col min="515" max="515" width="13.83203125" style="1366" customWidth="1"/>
    <col min="516" max="516" width="14" style="1366" customWidth="1"/>
    <col min="517" max="517" width="13" style="1366" customWidth="1"/>
    <col min="518" max="518" width="14.6640625" style="1366" customWidth="1"/>
    <col min="519" max="519" width="11.83203125" style="1366" customWidth="1"/>
    <col min="520" max="520" width="11.6640625" style="1366" customWidth="1"/>
    <col min="521" max="521" width="12.5" style="1366" customWidth="1"/>
    <col min="522" max="522" width="11.33203125" style="1366" customWidth="1"/>
    <col min="523" max="523" width="17" style="1366" customWidth="1"/>
    <col min="524" max="524" width="12.1640625" style="1366" customWidth="1"/>
    <col min="525" max="530" width="13" style="1366" customWidth="1"/>
    <col min="531" max="531" width="13.1640625" style="1366" customWidth="1"/>
    <col min="532" max="532" width="15" style="1366" customWidth="1"/>
    <col min="533" max="533" width="12.5" style="1366" customWidth="1"/>
    <col min="534" max="534" width="11.6640625" style="1366" customWidth="1"/>
    <col min="535" max="535" width="14.1640625" style="1366" customWidth="1"/>
    <col min="536" max="536" width="12" style="1366" customWidth="1"/>
    <col min="537" max="537" width="8.5" style="1366" customWidth="1"/>
    <col min="538" max="538" width="10.1640625" style="1366" customWidth="1"/>
    <col min="539" max="539" width="10.6640625" style="1366" customWidth="1"/>
    <col min="540" max="540" width="8.5" style="1366" customWidth="1"/>
    <col min="541" max="541" width="10" style="1366" customWidth="1"/>
    <col min="542" max="543" width="8.5" style="1366" customWidth="1"/>
    <col min="544" max="544" width="10.83203125" style="1366" customWidth="1"/>
    <col min="545" max="545" width="9.5" style="1366" customWidth="1"/>
    <col min="546" max="546" width="9.33203125" style="1366" customWidth="1"/>
    <col min="547" max="547" width="13" style="1366" customWidth="1"/>
    <col min="548" max="548" width="14.5" style="1366" customWidth="1"/>
    <col min="549" max="549" width="12.6640625" style="1366" bestFit="1" customWidth="1"/>
    <col min="550" max="551" width="0" style="1366" hidden="1" customWidth="1"/>
    <col min="552" max="552" width="9.33203125" style="1366"/>
    <col min="553" max="553" width="14.5" style="1366" bestFit="1" customWidth="1"/>
    <col min="554" max="768" width="9.33203125" style="1366"/>
    <col min="769" max="769" width="12.1640625" style="1366" customWidth="1"/>
    <col min="770" max="770" width="30.83203125" style="1366" customWidth="1"/>
    <col min="771" max="771" width="13.83203125" style="1366" customWidth="1"/>
    <col min="772" max="772" width="14" style="1366" customWidth="1"/>
    <col min="773" max="773" width="13" style="1366" customWidth="1"/>
    <col min="774" max="774" width="14.6640625" style="1366" customWidth="1"/>
    <col min="775" max="775" width="11.83203125" style="1366" customWidth="1"/>
    <col min="776" max="776" width="11.6640625" style="1366" customWidth="1"/>
    <col min="777" max="777" width="12.5" style="1366" customWidth="1"/>
    <col min="778" max="778" width="11.33203125" style="1366" customWidth="1"/>
    <col min="779" max="779" width="17" style="1366" customWidth="1"/>
    <col min="780" max="780" width="12.1640625" style="1366" customWidth="1"/>
    <col min="781" max="786" width="13" style="1366" customWidth="1"/>
    <col min="787" max="787" width="13.1640625" style="1366" customWidth="1"/>
    <col min="788" max="788" width="15" style="1366" customWidth="1"/>
    <col min="789" max="789" width="12.5" style="1366" customWidth="1"/>
    <col min="790" max="790" width="11.6640625" style="1366" customWidth="1"/>
    <col min="791" max="791" width="14.1640625" style="1366" customWidth="1"/>
    <col min="792" max="792" width="12" style="1366" customWidth="1"/>
    <col min="793" max="793" width="8.5" style="1366" customWidth="1"/>
    <col min="794" max="794" width="10.1640625" style="1366" customWidth="1"/>
    <col min="795" max="795" width="10.6640625" style="1366" customWidth="1"/>
    <col min="796" max="796" width="8.5" style="1366" customWidth="1"/>
    <col min="797" max="797" width="10" style="1366" customWidth="1"/>
    <col min="798" max="799" width="8.5" style="1366" customWidth="1"/>
    <col min="800" max="800" width="10.83203125" style="1366" customWidth="1"/>
    <col min="801" max="801" width="9.5" style="1366" customWidth="1"/>
    <col min="802" max="802" width="9.33203125" style="1366" customWidth="1"/>
    <col min="803" max="803" width="13" style="1366" customWidth="1"/>
    <col min="804" max="804" width="14.5" style="1366" customWidth="1"/>
    <col min="805" max="805" width="12.6640625" style="1366" bestFit="1" customWidth="1"/>
    <col min="806" max="807" width="0" style="1366" hidden="1" customWidth="1"/>
    <col min="808" max="808" width="9.33203125" style="1366"/>
    <col min="809" max="809" width="14.5" style="1366" bestFit="1" customWidth="1"/>
    <col min="810" max="1024" width="9.33203125" style="1366"/>
    <col min="1025" max="1025" width="12.1640625" style="1366" customWidth="1"/>
    <col min="1026" max="1026" width="30.83203125" style="1366" customWidth="1"/>
    <col min="1027" max="1027" width="13.83203125" style="1366" customWidth="1"/>
    <col min="1028" max="1028" width="14" style="1366" customWidth="1"/>
    <col min="1029" max="1029" width="13" style="1366" customWidth="1"/>
    <col min="1030" max="1030" width="14.6640625" style="1366" customWidth="1"/>
    <col min="1031" max="1031" width="11.83203125" style="1366" customWidth="1"/>
    <col min="1032" max="1032" width="11.6640625" style="1366" customWidth="1"/>
    <col min="1033" max="1033" width="12.5" style="1366" customWidth="1"/>
    <col min="1034" max="1034" width="11.33203125" style="1366" customWidth="1"/>
    <col min="1035" max="1035" width="17" style="1366" customWidth="1"/>
    <col min="1036" max="1036" width="12.1640625" style="1366" customWidth="1"/>
    <col min="1037" max="1042" width="13" style="1366" customWidth="1"/>
    <col min="1043" max="1043" width="13.1640625" style="1366" customWidth="1"/>
    <col min="1044" max="1044" width="15" style="1366" customWidth="1"/>
    <col min="1045" max="1045" width="12.5" style="1366" customWidth="1"/>
    <col min="1046" max="1046" width="11.6640625" style="1366" customWidth="1"/>
    <col min="1047" max="1047" width="14.1640625" style="1366" customWidth="1"/>
    <col min="1048" max="1048" width="12" style="1366" customWidth="1"/>
    <col min="1049" max="1049" width="8.5" style="1366" customWidth="1"/>
    <col min="1050" max="1050" width="10.1640625" style="1366" customWidth="1"/>
    <col min="1051" max="1051" width="10.6640625" style="1366" customWidth="1"/>
    <col min="1052" max="1052" width="8.5" style="1366" customWidth="1"/>
    <col min="1053" max="1053" width="10" style="1366" customWidth="1"/>
    <col min="1054" max="1055" width="8.5" style="1366" customWidth="1"/>
    <col min="1056" max="1056" width="10.83203125" style="1366" customWidth="1"/>
    <col min="1057" max="1057" width="9.5" style="1366" customWidth="1"/>
    <col min="1058" max="1058" width="9.33203125" style="1366" customWidth="1"/>
    <col min="1059" max="1059" width="13" style="1366" customWidth="1"/>
    <col min="1060" max="1060" width="14.5" style="1366" customWidth="1"/>
    <col min="1061" max="1061" width="12.6640625" style="1366" bestFit="1" customWidth="1"/>
    <col min="1062" max="1063" width="0" style="1366" hidden="1" customWidth="1"/>
    <col min="1064" max="1064" width="9.33203125" style="1366"/>
    <col min="1065" max="1065" width="14.5" style="1366" bestFit="1" customWidth="1"/>
    <col min="1066" max="1280" width="9.33203125" style="1366"/>
    <col min="1281" max="1281" width="12.1640625" style="1366" customWidth="1"/>
    <col min="1282" max="1282" width="30.83203125" style="1366" customWidth="1"/>
    <col min="1283" max="1283" width="13.83203125" style="1366" customWidth="1"/>
    <col min="1284" max="1284" width="14" style="1366" customWidth="1"/>
    <col min="1285" max="1285" width="13" style="1366" customWidth="1"/>
    <col min="1286" max="1286" width="14.6640625" style="1366" customWidth="1"/>
    <col min="1287" max="1287" width="11.83203125" style="1366" customWidth="1"/>
    <col min="1288" max="1288" width="11.6640625" style="1366" customWidth="1"/>
    <col min="1289" max="1289" width="12.5" style="1366" customWidth="1"/>
    <col min="1290" max="1290" width="11.33203125" style="1366" customWidth="1"/>
    <col min="1291" max="1291" width="17" style="1366" customWidth="1"/>
    <col min="1292" max="1292" width="12.1640625" style="1366" customWidth="1"/>
    <col min="1293" max="1298" width="13" style="1366" customWidth="1"/>
    <col min="1299" max="1299" width="13.1640625" style="1366" customWidth="1"/>
    <col min="1300" max="1300" width="15" style="1366" customWidth="1"/>
    <col min="1301" max="1301" width="12.5" style="1366" customWidth="1"/>
    <col min="1302" max="1302" width="11.6640625" style="1366" customWidth="1"/>
    <col min="1303" max="1303" width="14.1640625" style="1366" customWidth="1"/>
    <col min="1304" max="1304" width="12" style="1366" customWidth="1"/>
    <col min="1305" max="1305" width="8.5" style="1366" customWidth="1"/>
    <col min="1306" max="1306" width="10.1640625" style="1366" customWidth="1"/>
    <col min="1307" max="1307" width="10.6640625" style="1366" customWidth="1"/>
    <col min="1308" max="1308" width="8.5" style="1366" customWidth="1"/>
    <col min="1309" max="1309" width="10" style="1366" customWidth="1"/>
    <col min="1310" max="1311" width="8.5" style="1366" customWidth="1"/>
    <col min="1312" max="1312" width="10.83203125" style="1366" customWidth="1"/>
    <col min="1313" max="1313" width="9.5" style="1366" customWidth="1"/>
    <col min="1314" max="1314" width="9.33203125" style="1366" customWidth="1"/>
    <col min="1315" max="1315" width="13" style="1366" customWidth="1"/>
    <col min="1316" max="1316" width="14.5" style="1366" customWidth="1"/>
    <col min="1317" max="1317" width="12.6640625" style="1366" bestFit="1" customWidth="1"/>
    <col min="1318" max="1319" width="0" style="1366" hidden="1" customWidth="1"/>
    <col min="1320" max="1320" width="9.33203125" style="1366"/>
    <col min="1321" max="1321" width="14.5" style="1366" bestFit="1" customWidth="1"/>
    <col min="1322" max="1536" width="9.33203125" style="1366"/>
    <col min="1537" max="1537" width="12.1640625" style="1366" customWidth="1"/>
    <col min="1538" max="1538" width="30.83203125" style="1366" customWidth="1"/>
    <col min="1539" max="1539" width="13.83203125" style="1366" customWidth="1"/>
    <col min="1540" max="1540" width="14" style="1366" customWidth="1"/>
    <col min="1541" max="1541" width="13" style="1366" customWidth="1"/>
    <col min="1542" max="1542" width="14.6640625" style="1366" customWidth="1"/>
    <col min="1543" max="1543" width="11.83203125" style="1366" customWidth="1"/>
    <col min="1544" max="1544" width="11.6640625" style="1366" customWidth="1"/>
    <col min="1545" max="1545" width="12.5" style="1366" customWidth="1"/>
    <col min="1546" max="1546" width="11.33203125" style="1366" customWidth="1"/>
    <col min="1547" max="1547" width="17" style="1366" customWidth="1"/>
    <col min="1548" max="1548" width="12.1640625" style="1366" customWidth="1"/>
    <col min="1549" max="1554" width="13" style="1366" customWidth="1"/>
    <col min="1555" max="1555" width="13.1640625" style="1366" customWidth="1"/>
    <col min="1556" max="1556" width="15" style="1366" customWidth="1"/>
    <col min="1557" max="1557" width="12.5" style="1366" customWidth="1"/>
    <col min="1558" max="1558" width="11.6640625" style="1366" customWidth="1"/>
    <col min="1559" max="1559" width="14.1640625" style="1366" customWidth="1"/>
    <col min="1560" max="1560" width="12" style="1366" customWidth="1"/>
    <col min="1561" max="1561" width="8.5" style="1366" customWidth="1"/>
    <col min="1562" max="1562" width="10.1640625" style="1366" customWidth="1"/>
    <col min="1563" max="1563" width="10.6640625" style="1366" customWidth="1"/>
    <col min="1564" max="1564" width="8.5" style="1366" customWidth="1"/>
    <col min="1565" max="1565" width="10" style="1366" customWidth="1"/>
    <col min="1566" max="1567" width="8.5" style="1366" customWidth="1"/>
    <col min="1568" max="1568" width="10.83203125" style="1366" customWidth="1"/>
    <col min="1569" max="1569" width="9.5" style="1366" customWidth="1"/>
    <col min="1570" max="1570" width="9.33203125" style="1366" customWidth="1"/>
    <col min="1571" max="1571" width="13" style="1366" customWidth="1"/>
    <col min="1572" max="1572" width="14.5" style="1366" customWidth="1"/>
    <col min="1573" max="1573" width="12.6640625" style="1366" bestFit="1" customWidth="1"/>
    <col min="1574" max="1575" width="0" style="1366" hidden="1" customWidth="1"/>
    <col min="1576" max="1576" width="9.33203125" style="1366"/>
    <col min="1577" max="1577" width="14.5" style="1366" bestFit="1" customWidth="1"/>
    <col min="1578" max="1792" width="9.33203125" style="1366"/>
    <col min="1793" max="1793" width="12.1640625" style="1366" customWidth="1"/>
    <col min="1794" max="1794" width="30.83203125" style="1366" customWidth="1"/>
    <col min="1795" max="1795" width="13.83203125" style="1366" customWidth="1"/>
    <col min="1796" max="1796" width="14" style="1366" customWidth="1"/>
    <col min="1797" max="1797" width="13" style="1366" customWidth="1"/>
    <col min="1798" max="1798" width="14.6640625" style="1366" customWidth="1"/>
    <col min="1799" max="1799" width="11.83203125" style="1366" customWidth="1"/>
    <col min="1800" max="1800" width="11.6640625" style="1366" customWidth="1"/>
    <col min="1801" max="1801" width="12.5" style="1366" customWidth="1"/>
    <col min="1802" max="1802" width="11.33203125" style="1366" customWidth="1"/>
    <col min="1803" max="1803" width="17" style="1366" customWidth="1"/>
    <col min="1804" max="1804" width="12.1640625" style="1366" customWidth="1"/>
    <col min="1805" max="1810" width="13" style="1366" customWidth="1"/>
    <col min="1811" max="1811" width="13.1640625" style="1366" customWidth="1"/>
    <col min="1812" max="1812" width="15" style="1366" customWidth="1"/>
    <col min="1813" max="1813" width="12.5" style="1366" customWidth="1"/>
    <col min="1814" max="1814" width="11.6640625" style="1366" customWidth="1"/>
    <col min="1815" max="1815" width="14.1640625" style="1366" customWidth="1"/>
    <col min="1816" max="1816" width="12" style="1366" customWidth="1"/>
    <col min="1817" max="1817" width="8.5" style="1366" customWidth="1"/>
    <col min="1818" max="1818" width="10.1640625" style="1366" customWidth="1"/>
    <col min="1819" max="1819" width="10.6640625" style="1366" customWidth="1"/>
    <col min="1820" max="1820" width="8.5" style="1366" customWidth="1"/>
    <col min="1821" max="1821" width="10" style="1366" customWidth="1"/>
    <col min="1822" max="1823" width="8.5" style="1366" customWidth="1"/>
    <col min="1824" max="1824" width="10.83203125" style="1366" customWidth="1"/>
    <col min="1825" max="1825" width="9.5" style="1366" customWidth="1"/>
    <col min="1826" max="1826" width="9.33203125" style="1366" customWidth="1"/>
    <col min="1827" max="1827" width="13" style="1366" customWidth="1"/>
    <col min="1828" max="1828" width="14.5" style="1366" customWidth="1"/>
    <col min="1829" max="1829" width="12.6640625" style="1366" bestFit="1" customWidth="1"/>
    <col min="1830" max="1831" width="0" style="1366" hidden="1" customWidth="1"/>
    <col min="1832" max="1832" width="9.33203125" style="1366"/>
    <col min="1833" max="1833" width="14.5" style="1366" bestFit="1" customWidth="1"/>
    <col min="1834" max="2048" width="9.33203125" style="1366"/>
    <col min="2049" max="2049" width="12.1640625" style="1366" customWidth="1"/>
    <col min="2050" max="2050" width="30.83203125" style="1366" customWidth="1"/>
    <col min="2051" max="2051" width="13.83203125" style="1366" customWidth="1"/>
    <col min="2052" max="2052" width="14" style="1366" customWidth="1"/>
    <col min="2053" max="2053" width="13" style="1366" customWidth="1"/>
    <col min="2054" max="2054" width="14.6640625" style="1366" customWidth="1"/>
    <col min="2055" max="2055" width="11.83203125" style="1366" customWidth="1"/>
    <col min="2056" max="2056" width="11.6640625" style="1366" customWidth="1"/>
    <col min="2057" max="2057" width="12.5" style="1366" customWidth="1"/>
    <col min="2058" max="2058" width="11.33203125" style="1366" customWidth="1"/>
    <col min="2059" max="2059" width="17" style="1366" customWidth="1"/>
    <col min="2060" max="2060" width="12.1640625" style="1366" customWidth="1"/>
    <col min="2061" max="2066" width="13" style="1366" customWidth="1"/>
    <col min="2067" max="2067" width="13.1640625" style="1366" customWidth="1"/>
    <col min="2068" max="2068" width="15" style="1366" customWidth="1"/>
    <col min="2069" max="2069" width="12.5" style="1366" customWidth="1"/>
    <col min="2070" max="2070" width="11.6640625" style="1366" customWidth="1"/>
    <col min="2071" max="2071" width="14.1640625" style="1366" customWidth="1"/>
    <col min="2072" max="2072" width="12" style="1366" customWidth="1"/>
    <col min="2073" max="2073" width="8.5" style="1366" customWidth="1"/>
    <col min="2074" max="2074" width="10.1640625" style="1366" customWidth="1"/>
    <col min="2075" max="2075" width="10.6640625" style="1366" customWidth="1"/>
    <col min="2076" max="2076" width="8.5" style="1366" customWidth="1"/>
    <col min="2077" max="2077" width="10" style="1366" customWidth="1"/>
    <col min="2078" max="2079" width="8.5" style="1366" customWidth="1"/>
    <col min="2080" max="2080" width="10.83203125" style="1366" customWidth="1"/>
    <col min="2081" max="2081" width="9.5" style="1366" customWidth="1"/>
    <col min="2082" max="2082" width="9.33203125" style="1366" customWidth="1"/>
    <col min="2083" max="2083" width="13" style="1366" customWidth="1"/>
    <col min="2084" max="2084" width="14.5" style="1366" customWidth="1"/>
    <col min="2085" max="2085" width="12.6640625" style="1366" bestFit="1" customWidth="1"/>
    <col min="2086" max="2087" width="0" style="1366" hidden="1" customWidth="1"/>
    <col min="2088" max="2088" width="9.33203125" style="1366"/>
    <col min="2089" max="2089" width="14.5" style="1366" bestFit="1" customWidth="1"/>
    <col min="2090" max="2304" width="9.33203125" style="1366"/>
    <col min="2305" max="2305" width="12.1640625" style="1366" customWidth="1"/>
    <col min="2306" max="2306" width="30.83203125" style="1366" customWidth="1"/>
    <col min="2307" max="2307" width="13.83203125" style="1366" customWidth="1"/>
    <col min="2308" max="2308" width="14" style="1366" customWidth="1"/>
    <col min="2309" max="2309" width="13" style="1366" customWidth="1"/>
    <col min="2310" max="2310" width="14.6640625" style="1366" customWidth="1"/>
    <col min="2311" max="2311" width="11.83203125" style="1366" customWidth="1"/>
    <col min="2312" max="2312" width="11.6640625" style="1366" customWidth="1"/>
    <col min="2313" max="2313" width="12.5" style="1366" customWidth="1"/>
    <col min="2314" max="2314" width="11.33203125" style="1366" customWidth="1"/>
    <col min="2315" max="2315" width="17" style="1366" customWidth="1"/>
    <col min="2316" max="2316" width="12.1640625" style="1366" customWidth="1"/>
    <col min="2317" max="2322" width="13" style="1366" customWidth="1"/>
    <col min="2323" max="2323" width="13.1640625" style="1366" customWidth="1"/>
    <col min="2324" max="2324" width="15" style="1366" customWidth="1"/>
    <col min="2325" max="2325" width="12.5" style="1366" customWidth="1"/>
    <col min="2326" max="2326" width="11.6640625" style="1366" customWidth="1"/>
    <col min="2327" max="2327" width="14.1640625" style="1366" customWidth="1"/>
    <col min="2328" max="2328" width="12" style="1366" customWidth="1"/>
    <col min="2329" max="2329" width="8.5" style="1366" customWidth="1"/>
    <col min="2330" max="2330" width="10.1640625" style="1366" customWidth="1"/>
    <col min="2331" max="2331" width="10.6640625" style="1366" customWidth="1"/>
    <col min="2332" max="2332" width="8.5" style="1366" customWidth="1"/>
    <col min="2333" max="2333" width="10" style="1366" customWidth="1"/>
    <col min="2334" max="2335" width="8.5" style="1366" customWidth="1"/>
    <col min="2336" max="2336" width="10.83203125" style="1366" customWidth="1"/>
    <col min="2337" max="2337" width="9.5" style="1366" customWidth="1"/>
    <col min="2338" max="2338" width="9.33203125" style="1366" customWidth="1"/>
    <col min="2339" max="2339" width="13" style="1366" customWidth="1"/>
    <col min="2340" max="2340" width="14.5" style="1366" customWidth="1"/>
    <col min="2341" max="2341" width="12.6640625" style="1366" bestFit="1" customWidth="1"/>
    <col min="2342" max="2343" width="0" style="1366" hidden="1" customWidth="1"/>
    <col min="2344" max="2344" width="9.33203125" style="1366"/>
    <col min="2345" max="2345" width="14.5" style="1366" bestFit="1" customWidth="1"/>
    <col min="2346" max="2560" width="9.33203125" style="1366"/>
    <col min="2561" max="2561" width="12.1640625" style="1366" customWidth="1"/>
    <col min="2562" max="2562" width="30.83203125" style="1366" customWidth="1"/>
    <col min="2563" max="2563" width="13.83203125" style="1366" customWidth="1"/>
    <col min="2564" max="2564" width="14" style="1366" customWidth="1"/>
    <col min="2565" max="2565" width="13" style="1366" customWidth="1"/>
    <col min="2566" max="2566" width="14.6640625" style="1366" customWidth="1"/>
    <col min="2567" max="2567" width="11.83203125" style="1366" customWidth="1"/>
    <col min="2568" max="2568" width="11.6640625" style="1366" customWidth="1"/>
    <col min="2569" max="2569" width="12.5" style="1366" customWidth="1"/>
    <col min="2570" max="2570" width="11.33203125" style="1366" customWidth="1"/>
    <col min="2571" max="2571" width="17" style="1366" customWidth="1"/>
    <col min="2572" max="2572" width="12.1640625" style="1366" customWidth="1"/>
    <col min="2573" max="2578" width="13" style="1366" customWidth="1"/>
    <col min="2579" max="2579" width="13.1640625" style="1366" customWidth="1"/>
    <col min="2580" max="2580" width="15" style="1366" customWidth="1"/>
    <col min="2581" max="2581" width="12.5" style="1366" customWidth="1"/>
    <col min="2582" max="2582" width="11.6640625" style="1366" customWidth="1"/>
    <col min="2583" max="2583" width="14.1640625" style="1366" customWidth="1"/>
    <col min="2584" max="2584" width="12" style="1366" customWidth="1"/>
    <col min="2585" max="2585" width="8.5" style="1366" customWidth="1"/>
    <col min="2586" max="2586" width="10.1640625" style="1366" customWidth="1"/>
    <col min="2587" max="2587" width="10.6640625" style="1366" customWidth="1"/>
    <col min="2588" max="2588" width="8.5" style="1366" customWidth="1"/>
    <col min="2589" max="2589" width="10" style="1366" customWidth="1"/>
    <col min="2590" max="2591" width="8.5" style="1366" customWidth="1"/>
    <col min="2592" max="2592" width="10.83203125" style="1366" customWidth="1"/>
    <col min="2593" max="2593" width="9.5" style="1366" customWidth="1"/>
    <col min="2594" max="2594" width="9.33203125" style="1366" customWidth="1"/>
    <col min="2595" max="2595" width="13" style="1366" customWidth="1"/>
    <col min="2596" max="2596" width="14.5" style="1366" customWidth="1"/>
    <col min="2597" max="2597" width="12.6640625" style="1366" bestFit="1" customWidth="1"/>
    <col min="2598" max="2599" width="0" style="1366" hidden="1" customWidth="1"/>
    <col min="2600" max="2600" width="9.33203125" style="1366"/>
    <col min="2601" max="2601" width="14.5" style="1366" bestFit="1" customWidth="1"/>
    <col min="2602" max="2816" width="9.33203125" style="1366"/>
    <col min="2817" max="2817" width="12.1640625" style="1366" customWidth="1"/>
    <col min="2818" max="2818" width="30.83203125" style="1366" customWidth="1"/>
    <col min="2819" max="2819" width="13.83203125" style="1366" customWidth="1"/>
    <col min="2820" max="2820" width="14" style="1366" customWidth="1"/>
    <col min="2821" max="2821" width="13" style="1366" customWidth="1"/>
    <col min="2822" max="2822" width="14.6640625" style="1366" customWidth="1"/>
    <col min="2823" max="2823" width="11.83203125" style="1366" customWidth="1"/>
    <col min="2824" max="2824" width="11.6640625" style="1366" customWidth="1"/>
    <col min="2825" max="2825" width="12.5" style="1366" customWidth="1"/>
    <col min="2826" max="2826" width="11.33203125" style="1366" customWidth="1"/>
    <col min="2827" max="2827" width="17" style="1366" customWidth="1"/>
    <col min="2828" max="2828" width="12.1640625" style="1366" customWidth="1"/>
    <col min="2829" max="2834" width="13" style="1366" customWidth="1"/>
    <col min="2835" max="2835" width="13.1640625" style="1366" customWidth="1"/>
    <col min="2836" max="2836" width="15" style="1366" customWidth="1"/>
    <col min="2837" max="2837" width="12.5" style="1366" customWidth="1"/>
    <col min="2838" max="2838" width="11.6640625" style="1366" customWidth="1"/>
    <col min="2839" max="2839" width="14.1640625" style="1366" customWidth="1"/>
    <col min="2840" max="2840" width="12" style="1366" customWidth="1"/>
    <col min="2841" max="2841" width="8.5" style="1366" customWidth="1"/>
    <col min="2842" max="2842" width="10.1640625" style="1366" customWidth="1"/>
    <col min="2843" max="2843" width="10.6640625" style="1366" customWidth="1"/>
    <col min="2844" max="2844" width="8.5" style="1366" customWidth="1"/>
    <col min="2845" max="2845" width="10" style="1366" customWidth="1"/>
    <col min="2846" max="2847" width="8.5" style="1366" customWidth="1"/>
    <col min="2848" max="2848" width="10.83203125" style="1366" customWidth="1"/>
    <col min="2849" max="2849" width="9.5" style="1366" customWidth="1"/>
    <col min="2850" max="2850" width="9.33203125" style="1366" customWidth="1"/>
    <col min="2851" max="2851" width="13" style="1366" customWidth="1"/>
    <col min="2852" max="2852" width="14.5" style="1366" customWidth="1"/>
    <col min="2853" max="2853" width="12.6640625" style="1366" bestFit="1" customWidth="1"/>
    <col min="2854" max="2855" width="0" style="1366" hidden="1" customWidth="1"/>
    <col min="2856" max="2856" width="9.33203125" style="1366"/>
    <col min="2857" max="2857" width="14.5" style="1366" bestFit="1" customWidth="1"/>
    <col min="2858" max="3072" width="9.33203125" style="1366"/>
    <col min="3073" max="3073" width="12.1640625" style="1366" customWidth="1"/>
    <col min="3074" max="3074" width="30.83203125" style="1366" customWidth="1"/>
    <col min="3075" max="3075" width="13.83203125" style="1366" customWidth="1"/>
    <col min="3076" max="3076" width="14" style="1366" customWidth="1"/>
    <col min="3077" max="3077" width="13" style="1366" customWidth="1"/>
    <col min="3078" max="3078" width="14.6640625" style="1366" customWidth="1"/>
    <col min="3079" max="3079" width="11.83203125" style="1366" customWidth="1"/>
    <col min="3080" max="3080" width="11.6640625" style="1366" customWidth="1"/>
    <col min="3081" max="3081" width="12.5" style="1366" customWidth="1"/>
    <col min="3082" max="3082" width="11.33203125" style="1366" customWidth="1"/>
    <col min="3083" max="3083" width="17" style="1366" customWidth="1"/>
    <col min="3084" max="3084" width="12.1640625" style="1366" customWidth="1"/>
    <col min="3085" max="3090" width="13" style="1366" customWidth="1"/>
    <col min="3091" max="3091" width="13.1640625" style="1366" customWidth="1"/>
    <col min="3092" max="3092" width="15" style="1366" customWidth="1"/>
    <col min="3093" max="3093" width="12.5" style="1366" customWidth="1"/>
    <col min="3094" max="3094" width="11.6640625" style="1366" customWidth="1"/>
    <col min="3095" max="3095" width="14.1640625" style="1366" customWidth="1"/>
    <col min="3096" max="3096" width="12" style="1366" customWidth="1"/>
    <col min="3097" max="3097" width="8.5" style="1366" customWidth="1"/>
    <col min="3098" max="3098" width="10.1640625" style="1366" customWidth="1"/>
    <col min="3099" max="3099" width="10.6640625" style="1366" customWidth="1"/>
    <col min="3100" max="3100" width="8.5" style="1366" customWidth="1"/>
    <col min="3101" max="3101" width="10" style="1366" customWidth="1"/>
    <col min="3102" max="3103" width="8.5" style="1366" customWidth="1"/>
    <col min="3104" max="3104" width="10.83203125" style="1366" customWidth="1"/>
    <col min="3105" max="3105" width="9.5" style="1366" customWidth="1"/>
    <col min="3106" max="3106" width="9.33203125" style="1366" customWidth="1"/>
    <col min="3107" max="3107" width="13" style="1366" customWidth="1"/>
    <col min="3108" max="3108" width="14.5" style="1366" customWidth="1"/>
    <col min="3109" max="3109" width="12.6640625" style="1366" bestFit="1" customWidth="1"/>
    <col min="3110" max="3111" width="0" style="1366" hidden="1" customWidth="1"/>
    <col min="3112" max="3112" width="9.33203125" style="1366"/>
    <col min="3113" max="3113" width="14.5" style="1366" bestFit="1" customWidth="1"/>
    <col min="3114" max="3328" width="9.33203125" style="1366"/>
    <col min="3329" max="3329" width="12.1640625" style="1366" customWidth="1"/>
    <col min="3330" max="3330" width="30.83203125" style="1366" customWidth="1"/>
    <col min="3331" max="3331" width="13.83203125" style="1366" customWidth="1"/>
    <col min="3332" max="3332" width="14" style="1366" customWidth="1"/>
    <col min="3333" max="3333" width="13" style="1366" customWidth="1"/>
    <col min="3334" max="3334" width="14.6640625" style="1366" customWidth="1"/>
    <col min="3335" max="3335" width="11.83203125" style="1366" customWidth="1"/>
    <col min="3336" max="3336" width="11.6640625" style="1366" customWidth="1"/>
    <col min="3337" max="3337" width="12.5" style="1366" customWidth="1"/>
    <col min="3338" max="3338" width="11.33203125" style="1366" customWidth="1"/>
    <col min="3339" max="3339" width="17" style="1366" customWidth="1"/>
    <col min="3340" max="3340" width="12.1640625" style="1366" customWidth="1"/>
    <col min="3341" max="3346" width="13" style="1366" customWidth="1"/>
    <col min="3347" max="3347" width="13.1640625" style="1366" customWidth="1"/>
    <col min="3348" max="3348" width="15" style="1366" customWidth="1"/>
    <col min="3349" max="3349" width="12.5" style="1366" customWidth="1"/>
    <col min="3350" max="3350" width="11.6640625" style="1366" customWidth="1"/>
    <col min="3351" max="3351" width="14.1640625" style="1366" customWidth="1"/>
    <col min="3352" max="3352" width="12" style="1366" customWidth="1"/>
    <col min="3353" max="3353" width="8.5" style="1366" customWidth="1"/>
    <col min="3354" max="3354" width="10.1640625" style="1366" customWidth="1"/>
    <col min="3355" max="3355" width="10.6640625" style="1366" customWidth="1"/>
    <col min="3356" max="3356" width="8.5" style="1366" customWidth="1"/>
    <col min="3357" max="3357" width="10" style="1366" customWidth="1"/>
    <col min="3358" max="3359" width="8.5" style="1366" customWidth="1"/>
    <col min="3360" max="3360" width="10.83203125" style="1366" customWidth="1"/>
    <col min="3361" max="3361" width="9.5" style="1366" customWidth="1"/>
    <col min="3362" max="3362" width="9.33203125" style="1366" customWidth="1"/>
    <col min="3363" max="3363" width="13" style="1366" customWidth="1"/>
    <col min="3364" max="3364" width="14.5" style="1366" customWidth="1"/>
    <col min="3365" max="3365" width="12.6640625" style="1366" bestFit="1" customWidth="1"/>
    <col min="3366" max="3367" width="0" style="1366" hidden="1" customWidth="1"/>
    <col min="3368" max="3368" width="9.33203125" style="1366"/>
    <col min="3369" max="3369" width="14.5" style="1366" bestFit="1" customWidth="1"/>
    <col min="3370" max="3584" width="9.33203125" style="1366"/>
    <col min="3585" max="3585" width="12.1640625" style="1366" customWidth="1"/>
    <col min="3586" max="3586" width="30.83203125" style="1366" customWidth="1"/>
    <col min="3587" max="3587" width="13.83203125" style="1366" customWidth="1"/>
    <col min="3588" max="3588" width="14" style="1366" customWidth="1"/>
    <col min="3589" max="3589" width="13" style="1366" customWidth="1"/>
    <col min="3590" max="3590" width="14.6640625" style="1366" customWidth="1"/>
    <col min="3591" max="3591" width="11.83203125" style="1366" customWidth="1"/>
    <col min="3592" max="3592" width="11.6640625" style="1366" customWidth="1"/>
    <col min="3593" max="3593" width="12.5" style="1366" customWidth="1"/>
    <col min="3594" max="3594" width="11.33203125" style="1366" customWidth="1"/>
    <col min="3595" max="3595" width="17" style="1366" customWidth="1"/>
    <col min="3596" max="3596" width="12.1640625" style="1366" customWidth="1"/>
    <col min="3597" max="3602" width="13" style="1366" customWidth="1"/>
    <col min="3603" max="3603" width="13.1640625" style="1366" customWidth="1"/>
    <col min="3604" max="3604" width="15" style="1366" customWidth="1"/>
    <col min="3605" max="3605" width="12.5" style="1366" customWidth="1"/>
    <col min="3606" max="3606" width="11.6640625" style="1366" customWidth="1"/>
    <col min="3607" max="3607" width="14.1640625" style="1366" customWidth="1"/>
    <col min="3608" max="3608" width="12" style="1366" customWidth="1"/>
    <col min="3609" max="3609" width="8.5" style="1366" customWidth="1"/>
    <col min="3610" max="3610" width="10.1640625" style="1366" customWidth="1"/>
    <col min="3611" max="3611" width="10.6640625" style="1366" customWidth="1"/>
    <col min="3612" max="3612" width="8.5" style="1366" customWidth="1"/>
    <col min="3613" max="3613" width="10" style="1366" customWidth="1"/>
    <col min="3614" max="3615" width="8.5" style="1366" customWidth="1"/>
    <col min="3616" max="3616" width="10.83203125" style="1366" customWidth="1"/>
    <col min="3617" max="3617" width="9.5" style="1366" customWidth="1"/>
    <col min="3618" max="3618" width="9.33203125" style="1366" customWidth="1"/>
    <col min="3619" max="3619" width="13" style="1366" customWidth="1"/>
    <col min="3620" max="3620" width="14.5" style="1366" customWidth="1"/>
    <col min="3621" max="3621" width="12.6640625" style="1366" bestFit="1" customWidth="1"/>
    <col min="3622" max="3623" width="0" style="1366" hidden="1" customWidth="1"/>
    <col min="3624" max="3624" width="9.33203125" style="1366"/>
    <col min="3625" max="3625" width="14.5" style="1366" bestFit="1" customWidth="1"/>
    <col min="3626" max="3840" width="9.33203125" style="1366"/>
    <col min="3841" max="3841" width="12.1640625" style="1366" customWidth="1"/>
    <col min="3842" max="3842" width="30.83203125" style="1366" customWidth="1"/>
    <col min="3843" max="3843" width="13.83203125" style="1366" customWidth="1"/>
    <col min="3844" max="3844" width="14" style="1366" customWidth="1"/>
    <col min="3845" max="3845" width="13" style="1366" customWidth="1"/>
    <col min="3846" max="3846" width="14.6640625" style="1366" customWidth="1"/>
    <col min="3847" max="3847" width="11.83203125" style="1366" customWidth="1"/>
    <col min="3848" max="3848" width="11.6640625" style="1366" customWidth="1"/>
    <col min="3849" max="3849" width="12.5" style="1366" customWidth="1"/>
    <col min="3850" max="3850" width="11.33203125" style="1366" customWidth="1"/>
    <col min="3851" max="3851" width="17" style="1366" customWidth="1"/>
    <col min="3852" max="3852" width="12.1640625" style="1366" customWidth="1"/>
    <col min="3853" max="3858" width="13" style="1366" customWidth="1"/>
    <col min="3859" max="3859" width="13.1640625" style="1366" customWidth="1"/>
    <col min="3860" max="3860" width="15" style="1366" customWidth="1"/>
    <col min="3861" max="3861" width="12.5" style="1366" customWidth="1"/>
    <col min="3862" max="3862" width="11.6640625" style="1366" customWidth="1"/>
    <col min="3863" max="3863" width="14.1640625" style="1366" customWidth="1"/>
    <col min="3864" max="3864" width="12" style="1366" customWidth="1"/>
    <col min="3865" max="3865" width="8.5" style="1366" customWidth="1"/>
    <col min="3866" max="3866" width="10.1640625" style="1366" customWidth="1"/>
    <col min="3867" max="3867" width="10.6640625" style="1366" customWidth="1"/>
    <col min="3868" max="3868" width="8.5" style="1366" customWidth="1"/>
    <col min="3869" max="3869" width="10" style="1366" customWidth="1"/>
    <col min="3870" max="3871" width="8.5" style="1366" customWidth="1"/>
    <col min="3872" max="3872" width="10.83203125" style="1366" customWidth="1"/>
    <col min="3873" max="3873" width="9.5" style="1366" customWidth="1"/>
    <col min="3874" max="3874" width="9.33203125" style="1366" customWidth="1"/>
    <col min="3875" max="3875" width="13" style="1366" customWidth="1"/>
    <col min="3876" max="3876" width="14.5" style="1366" customWidth="1"/>
    <col min="3877" max="3877" width="12.6640625" style="1366" bestFit="1" customWidth="1"/>
    <col min="3878" max="3879" width="0" style="1366" hidden="1" customWidth="1"/>
    <col min="3880" max="3880" width="9.33203125" style="1366"/>
    <col min="3881" max="3881" width="14.5" style="1366" bestFit="1" customWidth="1"/>
    <col min="3882" max="4096" width="9.33203125" style="1366"/>
    <col min="4097" max="4097" width="12.1640625" style="1366" customWidth="1"/>
    <col min="4098" max="4098" width="30.83203125" style="1366" customWidth="1"/>
    <col min="4099" max="4099" width="13.83203125" style="1366" customWidth="1"/>
    <col min="4100" max="4100" width="14" style="1366" customWidth="1"/>
    <col min="4101" max="4101" width="13" style="1366" customWidth="1"/>
    <col min="4102" max="4102" width="14.6640625" style="1366" customWidth="1"/>
    <col min="4103" max="4103" width="11.83203125" style="1366" customWidth="1"/>
    <col min="4104" max="4104" width="11.6640625" style="1366" customWidth="1"/>
    <col min="4105" max="4105" width="12.5" style="1366" customWidth="1"/>
    <col min="4106" max="4106" width="11.33203125" style="1366" customWidth="1"/>
    <col min="4107" max="4107" width="17" style="1366" customWidth="1"/>
    <col min="4108" max="4108" width="12.1640625" style="1366" customWidth="1"/>
    <col min="4109" max="4114" width="13" style="1366" customWidth="1"/>
    <col min="4115" max="4115" width="13.1640625" style="1366" customWidth="1"/>
    <col min="4116" max="4116" width="15" style="1366" customWidth="1"/>
    <col min="4117" max="4117" width="12.5" style="1366" customWidth="1"/>
    <col min="4118" max="4118" width="11.6640625" style="1366" customWidth="1"/>
    <col min="4119" max="4119" width="14.1640625" style="1366" customWidth="1"/>
    <col min="4120" max="4120" width="12" style="1366" customWidth="1"/>
    <col min="4121" max="4121" width="8.5" style="1366" customWidth="1"/>
    <col min="4122" max="4122" width="10.1640625" style="1366" customWidth="1"/>
    <col min="4123" max="4123" width="10.6640625" style="1366" customWidth="1"/>
    <col min="4124" max="4124" width="8.5" style="1366" customWidth="1"/>
    <col min="4125" max="4125" width="10" style="1366" customWidth="1"/>
    <col min="4126" max="4127" width="8.5" style="1366" customWidth="1"/>
    <col min="4128" max="4128" width="10.83203125" style="1366" customWidth="1"/>
    <col min="4129" max="4129" width="9.5" style="1366" customWidth="1"/>
    <col min="4130" max="4130" width="9.33203125" style="1366" customWidth="1"/>
    <col min="4131" max="4131" width="13" style="1366" customWidth="1"/>
    <col min="4132" max="4132" width="14.5" style="1366" customWidth="1"/>
    <col min="4133" max="4133" width="12.6640625" style="1366" bestFit="1" customWidth="1"/>
    <col min="4134" max="4135" width="0" style="1366" hidden="1" customWidth="1"/>
    <col min="4136" max="4136" width="9.33203125" style="1366"/>
    <col min="4137" max="4137" width="14.5" style="1366" bestFit="1" customWidth="1"/>
    <col min="4138" max="4352" width="9.33203125" style="1366"/>
    <col min="4353" max="4353" width="12.1640625" style="1366" customWidth="1"/>
    <col min="4354" max="4354" width="30.83203125" style="1366" customWidth="1"/>
    <col min="4355" max="4355" width="13.83203125" style="1366" customWidth="1"/>
    <col min="4356" max="4356" width="14" style="1366" customWidth="1"/>
    <col min="4357" max="4357" width="13" style="1366" customWidth="1"/>
    <col min="4358" max="4358" width="14.6640625" style="1366" customWidth="1"/>
    <col min="4359" max="4359" width="11.83203125" style="1366" customWidth="1"/>
    <col min="4360" max="4360" width="11.6640625" style="1366" customWidth="1"/>
    <col min="4361" max="4361" width="12.5" style="1366" customWidth="1"/>
    <col min="4362" max="4362" width="11.33203125" style="1366" customWidth="1"/>
    <col min="4363" max="4363" width="17" style="1366" customWidth="1"/>
    <col min="4364" max="4364" width="12.1640625" style="1366" customWidth="1"/>
    <col min="4365" max="4370" width="13" style="1366" customWidth="1"/>
    <col min="4371" max="4371" width="13.1640625" style="1366" customWidth="1"/>
    <col min="4372" max="4372" width="15" style="1366" customWidth="1"/>
    <col min="4373" max="4373" width="12.5" style="1366" customWidth="1"/>
    <col min="4374" max="4374" width="11.6640625" style="1366" customWidth="1"/>
    <col min="4375" max="4375" width="14.1640625" style="1366" customWidth="1"/>
    <col min="4376" max="4376" width="12" style="1366" customWidth="1"/>
    <col min="4377" max="4377" width="8.5" style="1366" customWidth="1"/>
    <col min="4378" max="4378" width="10.1640625" style="1366" customWidth="1"/>
    <col min="4379" max="4379" width="10.6640625" style="1366" customWidth="1"/>
    <col min="4380" max="4380" width="8.5" style="1366" customWidth="1"/>
    <col min="4381" max="4381" width="10" style="1366" customWidth="1"/>
    <col min="4382" max="4383" width="8.5" style="1366" customWidth="1"/>
    <col min="4384" max="4384" width="10.83203125" style="1366" customWidth="1"/>
    <col min="4385" max="4385" width="9.5" style="1366" customWidth="1"/>
    <col min="4386" max="4386" width="9.33203125" style="1366" customWidth="1"/>
    <col min="4387" max="4387" width="13" style="1366" customWidth="1"/>
    <col min="4388" max="4388" width="14.5" style="1366" customWidth="1"/>
    <col min="4389" max="4389" width="12.6640625" style="1366" bestFit="1" customWidth="1"/>
    <col min="4390" max="4391" width="0" style="1366" hidden="1" customWidth="1"/>
    <col min="4392" max="4392" width="9.33203125" style="1366"/>
    <col min="4393" max="4393" width="14.5" style="1366" bestFit="1" customWidth="1"/>
    <col min="4394" max="4608" width="9.33203125" style="1366"/>
    <col min="4609" max="4609" width="12.1640625" style="1366" customWidth="1"/>
    <col min="4610" max="4610" width="30.83203125" style="1366" customWidth="1"/>
    <col min="4611" max="4611" width="13.83203125" style="1366" customWidth="1"/>
    <col min="4612" max="4612" width="14" style="1366" customWidth="1"/>
    <col min="4613" max="4613" width="13" style="1366" customWidth="1"/>
    <col min="4614" max="4614" width="14.6640625" style="1366" customWidth="1"/>
    <col min="4615" max="4615" width="11.83203125" style="1366" customWidth="1"/>
    <col min="4616" max="4616" width="11.6640625" style="1366" customWidth="1"/>
    <col min="4617" max="4617" width="12.5" style="1366" customWidth="1"/>
    <col min="4618" max="4618" width="11.33203125" style="1366" customWidth="1"/>
    <col min="4619" max="4619" width="17" style="1366" customWidth="1"/>
    <col min="4620" max="4620" width="12.1640625" style="1366" customWidth="1"/>
    <col min="4621" max="4626" width="13" style="1366" customWidth="1"/>
    <col min="4627" max="4627" width="13.1640625" style="1366" customWidth="1"/>
    <col min="4628" max="4628" width="15" style="1366" customWidth="1"/>
    <col min="4629" max="4629" width="12.5" style="1366" customWidth="1"/>
    <col min="4630" max="4630" width="11.6640625" style="1366" customWidth="1"/>
    <col min="4631" max="4631" width="14.1640625" style="1366" customWidth="1"/>
    <col min="4632" max="4632" width="12" style="1366" customWidth="1"/>
    <col min="4633" max="4633" width="8.5" style="1366" customWidth="1"/>
    <col min="4634" max="4634" width="10.1640625" style="1366" customWidth="1"/>
    <col min="4635" max="4635" width="10.6640625" style="1366" customWidth="1"/>
    <col min="4636" max="4636" width="8.5" style="1366" customWidth="1"/>
    <col min="4637" max="4637" width="10" style="1366" customWidth="1"/>
    <col min="4638" max="4639" width="8.5" style="1366" customWidth="1"/>
    <col min="4640" max="4640" width="10.83203125" style="1366" customWidth="1"/>
    <col min="4641" max="4641" width="9.5" style="1366" customWidth="1"/>
    <col min="4642" max="4642" width="9.33203125" style="1366" customWidth="1"/>
    <col min="4643" max="4643" width="13" style="1366" customWidth="1"/>
    <col min="4644" max="4644" width="14.5" style="1366" customWidth="1"/>
    <col min="4645" max="4645" width="12.6640625" style="1366" bestFit="1" customWidth="1"/>
    <col min="4646" max="4647" width="0" style="1366" hidden="1" customWidth="1"/>
    <col min="4648" max="4648" width="9.33203125" style="1366"/>
    <col min="4649" max="4649" width="14.5" style="1366" bestFit="1" customWidth="1"/>
    <col min="4650" max="4864" width="9.33203125" style="1366"/>
    <col min="4865" max="4865" width="12.1640625" style="1366" customWidth="1"/>
    <col min="4866" max="4866" width="30.83203125" style="1366" customWidth="1"/>
    <col min="4867" max="4867" width="13.83203125" style="1366" customWidth="1"/>
    <col min="4868" max="4868" width="14" style="1366" customWidth="1"/>
    <col min="4869" max="4869" width="13" style="1366" customWidth="1"/>
    <col min="4870" max="4870" width="14.6640625" style="1366" customWidth="1"/>
    <col min="4871" max="4871" width="11.83203125" style="1366" customWidth="1"/>
    <col min="4872" max="4872" width="11.6640625" style="1366" customWidth="1"/>
    <col min="4873" max="4873" width="12.5" style="1366" customWidth="1"/>
    <col min="4874" max="4874" width="11.33203125" style="1366" customWidth="1"/>
    <col min="4875" max="4875" width="17" style="1366" customWidth="1"/>
    <col min="4876" max="4876" width="12.1640625" style="1366" customWidth="1"/>
    <col min="4877" max="4882" width="13" style="1366" customWidth="1"/>
    <col min="4883" max="4883" width="13.1640625" style="1366" customWidth="1"/>
    <col min="4884" max="4884" width="15" style="1366" customWidth="1"/>
    <col min="4885" max="4885" width="12.5" style="1366" customWidth="1"/>
    <col min="4886" max="4886" width="11.6640625" style="1366" customWidth="1"/>
    <col min="4887" max="4887" width="14.1640625" style="1366" customWidth="1"/>
    <col min="4888" max="4888" width="12" style="1366" customWidth="1"/>
    <col min="4889" max="4889" width="8.5" style="1366" customWidth="1"/>
    <col min="4890" max="4890" width="10.1640625" style="1366" customWidth="1"/>
    <col min="4891" max="4891" width="10.6640625" style="1366" customWidth="1"/>
    <col min="4892" max="4892" width="8.5" style="1366" customWidth="1"/>
    <col min="4893" max="4893" width="10" style="1366" customWidth="1"/>
    <col min="4894" max="4895" width="8.5" style="1366" customWidth="1"/>
    <col min="4896" max="4896" width="10.83203125" style="1366" customWidth="1"/>
    <col min="4897" max="4897" width="9.5" style="1366" customWidth="1"/>
    <col min="4898" max="4898" width="9.33203125" style="1366" customWidth="1"/>
    <col min="4899" max="4899" width="13" style="1366" customWidth="1"/>
    <col min="4900" max="4900" width="14.5" style="1366" customWidth="1"/>
    <col min="4901" max="4901" width="12.6640625" style="1366" bestFit="1" customWidth="1"/>
    <col min="4902" max="4903" width="0" style="1366" hidden="1" customWidth="1"/>
    <col min="4904" max="4904" width="9.33203125" style="1366"/>
    <col min="4905" max="4905" width="14.5" style="1366" bestFit="1" customWidth="1"/>
    <col min="4906" max="5120" width="9.33203125" style="1366"/>
    <col min="5121" max="5121" width="12.1640625" style="1366" customWidth="1"/>
    <col min="5122" max="5122" width="30.83203125" style="1366" customWidth="1"/>
    <col min="5123" max="5123" width="13.83203125" style="1366" customWidth="1"/>
    <col min="5124" max="5124" width="14" style="1366" customWidth="1"/>
    <col min="5125" max="5125" width="13" style="1366" customWidth="1"/>
    <col min="5126" max="5126" width="14.6640625" style="1366" customWidth="1"/>
    <col min="5127" max="5127" width="11.83203125" style="1366" customWidth="1"/>
    <col min="5128" max="5128" width="11.6640625" style="1366" customWidth="1"/>
    <col min="5129" max="5129" width="12.5" style="1366" customWidth="1"/>
    <col min="5130" max="5130" width="11.33203125" style="1366" customWidth="1"/>
    <col min="5131" max="5131" width="17" style="1366" customWidth="1"/>
    <col min="5132" max="5132" width="12.1640625" style="1366" customWidth="1"/>
    <col min="5133" max="5138" width="13" style="1366" customWidth="1"/>
    <col min="5139" max="5139" width="13.1640625" style="1366" customWidth="1"/>
    <col min="5140" max="5140" width="15" style="1366" customWidth="1"/>
    <col min="5141" max="5141" width="12.5" style="1366" customWidth="1"/>
    <col min="5142" max="5142" width="11.6640625" style="1366" customWidth="1"/>
    <col min="5143" max="5143" width="14.1640625" style="1366" customWidth="1"/>
    <col min="5144" max="5144" width="12" style="1366" customWidth="1"/>
    <col min="5145" max="5145" width="8.5" style="1366" customWidth="1"/>
    <col min="5146" max="5146" width="10.1640625" style="1366" customWidth="1"/>
    <col min="5147" max="5147" width="10.6640625" style="1366" customWidth="1"/>
    <col min="5148" max="5148" width="8.5" style="1366" customWidth="1"/>
    <col min="5149" max="5149" width="10" style="1366" customWidth="1"/>
    <col min="5150" max="5151" width="8.5" style="1366" customWidth="1"/>
    <col min="5152" max="5152" width="10.83203125" style="1366" customWidth="1"/>
    <col min="5153" max="5153" width="9.5" style="1366" customWidth="1"/>
    <col min="5154" max="5154" width="9.33203125" style="1366" customWidth="1"/>
    <col min="5155" max="5155" width="13" style="1366" customWidth="1"/>
    <col min="5156" max="5156" width="14.5" style="1366" customWidth="1"/>
    <col min="5157" max="5157" width="12.6640625" style="1366" bestFit="1" customWidth="1"/>
    <col min="5158" max="5159" width="0" style="1366" hidden="1" customWidth="1"/>
    <col min="5160" max="5160" width="9.33203125" style="1366"/>
    <col min="5161" max="5161" width="14.5" style="1366" bestFit="1" customWidth="1"/>
    <col min="5162" max="5376" width="9.33203125" style="1366"/>
    <col min="5377" max="5377" width="12.1640625" style="1366" customWidth="1"/>
    <col min="5378" max="5378" width="30.83203125" style="1366" customWidth="1"/>
    <col min="5379" max="5379" width="13.83203125" style="1366" customWidth="1"/>
    <col min="5380" max="5380" width="14" style="1366" customWidth="1"/>
    <col min="5381" max="5381" width="13" style="1366" customWidth="1"/>
    <col min="5382" max="5382" width="14.6640625" style="1366" customWidth="1"/>
    <col min="5383" max="5383" width="11.83203125" style="1366" customWidth="1"/>
    <col min="5384" max="5384" width="11.6640625" style="1366" customWidth="1"/>
    <col min="5385" max="5385" width="12.5" style="1366" customWidth="1"/>
    <col min="5386" max="5386" width="11.33203125" style="1366" customWidth="1"/>
    <col min="5387" max="5387" width="17" style="1366" customWidth="1"/>
    <col min="5388" max="5388" width="12.1640625" style="1366" customWidth="1"/>
    <col min="5389" max="5394" width="13" style="1366" customWidth="1"/>
    <col min="5395" max="5395" width="13.1640625" style="1366" customWidth="1"/>
    <col min="5396" max="5396" width="15" style="1366" customWidth="1"/>
    <col min="5397" max="5397" width="12.5" style="1366" customWidth="1"/>
    <col min="5398" max="5398" width="11.6640625" style="1366" customWidth="1"/>
    <col min="5399" max="5399" width="14.1640625" style="1366" customWidth="1"/>
    <col min="5400" max="5400" width="12" style="1366" customWidth="1"/>
    <col min="5401" max="5401" width="8.5" style="1366" customWidth="1"/>
    <col min="5402" max="5402" width="10.1640625" style="1366" customWidth="1"/>
    <col min="5403" max="5403" width="10.6640625" style="1366" customWidth="1"/>
    <col min="5404" max="5404" width="8.5" style="1366" customWidth="1"/>
    <col min="5405" max="5405" width="10" style="1366" customWidth="1"/>
    <col min="5406" max="5407" width="8.5" style="1366" customWidth="1"/>
    <col min="5408" max="5408" width="10.83203125" style="1366" customWidth="1"/>
    <col min="5409" max="5409" width="9.5" style="1366" customWidth="1"/>
    <col min="5410" max="5410" width="9.33203125" style="1366" customWidth="1"/>
    <col min="5411" max="5411" width="13" style="1366" customWidth="1"/>
    <col min="5412" max="5412" width="14.5" style="1366" customWidth="1"/>
    <col min="5413" max="5413" width="12.6640625" style="1366" bestFit="1" customWidth="1"/>
    <col min="5414" max="5415" width="0" style="1366" hidden="1" customWidth="1"/>
    <col min="5416" max="5416" width="9.33203125" style="1366"/>
    <col min="5417" max="5417" width="14.5" style="1366" bestFit="1" customWidth="1"/>
    <col min="5418" max="5632" width="9.33203125" style="1366"/>
    <col min="5633" max="5633" width="12.1640625" style="1366" customWidth="1"/>
    <col min="5634" max="5634" width="30.83203125" style="1366" customWidth="1"/>
    <col min="5635" max="5635" width="13.83203125" style="1366" customWidth="1"/>
    <col min="5636" max="5636" width="14" style="1366" customWidth="1"/>
    <col min="5637" max="5637" width="13" style="1366" customWidth="1"/>
    <col min="5638" max="5638" width="14.6640625" style="1366" customWidth="1"/>
    <col min="5639" max="5639" width="11.83203125" style="1366" customWidth="1"/>
    <col min="5640" max="5640" width="11.6640625" style="1366" customWidth="1"/>
    <col min="5641" max="5641" width="12.5" style="1366" customWidth="1"/>
    <col min="5642" max="5642" width="11.33203125" style="1366" customWidth="1"/>
    <col min="5643" max="5643" width="17" style="1366" customWidth="1"/>
    <col min="5644" max="5644" width="12.1640625" style="1366" customWidth="1"/>
    <col min="5645" max="5650" width="13" style="1366" customWidth="1"/>
    <col min="5651" max="5651" width="13.1640625" style="1366" customWidth="1"/>
    <col min="5652" max="5652" width="15" style="1366" customWidth="1"/>
    <col min="5653" max="5653" width="12.5" style="1366" customWidth="1"/>
    <col min="5654" max="5654" width="11.6640625" style="1366" customWidth="1"/>
    <col min="5655" max="5655" width="14.1640625" style="1366" customWidth="1"/>
    <col min="5656" max="5656" width="12" style="1366" customWidth="1"/>
    <col min="5657" max="5657" width="8.5" style="1366" customWidth="1"/>
    <col min="5658" max="5658" width="10.1640625" style="1366" customWidth="1"/>
    <col min="5659" max="5659" width="10.6640625" style="1366" customWidth="1"/>
    <col min="5660" max="5660" width="8.5" style="1366" customWidth="1"/>
    <col min="5661" max="5661" width="10" style="1366" customWidth="1"/>
    <col min="5662" max="5663" width="8.5" style="1366" customWidth="1"/>
    <col min="5664" max="5664" width="10.83203125" style="1366" customWidth="1"/>
    <col min="5665" max="5665" width="9.5" style="1366" customWidth="1"/>
    <col min="5666" max="5666" width="9.33203125" style="1366" customWidth="1"/>
    <col min="5667" max="5667" width="13" style="1366" customWidth="1"/>
    <col min="5668" max="5668" width="14.5" style="1366" customWidth="1"/>
    <col min="5669" max="5669" width="12.6640625" style="1366" bestFit="1" customWidth="1"/>
    <col min="5670" max="5671" width="0" style="1366" hidden="1" customWidth="1"/>
    <col min="5672" max="5672" width="9.33203125" style="1366"/>
    <col min="5673" max="5673" width="14.5" style="1366" bestFit="1" customWidth="1"/>
    <col min="5674" max="5888" width="9.33203125" style="1366"/>
    <col min="5889" max="5889" width="12.1640625" style="1366" customWidth="1"/>
    <col min="5890" max="5890" width="30.83203125" style="1366" customWidth="1"/>
    <col min="5891" max="5891" width="13.83203125" style="1366" customWidth="1"/>
    <col min="5892" max="5892" width="14" style="1366" customWidth="1"/>
    <col min="5893" max="5893" width="13" style="1366" customWidth="1"/>
    <col min="5894" max="5894" width="14.6640625" style="1366" customWidth="1"/>
    <col min="5895" max="5895" width="11.83203125" style="1366" customWidth="1"/>
    <col min="5896" max="5896" width="11.6640625" style="1366" customWidth="1"/>
    <col min="5897" max="5897" width="12.5" style="1366" customWidth="1"/>
    <col min="5898" max="5898" width="11.33203125" style="1366" customWidth="1"/>
    <col min="5899" max="5899" width="17" style="1366" customWidth="1"/>
    <col min="5900" max="5900" width="12.1640625" style="1366" customWidth="1"/>
    <col min="5901" max="5906" width="13" style="1366" customWidth="1"/>
    <col min="5907" max="5907" width="13.1640625" style="1366" customWidth="1"/>
    <col min="5908" max="5908" width="15" style="1366" customWidth="1"/>
    <col min="5909" max="5909" width="12.5" style="1366" customWidth="1"/>
    <col min="5910" max="5910" width="11.6640625" style="1366" customWidth="1"/>
    <col min="5911" max="5911" width="14.1640625" style="1366" customWidth="1"/>
    <col min="5912" max="5912" width="12" style="1366" customWidth="1"/>
    <col min="5913" max="5913" width="8.5" style="1366" customWidth="1"/>
    <col min="5914" max="5914" width="10.1640625" style="1366" customWidth="1"/>
    <col min="5915" max="5915" width="10.6640625" style="1366" customWidth="1"/>
    <col min="5916" max="5916" width="8.5" style="1366" customWidth="1"/>
    <col min="5917" max="5917" width="10" style="1366" customWidth="1"/>
    <col min="5918" max="5919" width="8.5" style="1366" customWidth="1"/>
    <col min="5920" max="5920" width="10.83203125" style="1366" customWidth="1"/>
    <col min="5921" max="5921" width="9.5" style="1366" customWidth="1"/>
    <col min="5922" max="5922" width="9.33203125" style="1366" customWidth="1"/>
    <col min="5923" max="5923" width="13" style="1366" customWidth="1"/>
    <col min="5924" max="5924" width="14.5" style="1366" customWidth="1"/>
    <col min="5925" max="5925" width="12.6640625" style="1366" bestFit="1" customWidth="1"/>
    <col min="5926" max="5927" width="0" style="1366" hidden="1" customWidth="1"/>
    <col min="5928" max="5928" width="9.33203125" style="1366"/>
    <col min="5929" max="5929" width="14.5" style="1366" bestFit="1" customWidth="1"/>
    <col min="5930" max="6144" width="9.33203125" style="1366"/>
    <col min="6145" max="6145" width="12.1640625" style="1366" customWidth="1"/>
    <col min="6146" max="6146" width="30.83203125" style="1366" customWidth="1"/>
    <col min="6147" max="6147" width="13.83203125" style="1366" customWidth="1"/>
    <col min="6148" max="6148" width="14" style="1366" customWidth="1"/>
    <col min="6149" max="6149" width="13" style="1366" customWidth="1"/>
    <col min="6150" max="6150" width="14.6640625" style="1366" customWidth="1"/>
    <col min="6151" max="6151" width="11.83203125" style="1366" customWidth="1"/>
    <col min="6152" max="6152" width="11.6640625" style="1366" customWidth="1"/>
    <col min="6153" max="6153" width="12.5" style="1366" customWidth="1"/>
    <col min="6154" max="6154" width="11.33203125" style="1366" customWidth="1"/>
    <col min="6155" max="6155" width="17" style="1366" customWidth="1"/>
    <col min="6156" max="6156" width="12.1640625" style="1366" customWidth="1"/>
    <col min="6157" max="6162" width="13" style="1366" customWidth="1"/>
    <col min="6163" max="6163" width="13.1640625" style="1366" customWidth="1"/>
    <col min="6164" max="6164" width="15" style="1366" customWidth="1"/>
    <col min="6165" max="6165" width="12.5" style="1366" customWidth="1"/>
    <col min="6166" max="6166" width="11.6640625" style="1366" customWidth="1"/>
    <col min="6167" max="6167" width="14.1640625" style="1366" customWidth="1"/>
    <col min="6168" max="6168" width="12" style="1366" customWidth="1"/>
    <col min="6169" max="6169" width="8.5" style="1366" customWidth="1"/>
    <col min="6170" max="6170" width="10.1640625" style="1366" customWidth="1"/>
    <col min="6171" max="6171" width="10.6640625" style="1366" customWidth="1"/>
    <col min="6172" max="6172" width="8.5" style="1366" customWidth="1"/>
    <col min="6173" max="6173" width="10" style="1366" customWidth="1"/>
    <col min="6174" max="6175" width="8.5" style="1366" customWidth="1"/>
    <col min="6176" max="6176" width="10.83203125" style="1366" customWidth="1"/>
    <col min="6177" max="6177" width="9.5" style="1366" customWidth="1"/>
    <col min="6178" max="6178" width="9.33203125" style="1366" customWidth="1"/>
    <col min="6179" max="6179" width="13" style="1366" customWidth="1"/>
    <col min="6180" max="6180" width="14.5" style="1366" customWidth="1"/>
    <col min="6181" max="6181" width="12.6640625" style="1366" bestFit="1" customWidth="1"/>
    <col min="6182" max="6183" width="0" style="1366" hidden="1" customWidth="1"/>
    <col min="6184" max="6184" width="9.33203125" style="1366"/>
    <col min="6185" max="6185" width="14.5" style="1366" bestFit="1" customWidth="1"/>
    <col min="6186" max="6400" width="9.33203125" style="1366"/>
    <col min="6401" max="6401" width="12.1640625" style="1366" customWidth="1"/>
    <col min="6402" max="6402" width="30.83203125" style="1366" customWidth="1"/>
    <col min="6403" max="6403" width="13.83203125" style="1366" customWidth="1"/>
    <col min="6404" max="6404" width="14" style="1366" customWidth="1"/>
    <col min="6405" max="6405" width="13" style="1366" customWidth="1"/>
    <col min="6406" max="6406" width="14.6640625" style="1366" customWidth="1"/>
    <col min="6407" max="6407" width="11.83203125" style="1366" customWidth="1"/>
    <col min="6408" max="6408" width="11.6640625" style="1366" customWidth="1"/>
    <col min="6409" max="6409" width="12.5" style="1366" customWidth="1"/>
    <col min="6410" max="6410" width="11.33203125" style="1366" customWidth="1"/>
    <col min="6411" max="6411" width="17" style="1366" customWidth="1"/>
    <col min="6412" max="6412" width="12.1640625" style="1366" customWidth="1"/>
    <col min="6413" max="6418" width="13" style="1366" customWidth="1"/>
    <col min="6419" max="6419" width="13.1640625" style="1366" customWidth="1"/>
    <col min="6420" max="6420" width="15" style="1366" customWidth="1"/>
    <col min="6421" max="6421" width="12.5" style="1366" customWidth="1"/>
    <col min="6422" max="6422" width="11.6640625" style="1366" customWidth="1"/>
    <col min="6423" max="6423" width="14.1640625" style="1366" customWidth="1"/>
    <col min="6424" max="6424" width="12" style="1366" customWidth="1"/>
    <col min="6425" max="6425" width="8.5" style="1366" customWidth="1"/>
    <col min="6426" max="6426" width="10.1640625" style="1366" customWidth="1"/>
    <col min="6427" max="6427" width="10.6640625" style="1366" customWidth="1"/>
    <col min="6428" max="6428" width="8.5" style="1366" customWidth="1"/>
    <col min="6429" max="6429" width="10" style="1366" customWidth="1"/>
    <col min="6430" max="6431" width="8.5" style="1366" customWidth="1"/>
    <col min="6432" max="6432" width="10.83203125" style="1366" customWidth="1"/>
    <col min="6433" max="6433" width="9.5" style="1366" customWidth="1"/>
    <col min="6434" max="6434" width="9.33203125" style="1366" customWidth="1"/>
    <col min="6435" max="6435" width="13" style="1366" customWidth="1"/>
    <col min="6436" max="6436" width="14.5" style="1366" customWidth="1"/>
    <col min="6437" max="6437" width="12.6640625" style="1366" bestFit="1" customWidth="1"/>
    <col min="6438" max="6439" width="0" style="1366" hidden="1" customWidth="1"/>
    <col min="6440" max="6440" width="9.33203125" style="1366"/>
    <col min="6441" max="6441" width="14.5" style="1366" bestFit="1" customWidth="1"/>
    <col min="6442" max="6656" width="9.33203125" style="1366"/>
    <col min="6657" max="6657" width="12.1640625" style="1366" customWidth="1"/>
    <col min="6658" max="6658" width="30.83203125" style="1366" customWidth="1"/>
    <col min="6659" max="6659" width="13.83203125" style="1366" customWidth="1"/>
    <col min="6660" max="6660" width="14" style="1366" customWidth="1"/>
    <col min="6661" max="6661" width="13" style="1366" customWidth="1"/>
    <col min="6662" max="6662" width="14.6640625" style="1366" customWidth="1"/>
    <col min="6663" max="6663" width="11.83203125" style="1366" customWidth="1"/>
    <col min="6664" max="6664" width="11.6640625" style="1366" customWidth="1"/>
    <col min="6665" max="6665" width="12.5" style="1366" customWidth="1"/>
    <col min="6666" max="6666" width="11.33203125" style="1366" customWidth="1"/>
    <col min="6667" max="6667" width="17" style="1366" customWidth="1"/>
    <col min="6668" max="6668" width="12.1640625" style="1366" customWidth="1"/>
    <col min="6669" max="6674" width="13" style="1366" customWidth="1"/>
    <col min="6675" max="6675" width="13.1640625" style="1366" customWidth="1"/>
    <col min="6676" max="6676" width="15" style="1366" customWidth="1"/>
    <col min="6677" max="6677" width="12.5" style="1366" customWidth="1"/>
    <col min="6678" max="6678" width="11.6640625" style="1366" customWidth="1"/>
    <col min="6679" max="6679" width="14.1640625" style="1366" customWidth="1"/>
    <col min="6680" max="6680" width="12" style="1366" customWidth="1"/>
    <col min="6681" max="6681" width="8.5" style="1366" customWidth="1"/>
    <col min="6682" max="6682" width="10.1640625" style="1366" customWidth="1"/>
    <col min="6683" max="6683" width="10.6640625" style="1366" customWidth="1"/>
    <col min="6684" max="6684" width="8.5" style="1366" customWidth="1"/>
    <col min="6685" max="6685" width="10" style="1366" customWidth="1"/>
    <col min="6686" max="6687" width="8.5" style="1366" customWidth="1"/>
    <col min="6688" max="6688" width="10.83203125" style="1366" customWidth="1"/>
    <col min="6689" max="6689" width="9.5" style="1366" customWidth="1"/>
    <col min="6690" max="6690" width="9.33203125" style="1366" customWidth="1"/>
    <col min="6691" max="6691" width="13" style="1366" customWidth="1"/>
    <col min="6692" max="6692" width="14.5" style="1366" customWidth="1"/>
    <col min="6693" max="6693" width="12.6640625" style="1366" bestFit="1" customWidth="1"/>
    <col min="6694" max="6695" width="0" style="1366" hidden="1" customWidth="1"/>
    <col min="6696" max="6696" width="9.33203125" style="1366"/>
    <col min="6697" max="6697" width="14.5" style="1366" bestFit="1" customWidth="1"/>
    <col min="6698" max="6912" width="9.33203125" style="1366"/>
    <col min="6913" max="6913" width="12.1640625" style="1366" customWidth="1"/>
    <col min="6914" max="6914" width="30.83203125" style="1366" customWidth="1"/>
    <col min="6915" max="6915" width="13.83203125" style="1366" customWidth="1"/>
    <col min="6916" max="6916" width="14" style="1366" customWidth="1"/>
    <col min="6917" max="6917" width="13" style="1366" customWidth="1"/>
    <col min="6918" max="6918" width="14.6640625" style="1366" customWidth="1"/>
    <col min="6919" max="6919" width="11.83203125" style="1366" customWidth="1"/>
    <col min="6920" max="6920" width="11.6640625" style="1366" customWidth="1"/>
    <col min="6921" max="6921" width="12.5" style="1366" customWidth="1"/>
    <col min="6922" max="6922" width="11.33203125" style="1366" customWidth="1"/>
    <col min="6923" max="6923" width="17" style="1366" customWidth="1"/>
    <col min="6924" max="6924" width="12.1640625" style="1366" customWidth="1"/>
    <col min="6925" max="6930" width="13" style="1366" customWidth="1"/>
    <col min="6931" max="6931" width="13.1640625" style="1366" customWidth="1"/>
    <col min="6932" max="6932" width="15" style="1366" customWidth="1"/>
    <col min="6933" max="6933" width="12.5" style="1366" customWidth="1"/>
    <col min="6934" max="6934" width="11.6640625" style="1366" customWidth="1"/>
    <col min="6935" max="6935" width="14.1640625" style="1366" customWidth="1"/>
    <col min="6936" max="6936" width="12" style="1366" customWidth="1"/>
    <col min="6937" max="6937" width="8.5" style="1366" customWidth="1"/>
    <col min="6938" max="6938" width="10.1640625" style="1366" customWidth="1"/>
    <col min="6939" max="6939" width="10.6640625" style="1366" customWidth="1"/>
    <col min="6940" max="6940" width="8.5" style="1366" customWidth="1"/>
    <col min="6941" max="6941" width="10" style="1366" customWidth="1"/>
    <col min="6942" max="6943" width="8.5" style="1366" customWidth="1"/>
    <col min="6944" max="6944" width="10.83203125" style="1366" customWidth="1"/>
    <col min="6945" max="6945" width="9.5" style="1366" customWidth="1"/>
    <col min="6946" max="6946" width="9.33203125" style="1366" customWidth="1"/>
    <col min="6947" max="6947" width="13" style="1366" customWidth="1"/>
    <col min="6948" max="6948" width="14.5" style="1366" customWidth="1"/>
    <col min="6949" max="6949" width="12.6640625" style="1366" bestFit="1" customWidth="1"/>
    <col min="6950" max="6951" width="0" style="1366" hidden="1" customWidth="1"/>
    <col min="6952" max="6952" width="9.33203125" style="1366"/>
    <col min="6953" max="6953" width="14.5" style="1366" bestFit="1" customWidth="1"/>
    <col min="6954" max="7168" width="9.33203125" style="1366"/>
    <col min="7169" max="7169" width="12.1640625" style="1366" customWidth="1"/>
    <col min="7170" max="7170" width="30.83203125" style="1366" customWidth="1"/>
    <col min="7171" max="7171" width="13.83203125" style="1366" customWidth="1"/>
    <col min="7172" max="7172" width="14" style="1366" customWidth="1"/>
    <col min="7173" max="7173" width="13" style="1366" customWidth="1"/>
    <col min="7174" max="7174" width="14.6640625" style="1366" customWidth="1"/>
    <col min="7175" max="7175" width="11.83203125" style="1366" customWidth="1"/>
    <col min="7176" max="7176" width="11.6640625" style="1366" customWidth="1"/>
    <col min="7177" max="7177" width="12.5" style="1366" customWidth="1"/>
    <col min="7178" max="7178" width="11.33203125" style="1366" customWidth="1"/>
    <col min="7179" max="7179" width="17" style="1366" customWidth="1"/>
    <col min="7180" max="7180" width="12.1640625" style="1366" customWidth="1"/>
    <col min="7181" max="7186" width="13" style="1366" customWidth="1"/>
    <col min="7187" max="7187" width="13.1640625" style="1366" customWidth="1"/>
    <col min="7188" max="7188" width="15" style="1366" customWidth="1"/>
    <col min="7189" max="7189" width="12.5" style="1366" customWidth="1"/>
    <col min="7190" max="7190" width="11.6640625" style="1366" customWidth="1"/>
    <col min="7191" max="7191" width="14.1640625" style="1366" customWidth="1"/>
    <col min="7192" max="7192" width="12" style="1366" customWidth="1"/>
    <col min="7193" max="7193" width="8.5" style="1366" customWidth="1"/>
    <col min="7194" max="7194" width="10.1640625" style="1366" customWidth="1"/>
    <col min="7195" max="7195" width="10.6640625" style="1366" customWidth="1"/>
    <col min="7196" max="7196" width="8.5" style="1366" customWidth="1"/>
    <col min="7197" max="7197" width="10" style="1366" customWidth="1"/>
    <col min="7198" max="7199" width="8.5" style="1366" customWidth="1"/>
    <col min="7200" max="7200" width="10.83203125" style="1366" customWidth="1"/>
    <col min="7201" max="7201" width="9.5" style="1366" customWidth="1"/>
    <col min="7202" max="7202" width="9.33203125" style="1366" customWidth="1"/>
    <col min="7203" max="7203" width="13" style="1366" customWidth="1"/>
    <col min="7204" max="7204" width="14.5" style="1366" customWidth="1"/>
    <col min="7205" max="7205" width="12.6640625" style="1366" bestFit="1" customWidth="1"/>
    <col min="7206" max="7207" width="0" style="1366" hidden="1" customWidth="1"/>
    <col min="7208" max="7208" width="9.33203125" style="1366"/>
    <col min="7209" max="7209" width="14.5" style="1366" bestFit="1" customWidth="1"/>
    <col min="7210" max="7424" width="9.33203125" style="1366"/>
    <col min="7425" max="7425" width="12.1640625" style="1366" customWidth="1"/>
    <col min="7426" max="7426" width="30.83203125" style="1366" customWidth="1"/>
    <col min="7427" max="7427" width="13.83203125" style="1366" customWidth="1"/>
    <col min="7428" max="7428" width="14" style="1366" customWidth="1"/>
    <col min="7429" max="7429" width="13" style="1366" customWidth="1"/>
    <col min="7430" max="7430" width="14.6640625" style="1366" customWidth="1"/>
    <col min="7431" max="7431" width="11.83203125" style="1366" customWidth="1"/>
    <col min="7432" max="7432" width="11.6640625" style="1366" customWidth="1"/>
    <col min="7433" max="7433" width="12.5" style="1366" customWidth="1"/>
    <col min="7434" max="7434" width="11.33203125" style="1366" customWidth="1"/>
    <col min="7435" max="7435" width="17" style="1366" customWidth="1"/>
    <col min="7436" max="7436" width="12.1640625" style="1366" customWidth="1"/>
    <col min="7437" max="7442" width="13" style="1366" customWidth="1"/>
    <col min="7443" max="7443" width="13.1640625" style="1366" customWidth="1"/>
    <col min="7444" max="7444" width="15" style="1366" customWidth="1"/>
    <col min="7445" max="7445" width="12.5" style="1366" customWidth="1"/>
    <col min="7446" max="7446" width="11.6640625" style="1366" customWidth="1"/>
    <col min="7447" max="7447" width="14.1640625" style="1366" customWidth="1"/>
    <col min="7448" max="7448" width="12" style="1366" customWidth="1"/>
    <col min="7449" max="7449" width="8.5" style="1366" customWidth="1"/>
    <col min="7450" max="7450" width="10.1640625" style="1366" customWidth="1"/>
    <col min="7451" max="7451" width="10.6640625" style="1366" customWidth="1"/>
    <col min="7452" max="7452" width="8.5" style="1366" customWidth="1"/>
    <col min="7453" max="7453" width="10" style="1366" customWidth="1"/>
    <col min="7454" max="7455" width="8.5" style="1366" customWidth="1"/>
    <col min="7456" max="7456" width="10.83203125" style="1366" customWidth="1"/>
    <col min="7457" max="7457" width="9.5" style="1366" customWidth="1"/>
    <col min="7458" max="7458" width="9.33203125" style="1366" customWidth="1"/>
    <col min="7459" max="7459" width="13" style="1366" customWidth="1"/>
    <col min="7460" max="7460" width="14.5" style="1366" customWidth="1"/>
    <col min="7461" max="7461" width="12.6640625" style="1366" bestFit="1" customWidth="1"/>
    <col min="7462" max="7463" width="0" style="1366" hidden="1" customWidth="1"/>
    <col min="7464" max="7464" width="9.33203125" style="1366"/>
    <col min="7465" max="7465" width="14.5" style="1366" bestFit="1" customWidth="1"/>
    <col min="7466" max="7680" width="9.33203125" style="1366"/>
    <col min="7681" max="7681" width="12.1640625" style="1366" customWidth="1"/>
    <col min="7682" max="7682" width="30.83203125" style="1366" customWidth="1"/>
    <col min="7683" max="7683" width="13.83203125" style="1366" customWidth="1"/>
    <col min="7684" max="7684" width="14" style="1366" customWidth="1"/>
    <col min="7685" max="7685" width="13" style="1366" customWidth="1"/>
    <col min="7686" max="7686" width="14.6640625" style="1366" customWidth="1"/>
    <col min="7687" max="7687" width="11.83203125" style="1366" customWidth="1"/>
    <col min="7688" max="7688" width="11.6640625" style="1366" customWidth="1"/>
    <col min="7689" max="7689" width="12.5" style="1366" customWidth="1"/>
    <col min="7690" max="7690" width="11.33203125" style="1366" customWidth="1"/>
    <col min="7691" max="7691" width="17" style="1366" customWidth="1"/>
    <col min="7692" max="7692" width="12.1640625" style="1366" customWidth="1"/>
    <col min="7693" max="7698" width="13" style="1366" customWidth="1"/>
    <col min="7699" max="7699" width="13.1640625" style="1366" customWidth="1"/>
    <col min="7700" max="7700" width="15" style="1366" customWidth="1"/>
    <col min="7701" max="7701" width="12.5" style="1366" customWidth="1"/>
    <col min="7702" max="7702" width="11.6640625" style="1366" customWidth="1"/>
    <col min="7703" max="7703" width="14.1640625" style="1366" customWidth="1"/>
    <col min="7704" max="7704" width="12" style="1366" customWidth="1"/>
    <col min="7705" max="7705" width="8.5" style="1366" customWidth="1"/>
    <col min="7706" max="7706" width="10.1640625" style="1366" customWidth="1"/>
    <col min="7707" max="7707" width="10.6640625" style="1366" customWidth="1"/>
    <col min="7708" max="7708" width="8.5" style="1366" customWidth="1"/>
    <col min="7709" max="7709" width="10" style="1366" customWidth="1"/>
    <col min="7710" max="7711" width="8.5" style="1366" customWidth="1"/>
    <col min="7712" max="7712" width="10.83203125" style="1366" customWidth="1"/>
    <col min="7713" max="7713" width="9.5" style="1366" customWidth="1"/>
    <col min="7714" max="7714" width="9.33203125" style="1366" customWidth="1"/>
    <col min="7715" max="7715" width="13" style="1366" customWidth="1"/>
    <col min="7716" max="7716" width="14.5" style="1366" customWidth="1"/>
    <col min="7717" max="7717" width="12.6640625" style="1366" bestFit="1" customWidth="1"/>
    <col min="7718" max="7719" width="0" style="1366" hidden="1" customWidth="1"/>
    <col min="7720" max="7720" width="9.33203125" style="1366"/>
    <col min="7721" max="7721" width="14.5" style="1366" bestFit="1" customWidth="1"/>
    <col min="7722" max="7936" width="9.33203125" style="1366"/>
    <col min="7937" max="7937" width="12.1640625" style="1366" customWidth="1"/>
    <col min="7938" max="7938" width="30.83203125" style="1366" customWidth="1"/>
    <col min="7939" max="7939" width="13.83203125" style="1366" customWidth="1"/>
    <col min="7940" max="7940" width="14" style="1366" customWidth="1"/>
    <col min="7941" max="7941" width="13" style="1366" customWidth="1"/>
    <col min="7942" max="7942" width="14.6640625" style="1366" customWidth="1"/>
    <col min="7943" max="7943" width="11.83203125" style="1366" customWidth="1"/>
    <col min="7944" max="7944" width="11.6640625" style="1366" customWidth="1"/>
    <col min="7945" max="7945" width="12.5" style="1366" customWidth="1"/>
    <col min="7946" max="7946" width="11.33203125" style="1366" customWidth="1"/>
    <col min="7947" max="7947" width="17" style="1366" customWidth="1"/>
    <col min="7948" max="7948" width="12.1640625" style="1366" customWidth="1"/>
    <col min="7949" max="7954" width="13" style="1366" customWidth="1"/>
    <col min="7955" max="7955" width="13.1640625" style="1366" customWidth="1"/>
    <col min="7956" max="7956" width="15" style="1366" customWidth="1"/>
    <col min="7957" max="7957" width="12.5" style="1366" customWidth="1"/>
    <col min="7958" max="7958" width="11.6640625" style="1366" customWidth="1"/>
    <col min="7959" max="7959" width="14.1640625" style="1366" customWidth="1"/>
    <col min="7960" max="7960" width="12" style="1366" customWidth="1"/>
    <col min="7961" max="7961" width="8.5" style="1366" customWidth="1"/>
    <col min="7962" max="7962" width="10.1640625" style="1366" customWidth="1"/>
    <col min="7963" max="7963" width="10.6640625" style="1366" customWidth="1"/>
    <col min="7964" max="7964" width="8.5" style="1366" customWidth="1"/>
    <col min="7965" max="7965" width="10" style="1366" customWidth="1"/>
    <col min="7966" max="7967" width="8.5" style="1366" customWidth="1"/>
    <col min="7968" max="7968" width="10.83203125" style="1366" customWidth="1"/>
    <col min="7969" max="7969" width="9.5" style="1366" customWidth="1"/>
    <col min="7970" max="7970" width="9.33203125" style="1366" customWidth="1"/>
    <col min="7971" max="7971" width="13" style="1366" customWidth="1"/>
    <col min="7972" max="7972" width="14.5" style="1366" customWidth="1"/>
    <col min="7973" max="7973" width="12.6640625" style="1366" bestFit="1" customWidth="1"/>
    <col min="7974" max="7975" width="0" style="1366" hidden="1" customWidth="1"/>
    <col min="7976" max="7976" width="9.33203125" style="1366"/>
    <col min="7977" max="7977" width="14.5" style="1366" bestFit="1" customWidth="1"/>
    <col min="7978" max="8192" width="9.33203125" style="1366"/>
    <col min="8193" max="8193" width="12.1640625" style="1366" customWidth="1"/>
    <col min="8194" max="8194" width="30.83203125" style="1366" customWidth="1"/>
    <col min="8195" max="8195" width="13.83203125" style="1366" customWidth="1"/>
    <col min="8196" max="8196" width="14" style="1366" customWidth="1"/>
    <col min="8197" max="8197" width="13" style="1366" customWidth="1"/>
    <col min="8198" max="8198" width="14.6640625" style="1366" customWidth="1"/>
    <col min="8199" max="8199" width="11.83203125" style="1366" customWidth="1"/>
    <col min="8200" max="8200" width="11.6640625" style="1366" customWidth="1"/>
    <col min="8201" max="8201" width="12.5" style="1366" customWidth="1"/>
    <col min="8202" max="8202" width="11.33203125" style="1366" customWidth="1"/>
    <col min="8203" max="8203" width="17" style="1366" customWidth="1"/>
    <col min="8204" max="8204" width="12.1640625" style="1366" customWidth="1"/>
    <col min="8205" max="8210" width="13" style="1366" customWidth="1"/>
    <col min="8211" max="8211" width="13.1640625" style="1366" customWidth="1"/>
    <col min="8212" max="8212" width="15" style="1366" customWidth="1"/>
    <col min="8213" max="8213" width="12.5" style="1366" customWidth="1"/>
    <col min="8214" max="8214" width="11.6640625" style="1366" customWidth="1"/>
    <col min="8215" max="8215" width="14.1640625" style="1366" customWidth="1"/>
    <col min="8216" max="8216" width="12" style="1366" customWidth="1"/>
    <col min="8217" max="8217" width="8.5" style="1366" customWidth="1"/>
    <col min="8218" max="8218" width="10.1640625" style="1366" customWidth="1"/>
    <col min="8219" max="8219" width="10.6640625" style="1366" customWidth="1"/>
    <col min="8220" max="8220" width="8.5" style="1366" customWidth="1"/>
    <col min="8221" max="8221" width="10" style="1366" customWidth="1"/>
    <col min="8222" max="8223" width="8.5" style="1366" customWidth="1"/>
    <col min="8224" max="8224" width="10.83203125" style="1366" customWidth="1"/>
    <col min="8225" max="8225" width="9.5" style="1366" customWidth="1"/>
    <col min="8226" max="8226" width="9.33203125" style="1366" customWidth="1"/>
    <col min="8227" max="8227" width="13" style="1366" customWidth="1"/>
    <col min="8228" max="8228" width="14.5" style="1366" customWidth="1"/>
    <col min="8229" max="8229" width="12.6640625" style="1366" bestFit="1" customWidth="1"/>
    <col min="8230" max="8231" width="0" style="1366" hidden="1" customWidth="1"/>
    <col min="8232" max="8232" width="9.33203125" style="1366"/>
    <col min="8233" max="8233" width="14.5" style="1366" bestFit="1" customWidth="1"/>
    <col min="8234" max="8448" width="9.33203125" style="1366"/>
    <col min="8449" max="8449" width="12.1640625" style="1366" customWidth="1"/>
    <col min="8450" max="8450" width="30.83203125" style="1366" customWidth="1"/>
    <col min="8451" max="8451" width="13.83203125" style="1366" customWidth="1"/>
    <col min="8452" max="8452" width="14" style="1366" customWidth="1"/>
    <col min="8453" max="8453" width="13" style="1366" customWidth="1"/>
    <col min="8454" max="8454" width="14.6640625" style="1366" customWidth="1"/>
    <col min="8455" max="8455" width="11.83203125" style="1366" customWidth="1"/>
    <col min="8456" max="8456" width="11.6640625" style="1366" customWidth="1"/>
    <col min="8457" max="8457" width="12.5" style="1366" customWidth="1"/>
    <col min="8458" max="8458" width="11.33203125" style="1366" customWidth="1"/>
    <col min="8459" max="8459" width="17" style="1366" customWidth="1"/>
    <col min="8460" max="8460" width="12.1640625" style="1366" customWidth="1"/>
    <col min="8461" max="8466" width="13" style="1366" customWidth="1"/>
    <col min="8467" max="8467" width="13.1640625" style="1366" customWidth="1"/>
    <col min="8468" max="8468" width="15" style="1366" customWidth="1"/>
    <col min="8469" max="8469" width="12.5" style="1366" customWidth="1"/>
    <col min="8470" max="8470" width="11.6640625" style="1366" customWidth="1"/>
    <col min="8471" max="8471" width="14.1640625" style="1366" customWidth="1"/>
    <col min="8472" max="8472" width="12" style="1366" customWidth="1"/>
    <col min="8473" max="8473" width="8.5" style="1366" customWidth="1"/>
    <col min="8474" max="8474" width="10.1640625" style="1366" customWidth="1"/>
    <col min="8475" max="8475" width="10.6640625" style="1366" customWidth="1"/>
    <col min="8476" max="8476" width="8.5" style="1366" customWidth="1"/>
    <col min="8477" max="8477" width="10" style="1366" customWidth="1"/>
    <col min="8478" max="8479" width="8.5" style="1366" customWidth="1"/>
    <col min="8480" max="8480" width="10.83203125" style="1366" customWidth="1"/>
    <col min="8481" max="8481" width="9.5" style="1366" customWidth="1"/>
    <col min="8482" max="8482" width="9.33203125" style="1366" customWidth="1"/>
    <col min="8483" max="8483" width="13" style="1366" customWidth="1"/>
    <col min="8484" max="8484" width="14.5" style="1366" customWidth="1"/>
    <col min="8485" max="8485" width="12.6640625" style="1366" bestFit="1" customWidth="1"/>
    <col min="8486" max="8487" width="0" style="1366" hidden="1" customWidth="1"/>
    <col min="8488" max="8488" width="9.33203125" style="1366"/>
    <col min="8489" max="8489" width="14.5" style="1366" bestFit="1" customWidth="1"/>
    <col min="8490" max="8704" width="9.33203125" style="1366"/>
    <col min="8705" max="8705" width="12.1640625" style="1366" customWidth="1"/>
    <col min="8706" max="8706" width="30.83203125" style="1366" customWidth="1"/>
    <col min="8707" max="8707" width="13.83203125" style="1366" customWidth="1"/>
    <col min="8708" max="8708" width="14" style="1366" customWidth="1"/>
    <col min="8709" max="8709" width="13" style="1366" customWidth="1"/>
    <col min="8710" max="8710" width="14.6640625" style="1366" customWidth="1"/>
    <col min="8711" max="8711" width="11.83203125" style="1366" customWidth="1"/>
    <col min="8712" max="8712" width="11.6640625" style="1366" customWidth="1"/>
    <col min="8713" max="8713" width="12.5" style="1366" customWidth="1"/>
    <col min="8714" max="8714" width="11.33203125" style="1366" customWidth="1"/>
    <col min="8715" max="8715" width="17" style="1366" customWidth="1"/>
    <col min="8716" max="8716" width="12.1640625" style="1366" customWidth="1"/>
    <col min="8717" max="8722" width="13" style="1366" customWidth="1"/>
    <col min="8723" max="8723" width="13.1640625" style="1366" customWidth="1"/>
    <col min="8724" max="8724" width="15" style="1366" customWidth="1"/>
    <col min="8725" max="8725" width="12.5" style="1366" customWidth="1"/>
    <col min="8726" max="8726" width="11.6640625" style="1366" customWidth="1"/>
    <col min="8727" max="8727" width="14.1640625" style="1366" customWidth="1"/>
    <col min="8728" max="8728" width="12" style="1366" customWidth="1"/>
    <col min="8729" max="8729" width="8.5" style="1366" customWidth="1"/>
    <col min="8730" max="8730" width="10.1640625" style="1366" customWidth="1"/>
    <col min="8731" max="8731" width="10.6640625" style="1366" customWidth="1"/>
    <col min="8732" max="8732" width="8.5" style="1366" customWidth="1"/>
    <col min="8733" max="8733" width="10" style="1366" customWidth="1"/>
    <col min="8734" max="8735" width="8.5" style="1366" customWidth="1"/>
    <col min="8736" max="8736" width="10.83203125" style="1366" customWidth="1"/>
    <col min="8737" max="8737" width="9.5" style="1366" customWidth="1"/>
    <col min="8738" max="8738" width="9.33203125" style="1366" customWidth="1"/>
    <col min="8739" max="8739" width="13" style="1366" customWidth="1"/>
    <col min="8740" max="8740" width="14.5" style="1366" customWidth="1"/>
    <col min="8741" max="8741" width="12.6640625" style="1366" bestFit="1" customWidth="1"/>
    <col min="8742" max="8743" width="0" style="1366" hidden="1" customWidth="1"/>
    <col min="8744" max="8744" width="9.33203125" style="1366"/>
    <col min="8745" max="8745" width="14.5" style="1366" bestFit="1" customWidth="1"/>
    <col min="8746" max="8960" width="9.33203125" style="1366"/>
    <col min="8961" max="8961" width="12.1640625" style="1366" customWidth="1"/>
    <col min="8962" max="8962" width="30.83203125" style="1366" customWidth="1"/>
    <col min="8963" max="8963" width="13.83203125" style="1366" customWidth="1"/>
    <col min="8964" max="8964" width="14" style="1366" customWidth="1"/>
    <col min="8965" max="8965" width="13" style="1366" customWidth="1"/>
    <col min="8966" max="8966" width="14.6640625" style="1366" customWidth="1"/>
    <col min="8967" max="8967" width="11.83203125" style="1366" customWidth="1"/>
    <col min="8968" max="8968" width="11.6640625" style="1366" customWidth="1"/>
    <col min="8969" max="8969" width="12.5" style="1366" customWidth="1"/>
    <col min="8970" max="8970" width="11.33203125" style="1366" customWidth="1"/>
    <col min="8971" max="8971" width="17" style="1366" customWidth="1"/>
    <col min="8972" max="8972" width="12.1640625" style="1366" customWidth="1"/>
    <col min="8973" max="8978" width="13" style="1366" customWidth="1"/>
    <col min="8979" max="8979" width="13.1640625" style="1366" customWidth="1"/>
    <col min="8980" max="8980" width="15" style="1366" customWidth="1"/>
    <col min="8981" max="8981" width="12.5" style="1366" customWidth="1"/>
    <col min="8982" max="8982" width="11.6640625" style="1366" customWidth="1"/>
    <col min="8983" max="8983" width="14.1640625" style="1366" customWidth="1"/>
    <col min="8984" max="8984" width="12" style="1366" customWidth="1"/>
    <col min="8985" max="8985" width="8.5" style="1366" customWidth="1"/>
    <col min="8986" max="8986" width="10.1640625" style="1366" customWidth="1"/>
    <col min="8987" max="8987" width="10.6640625" style="1366" customWidth="1"/>
    <col min="8988" max="8988" width="8.5" style="1366" customWidth="1"/>
    <col min="8989" max="8989" width="10" style="1366" customWidth="1"/>
    <col min="8990" max="8991" width="8.5" style="1366" customWidth="1"/>
    <col min="8992" max="8992" width="10.83203125" style="1366" customWidth="1"/>
    <col min="8993" max="8993" width="9.5" style="1366" customWidth="1"/>
    <col min="8994" max="8994" width="9.33203125" style="1366" customWidth="1"/>
    <col min="8995" max="8995" width="13" style="1366" customWidth="1"/>
    <col min="8996" max="8996" width="14.5" style="1366" customWidth="1"/>
    <col min="8997" max="8997" width="12.6640625" style="1366" bestFit="1" customWidth="1"/>
    <col min="8998" max="8999" width="0" style="1366" hidden="1" customWidth="1"/>
    <col min="9000" max="9000" width="9.33203125" style="1366"/>
    <col min="9001" max="9001" width="14.5" style="1366" bestFit="1" customWidth="1"/>
    <col min="9002" max="9216" width="9.33203125" style="1366"/>
    <col min="9217" max="9217" width="12.1640625" style="1366" customWidth="1"/>
    <col min="9218" max="9218" width="30.83203125" style="1366" customWidth="1"/>
    <col min="9219" max="9219" width="13.83203125" style="1366" customWidth="1"/>
    <col min="9220" max="9220" width="14" style="1366" customWidth="1"/>
    <col min="9221" max="9221" width="13" style="1366" customWidth="1"/>
    <col min="9222" max="9222" width="14.6640625" style="1366" customWidth="1"/>
    <col min="9223" max="9223" width="11.83203125" style="1366" customWidth="1"/>
    <col min="9224" max="9224" width="11.6640625" style="1366" customWidth="1"/>
    <col min="9225" max="9225" width="12.5" style="1366" customWidth="1"/>
    <col min="9226" max="9226" width="11.33203125" style="1366" customWidth="1"/>
    <col min="9227" max="9227" width="17" style="1366" customWidth="1"/>
    <col min="9228" max="9228" width="12.1640625" style="1366" customWidth="1"/>
    <col min="9229" max="9234" width="13" style="1366" customWidth="1"/>
    <col min="9235" max="9235" width="13.1640625" style="1366" customWidth="1"/>
    <col min="9236" max="9236" width="15" style="1366" customWidth="1"/>
    <col min="9237" max="9237" width="12.5" style="1366" customWidth="1"/>
    <col min="9238" max="9238" width="11.6640625" style="1366" customWidth="1"/>
    <col min="9239" max="9239" width="14.1640625" style="1366" customWidth="1"/>
    <col min="9240" max="9240" width="12" style="1366" customWidth="1"/>
    <col min="9241" max="9241" width="8.5" style="1366" customWidth="1"/>
    <col min="9242" max="9242" width="10.1640625" style="1366" customWidth="1"/>
    <col min="9243" max="9243" width="10.6640625" style="1366" customWidth="1"/>
    <col min="9244" max="9244" width="8.5" style="1366" customWidth="1"/>
    <col min="9245" max="9245" width="10" style="1366" customWidth="1"/>
    <col min="9246" max="9247" width="8.5" style="1366" customWidth="1"/>
    <col min="9248" max="9248" width="10.83203125" style="1366" customWidth="1"/>
    <col min="9249" max="9249" width="9.5" style="1366" customWidth="1"/>
    <col min="9250" max="9250" width="9.33203125" style="1366" customWidth="1"/>
    <col min="9251" max="9251" width="13" style="1366" customWidth="1"/>
    <col min="9252" max="9252" width="14.5" style="1366" customWidth="1"/>
    <col min="9253" max="9253" width="12.6640625" style="1366" bestFit="1" customWidth="1"/>
    <col min="9254" max="9255" width="0" style="1366" hidden="1" customWidth="1"/>
    <col min="9256" max="9256" width="9.33203125" style="1366"/>
    <col min="9257" max="9257" width="14.5" style="1366" bestFit="1" customWidth="1"/>
    <col min="9258" max="9472" width="9.33203125" style="1366"/>
    <col min="9473" max="9473" width="12.1640625" style="1366" customWidth="1"/>
    <col min="9474" max="9474" width="30.83203125" style="1366" customWidth="1"/>
    <col min="9475" max="9475" width="13.83203125" style="1366" customWidth="1"/>
    <col min="9476" max="9476" width="14" style="1366" customWidth="1"/>
    <col min="9477" max="9477" width="13" style="1366" customWidth="1"/>
    <col min="9478" max="9478" width="14.6640625" style="1366" customWidth="1"/>
    <col min="9479" max="9479" width="11.83203125" style="1366" customWidth="1"/>
    <col min="9480" max="9480" width="11.6640625" style="1366" customWidth="1"/>
    <col min="9481" max="9481" width="12.5" style="1366" customWidth="1"/>
    <col min="9482" max="9482" width="11.33203125" style="1366" customWidth="1"/>
    <col min="9483" max="9483" width="17" style="1366" customWidth="1"/>
    <col min="9484" max="9484" width="12.1640625" style="1366" customWidth="1"/>
    <col min="9485" max="9490" width="13" style="1366" customWidth="1"/>
    <col min="9491" max="9491" width="13.1640625" style="1366" customWidth="1"/>
    <col min="9492" max="9492" width="15" style="1366" customWidth="1"/>
    <col min="9493" max="9493" width="12.5" style="1366" customWidth="1"/>
    <col min="9494" max="9494" width="11.6640625" style="1366" customWidth="1"/>
    <col min="9495" max="9495" width="14.1640625" style="1366" customWidth="1"/>
    <col min="9496" max="9496" width="12" style="1366" customWidth="1"/>
    <col min="9497" max="9497" width="8.5" style="1366" customWidth="1"/>
    <col min="9498" max="9498" width="10.1640625" style="1366" customWidth="1"/>
    <col min="9499" max="9499" width="10.6640625" style="1366" customWidth="1"/>
    <col min="9500" max="9500" width="8.5" style="1366" customWidth="1"/>
    <col min="9501" max="9501" width="10" style="1366" customWidth="1"/>
    <col min="9502" max="9503" width="8.5" style="1366" customWidth="1"/>
    <col min="9504" max="9504" width="10.83203125" style="1366" customWidth="1"/>
    <col min="9505" max="9505" width="9.5" style="1366" customWidth="1"/>
    <col min="9506" max="9506" width="9.33203125" style="1366" customWidth="1"/>
    <col min="9507" max="9507" width="13" style="1366" customWidth="1"/>
    <col min="9508" max="9508" width="14.5" style="1366" customWidth="1"/>
    <col min="9509" max="9509" width="12.6640625" style="1366" bestFit="1" customWidth="1"/>
    <col min="9510" max="9511" width="0" style="1366" hidden="1" customWidth="1"/>
    <col min="9512" max="9512" width="9.33203125" style="1366"/>
    <col min="9513" max="9513" width="14.5" style="1366" bestFit="1" customWidth="1"/>
    <col min="9514" max="9728" width="9.33203125" style="1366"/>
    <col min="9729" max="9729" width="12.1640625" style="1366" customWidth="1"/>
    <col min="9730" max="9730" width="30.83203125" style="1366" customWidth="1"/>
    <col min="9731" max="9731" width="13.83203125" style="1366" customWidth="1"/>
    <col min="9732" max="9732" width="14" style="1366" customWidth="1"/>
    <col min="9733" max="9733" width="13" style="1366" customWidth="1"/>
    <col min="9734" max="9734" width="14.6640625" style="1366" customWidth="1"/>
    <col min="9735" max="9735" width="11.83203125" style="1366" customWidth="1"/>
    <col min="9736" max="9736" width="11.6640625" style="1366" customWidth="1"/>
    <col min="9737" max="9737" width="12.5" style="1366" customWidth="1"/>
    <col min="9738" max="9738" width="11.33203125" style="1366" customWidth="1"/>
    <col min="9739" max="9739" width="17" style="1366" customWidth="1"/>
    <col min="9740" max="9740" width="12.1640625" style="1366" customWidth="1"/>
    <col min="9741" max="9746" width="13" style="1366" customWidth="1"/>
    <col min="9747" max="9747" width="13.1640625" style="1366" customWidth="1"/>
    <col min="9748" max="9748" width="15" style="1366" customWidth="1"/>
    <col min="9749" max="9749" width="12.5" style="1366" customWidth="1"/>
    <col min="9750" max="9750" width="11.6640625" style="1366" customWidth="1"/>
    <col min="9751" max="9751" width="14.1640625" style="1366" customWidth="1"/>
    <col min="9752" max="9752" width="12" style="1366" customWidth="1"/>
    <col min="9753" max="9753" width="8.5" style="1366" customWidth="1"/>
    <col min="9754" max="9754" width="10.1640625" style="1366" customWidth="1"/>
    <col min="9755" max="9755" width="10.6640625" style="1366" customWidth="1"/>
    <col min="9756" max="9756" width="8.5" style="1366" customWidth="1"/>
    <col min="9757" max="9757" width="10" style="1366" customWidth="1"/>
    <col min="9758" max="9759" width="8.5" style="1366" customWidth="1"/>
    <col min="9760" max="9760" width="10.83203125" style="1366" customWidth="1"/>
    <col min="9761" max="9761" width="9.5" style="1366" customWidth="1"/>
    <col min="9762" max="9762" width="9.33203125" style="1366" customWidth="1"/>
    <col min="9763" max="9763" width="13" style="1366" customWidth="1"/>
    <col min="9764" max="9764" width="14.5" style="1366" customWidth="1"/>
    <col min="9765" max="9765" width="12.6640625" style="1366" bestFit="1" customWidth="1"/>
    <col min="9766" max="9767" width="0" style="1366" hidden="1" customWidth="1"/>
    <col min="9768" max="9768" width="9.33203125" style="1366"/>
    <col min="9769" max="9769" width="14.5" style="1366" bestFit="1" customWidth="1"/>
    <col min="9770" max="9984" width="9.33203125" style="1366"/>
    <col min="9985" max="9985" width="12.1640625" style="1366" customWidth="1"/>
    <col min="9986" max="9986" width="30.83203125" style="1366" customWidth="1"/>
    <col min="9987" max="9987" width="13.83203125" style="1366" customWidth="1"/>
    <col min="9988" max="9988" width="14" style="1366" customWidth="1"/>
    <col min="9989" max="9989" width="13" style="1366" customWidth="1"/>
    <col min="9990" max="9990" width="14.6640625" style="1366" customWidth="1"/>
    <col min="9991" max="9991" width="11.83203125" style="1366" customWidth="1"/>
    <col min="9992" max="9992" width="11.6640625" style="1366" customWidth="1"/>
    <col min="9993" max="9993" width="12.5" style="1366" customWidth="1"/>
    <col min="9994" max="9994" width="11.33203125" style="1366" customWidth="1"/>
    <col min="9995" max="9995" width="17" style="1366" customWidth="1"/>
    <col min="9996" max="9996" width="12.1640625" style="1366" customWidth="1"/>
    <col min="9997" max="10002" width="13" style="1366" customWidth="1"/>
    <col min="10003" max="10003" width="13.1640625" style="1366" customWidth="1"/>
    <col min="10004" max="10004" width="15" style="1366" customWidth="1"/>
    <col min="10005" max="10005" width="12.5" style="1366" customWidth="1"/>
    <col min="10006" max="10006" width="11.6640625" style="1366" customWidth="1"/>
    <col min="10007" max="10007" width="14.1640625" style="1366" customWidth="1"/>
    <col min="10008" max="10008" width="12" style="1366" customWidth="1"/>
    <col min="10009" max="10009" width="8.5" style="1366" customWidth="1"/>
    <col min="10010" max="10010" width="10.1640625" style="1366" customWidth="1"/>
    <col min="10011" max="10011" width="10.6640625" style="1366" customWidth="1"/>
    <col min="10012" max="10012" width="8.5" style="1366" customWidth="1"/>
    <col min="10013" max="10013" width="10" style="1366" customWidth="1"/>
    <col min="10014" max="10015" width="8.5" style="1366" customWidth="1"/>
    <col min="10016" max="10016" width="10.83203125" style="1366" customWidth="1"/>
    <col min="10017" max="10017" width="9.5" style="1366" customWidth="1"/>
    <col min="10018" max="10018" width="9.33203125" style="1366" customWidth="1"/>
    <col min="10019" max="10019" width="13" style="1366" customWidth="1"/>
    <col min="10020" max="10020" width="14.5" style="1366" customWidth="1"/>
    <col min="10021" max="10021" width="12.6640625" style="1366" bestFit="1" customWidth="1"/>
    <col min="10022" max="10023" width="0" style="1366" hidden="1" customWidth="1"/>
    <col min="10024" max="10024" width="9.33203125" style="1366"/>
    <col min="10025" max="10025" width="14.5" style="1366" bestFit="1" customWidth="1"/>
    <col min="10026" max="10240" width="9.33203125" style="1366"/>
    <col min="10241" max="10241" width="12.1640625" style="1366" customWidth="1"/>
    <col min="10242" max="10242" width="30.83203125" style="1366" customWidth="1"/>
    <col min="10243" max="10243" width="13.83203125" style="1366" customWidth="1"/>
    <col min="10244" max="10244" width="14" style="1366" customWidth="1"/>
    <col min="10245" max="10245" width="13" style="1366" customWidth="1"/>
    <col min="10246" max="10246" width="14.6640625" style="1366" customWidth="1"/>
    <col min="10247" max="10247" width="11.83203125" style="1366" customWidth="1"/>
    <col min="10248" max="10248" width="11.6640625" style="1366" customWidth="1"/>
    <col min="10249" max="10249" width="12.5" style="1366" customWidth="1"/>
    <col min="10250" max="10250" width="11.33203125" style="1366" customWidth="1"/>
    <col min="10251" max="10251" width="17" style="1366" customWidth="1"/>
    <col min="10252" max="10252" width="12.1640625" style="1366" customWidth="1"/>
    <col min="10253" max="10258" width="13" style="1366" customWidth="1"/>
    <col min="10259" max="10259" width="13.1640625" style="1366" customWidth="1"/>
    <col min="10260" max="10260" width="15" style="1366" customWidth="1"/>
    <col min="10261" max="10261" width="12.5" style="1366" customWidth="1"/>
    <col min="10262" max="10262" width="11.6640625" style="1366" customWidth="1"/>
    <col min="10263" max="10263" width="14.1640625" style="1366" customWidth="1"/>
    <col min="10264" max="10264" width="12" style="1366" customWidth="1"/>
    <col min="10265" max="10265" width="8.5" style="1366" customWidth="1"/>
    <col min="10266" max="10266" width="10.1640625" style="1366" customWidth="1"/>
    <col min="10267" max="10267" width="10.6640625" style="1366" customWidth="1"/>
    <col min="10268" max="10268" width="8.5" style="1366" customWidth="1"/>
    <col min="10269" max="10269" width="10" style="1366" customWidth="1"/>
    <col min="10270" max="10271" width="8.5" style="1366" customWidth="1"/>
    <col min="10272" max="10272" width="10.83203125" style="1366" customWidth="1"/>
    <col min="10273" max="10273" width="9.5" style="1366" customWidth="1"/>
    <col min="10274" max="10274" width="9.33203125" style="1366" customWidth="1"/>
    <col min="10275" max="10275" width="13" style="1366" customWidth="1"/>
    <col min="10276" max="10276" width="14.5" style="1366" customWidth="1"/>
    <col min="10277" max="10277" width="12.6640625" style="1366" bestFit="1" customWidth="1"/>
    <col min="10278" max="10279" width="0" style="1366" hidden="1" customWidth="1"/>
    <col min="10280" max="10280" width="9.33203125" style="1366"/>
    <col min="10281" max="10281" width="14.5" style="1366" bestFit="1" customWidth="1"/>
    <col min="10282" max="10496" width="9.33203125" style="1366"/>
    <col min="10497" max="10497" width="12.1640625" style="1366" customWidth="1"/>
    <col min="10498" max="10498" width="30.83203125" style="1366" customWidth="1"/>
    <col min="10499" max="10499" width="13.83203125" style="1366" customWidth="1"/>
    <col min="10500" max="10500" width="14" style="1366" customWidth="1"/>
    <col min="10501" max="10501" width="13" style="1366" customWidth="1"/>
    <col min="10502" max="10502" width="14.6640625" style="1366" customWidth="1"/>
    <col min="10503" max="10503" width="11.83203125" style="1366" customWidth="1"/>
    <col min="10504" max="10504" width="11.6640625" style="1366" customWidth="1"/>
    <col min="10505" max="10505" width="12.5" style="1366" customWidth="1"/>
    <col min="10506" max="10506" width="11.33203125" style="1366" customWidth="1"/>
    <col min="10507" max="10507" width="17" style="1366" customWidth="1"/>
    <col min="10508" max="10508" width="12.1640625" style="1366" customWidth="1"/>
    <col min="10509" max="10514" width="13" style="1366" customWidth="1"/>
    <col min="10515" max="10515" width="13.1640625" style="1366" customWidth="1"/>
    <col min="10516" max="10516" width="15" style="1366" customWidth="1"/>
    <col min="10517" max="10517" width="12.5" style="1366" customWidth="1"/>
    <col min="10518" max="10518" width="11.6640625" style="1366" customWidth="1"/>
    <col min="10519" max="10519" width="14.1640625" style="1366" customWidth="1"/>
    <col min="10520" max="10520" width="12" style="1366" customWidth="1"/>
    <col min="10521" max="10521" width="8.5" style="1366" customWidth="1"/>
    <col min="10522" max="10522" width="10.1640625" style="1366" customWidth="1"/>
    <col min="10523" max="10523" width="10.6640625" style="1366" customWidth="1"/>
    <col min="10524" max="10524" width="8.5" style="1366" customWidth="1"/>
    <col min="10525" max="10525" width="10" style="1366" customWidth="1"/>
    <col min="10526" max="10527" width="8.5" style="1366" customWidth="1"/>
    <col min="10528" max="10528" width="10.83203125" style="1366" customWidth="1"/>
    <col min="10529" max="10529" width="9.5" style="1366" customWidth="1"/>
    <col min="10530" max="10530" width="9.33203125" style="1366" customWidth="1"/>
    <col min="10531" max="10531" width="13" style="1366" customWidth="1"/>
    <col min="10532" max="10532" width="14.5" style="1366" customWidth="1"/>
    <col min="10533" max="10533" width="12.6640625" style="1366" bestFit="1" customWidth="1"/>
    <col min="10534" max="10535" width="0" style="1366" hidden="1" customWidth="1"/>
    <col min="10536" max="10536" width="9.33203125" style="1366"/>
    <col min="10537" max="10537" width="14.5" style="1366" bestFit="1" customWidth="1"/>
    <col min="10538" max="10752" width="9.33203125" style="1366"/>
    <col min="10753" max="10753" width="12.1640625" style="1366" customWidth="1"/>
    <col min="10754" max="10754" width="30.83203125" style="1366" customWidth="1"/>
    <col min="10755" max="10755" width="13.83203125" style="1366" customWidth="1"/>
    <col min="10756" max="10756" width="14" style="1366" customWidth="1"/>
    <col min="10757" max="10757" width="13" style="1366" customWidth="1"/>
    <col min="10758" max="10758" width="14.6640625" style="1366" customWidth="1"/>
    <col min="10759" max="10759" width="11.83203125" style="1366" customWidth="1"/>
    <col min="10760" max="10760" width="11.6640625" style="1366" customWidth="1"/>
    <col min="10761" max="10761" width="12.5" style="1366" customWidth="1"/>
    <col min="10762" max="10762" width="11.33203125" style="1366" customWidth="1"/>
    <col min="10763" max="10763" width="17" style="1366" customWidth="1"/>
    <col min="10764" max="10764" width="12.1640625" style="1366" customWidth="1"/>
    <col min="10765" max="10770" width="13" style="1366" customWidth="1"/>
    <col min="10771" max="10771" width="13.1640625" style="1366" customWidth="1"/>
    <col min="10772" max="10772" width="15" style="1366" customWidth="1"/>
    <col min="10773" max="10773" width="12.5" style="1366" customWidth="1"/>
    <col min="10774" max="10774" width="11.6640625" style="1366" customWidth="1"/>
    <col min="10775" max="10775" width="14.1640625" style="1366" customWidth="1"/>
    <col min="10776" max="10776" width="12" style="1366" customWidth="1"/>
    <col min="10777" max="10777" width="8.5" style="1366" customWidth="1"/>
    <col min="10778" max="10778" width="10.1640625" style="1366" customWidth="1"/>
    <col min="10779" max="10779" width="10.6640625" style="1366" customWidth="1"/>
    <col min="10780" max="10780" width="8.5" style="1366" customWidth="1"/>
    <col min="10781" max="10781" width="10" style="1366" customWidth="1"/>
    <col min="10782" max="10783" width="8.5" style="1366" customWidth="1"/>
    <col min="10784" max="10784" width="10.83203125" style="1366" customWidth="1"/>
    <col min="10785" max="10785" width="9.5" style="1366" customWidth="1"/>
    <col min="10786" max="10786" width="9.33203125" style="1366" customWidth="1"/>
    <col min="10787" max="10787" width="13" style="1366" customWidth="1"/>
    <col min="10788" max="10788" width="14.5" style="1366" customWidth="1"/>
    <col min="10789" max="10789" width="12.6640625" style="1366" bestFit="1" customWidth="1"/>
    <col min="10790" max="10791" width="0" style="1366" hidden="1" customWidth="1"/>
    <col min="10792" max="10792" width="9.33203125" style="1366"/>
    <col min="10793" max="10793" width="14.5" style="1366" bestFit="1" customWidth="1"/>
    <col min="10794" max="11008" width="9.33203125" style="1366"/>
    <col min="11009" max="11009" width="12.1640625" style="1366" customWidth="1"/>
    <col min="11010" max="11010" width="30.83203125" style="1366" customWidth="1"/>
    <col min="11011" max="11011" width="13.83203125" style="1366" customWidth="1"/>
    <col min="11012" max="11012" width="14" style="1366" customWidth="1"/>
    <col min="11013" max="11013" width="13" style="1366" customWidth="1"/>
    <col min="11014" max="11014" width="14.6640625" style="1366" customWidth="1"/>
    <col min="11015" max="11015" width="11.83203125" style="1366" customWidth="1"/>
    <col min="11016" max="11016" width="11.6640625" style="1366" customWidth="1"/>
    <col min="11017" max="11017" width="12.5" style="1366" customWidth="1"/>
    <col min="11018" max="11018" width="11.33203125" style="1366" customWidth="1"/>
    <col min="11019" max="11019" width="17" style="1366" customWidth="1"/>
    <col min="11020" max="11020" width="12.1640625" style="1366" customWidth="1"/>
    <col min="11021" max="11026" width="13" style="1366" customWidth="1"/>
    <col min="11027" max="11027" width="13.1640625" style="1366" customWidth="1"/>
    <col min="11028" max="11028" width="15" style="1366" customWidth="1"/>
    <col min="11029" max="11029" width="12.5" style="1366" customWidth="1"/>
    <col min="11030" max="11030" width="11.6640625" style="1366" customWidth="1"/>
    <col min="11031" max="11031" width="14.1640625" style="1366" customWidth="1"/>
    <col min="11032" max="11032" width="12" style="1366" customWidth="1"/>
    <col min="11033" max="11033" width="8.5" style="1366" customWidth="1"/>
    <col min="11034" max="11034" width="10.1640625" style="1366" customWidth="1"/>
    <col min="11035" max="11035" width="10.6640625" style="1366" customWidth="1"/>
    <col min="11036" max="11036" width="8.5" style="1366" customWidth="1"/>
    <col min="11037" max="11037" width="10" style="1366" customWidth="1"/>
    <col min="11038" max="11039" width="8.5" style="1366" customWidth="1"/>
    <col min="11040" max="11040" width="10.83203125" style="1366" customWidth="1"/>
    <col min="11041" max="11041" width="9.5" style="1366" customWidth="1"/>
    <col min="11042" max="11042" width="9.33203125" style="1366" customWidth="1"/>
    <col min="11043" max="11043" width="13" style="1366" customWidth="1"/>
    <col min="11044" max="11044" width="14.5" style="1366" customWidth="1"/>
    <col min="11045" max="11045" width="12.6640625" style="1366" bestFit="1" customWidth="1"/>
    <col min="11046" max="11047" width="0" style="1366" hidden="1" customWidth="1"/>
    <col min="11048" max="11048" width="9.33203125" style="1366"/>
    <col min="11049" max="11049" width="14.5" style="1366" bestFit="1" customWidth="1"/>
    <col min="11050" max="11264" width="9.33203125" style="1366"/>
    <col min="11265" max="11265" width="12.1640625" style="1366" customWidth="1"/>
    <col min="11266" max="11266" width="30.83203125" style="1366" customWidth="1"/>
    <col min="11267" max="11267" width="13.83203125" style="1366" customWidth="1"/>
    <col min="11268" max="11268" width="14" style="1366" customWidth="1"/>
    <col min="11269" max="11269" width="13" style="1366" customWidth="1"/>
    <col min="11270" max="11270" width="14.6640625" style="1366" customWidth="1"/>
    <col min="11271" max="11271" width="11.83203125" style="1366" customWidth="1"/>
    <col min="11272" max="11272" width="11.6640625" style="1366" customWidth="1"/>
    <col min="11273" max="11273" width="12.5" style="1366" customWidth="1"/>
    <col min="11274" max="11274" width="11.33203125" style="1366" customWidth="1"/>
    <col min="11275" max="11275" width="17" style="1366" customWidth="1"/>
    <col min="11276" max="11276" width="12.1640625" style="1366" customWidth="1"/>
    <col min="11277" max="11282" width="13" style="1366" customWidth="1"/>
    <col min="11283" max="11283" width="13.1640625" style="1366" customWidth="1"/>
    <col min="11284" max="11284" width="15" style="1366" customWidth="1"/>
    <col min="11285" max="11285" width="12.5" style="1366" customWidth="1"/>
    <col min="11286" max="11286" width="11.6640625" style="1366" customWidth="1"/>
    <col min="11287" max="11287" width="14.1640625" style="1366" customWidth="1"/>
    <col min="11288" max="11288" width="12" style="1366" customWidth="1"/>
    <col min="11289" max="11289" width="8.5" style="1366" customWidth="1"/>
    <col min="11290" max="11290" width="10.1640625" style="1366" customWidth="1"/>
    <col min="11291" max="11291" width="10.6640625" style="1366" customWidth="1"/>
    <col min="11292" max="11292" width="8.5" style="1366" customWidth="1"/>
    <col min="11293" max="11293" width="10" style="1366" customWidth="1"/>
    <col min="11294" max="11295" width="8.5" style="1366" customWidth="1"/>
    <col min="11296" max="11296" width="10.83203125" style="1366" customWidth="1"/>
    <col min="11297" max="11297" width="9.5" style="1366" customWidth="1"/>
    <col min="11298" max="11298" width="9.33203125" style="1366" customWidth="1"/>
    <col min="11299" max="11299" width="13" style="1366" customWidth="1"/>
    <col min="11300" max="11300" width="14.5" style="1366" customWidth="1"/>
    <col min="11301" max="11301" width="12.6640625" style="1366" bestFit="1" customWidth="1"/>
    <col min="11302" max="11303" width="0" style="1366" hidden="1" customWidth="1"/>
    <col min="11304" max="11304" width="9.33203125" style="1366"/>
    <col min="11305" max="11305" width="14.5" style="1366" bestFit="1" customWidth="1"/>
    <col min="11306" max="11520" width="9.33203125" style="1366"/>
    <col min="11521" max="11521" width="12.1640625" style="1366" customWidth="1"/>
    <col min="11522" max="11522" width="30.83203125" style="1366" customWidth="1"/>
    <col min="11523" max="11523" width="13.83203125" style="1366" customWidth="1"/>
    <col min="11524" max="11524" width="14" style="1366" customWidth="1"/>
    <col min="11525" max="11525" width="13" style="1366" customWidth="1"/>
    <col min="11526" max="11526" width="14.6640625" style="1366" customWidth="1"/>
    <col min="11527" max="11527" width="11.83203125" style="1366" customWidth="1"/>
    <col min="11528" max="11528" width="11.6640625" style="1366" customWidth="1"/>
    <col min="11529" max="11529" width="12.5" style="1366" customWidth="1"/>
    <col min="11530" max="11530" width="11.33203125" style="1366" customWidth="1"/>
    <col min="11531" max="11531" width="17" style="1366" customWidth="1"/>
    <col min="11532" max="11532" width="12.1640625" style="1366" customWidth="1"/>
    <col min="11533" max="11538" width="13" style="1366" customWidth="1"/>
    <col min="11539" max="11539" width="13.1640625" style="1366" customWidth="1"/>
    <col min="11540" max="11540" width="15" style="1366" customWidth="1"/>
    <col min="11541" max="11541" width="12.5" style="1366" customWidth="1"/>
    <col min="11542" max="11542" width="11.6640625" style="1366" customWidth="1"/>
    <col min="11543" max="11543" width="14.1640625" style="1366" customWidth="1"/>
    <col min="11544" max="11544" width="12" style="1366" customWidth="1"/>
    <col min="11545" max="11545" width="8.5" style="1366" customWidth="1"/>
    <col min="11546" max="11546" width="10.1640625" style="1366" customWidth="1"/>
    <col min="11547" max="11547" width="10.6640625" style="1366" customWidth="1"/>
    <col min="11548" max="11548" width="8.5" style="1366" customWidth="1"/>
    <col min="11549" max="11549" width="10" style="1366" customWidth="1"/>
    <col min="11550" max="11551" width="8.5" style="1366" customWidth="1"/>
    <col min="11552" max="11552" width="10.83203125" style="1366" customWidth="1"/>
    <col min="11553" max="11553" width="9.5" style="1366" customWidth="1"/>
    <col min="11554" max="11554" width="9.33203125" style="1366" customWidth="1"/>
    <col min="11555" max="11555" width="13" style="1366" customWidth="1"/>
    <col min="11556" max="11556" width="14.5" style="1366" customWidth="1"/>
    <col min="11557" max="11557" width="12.6640625" style="1366" bestFit="1" customWidth="1"/>
    <col min="11558" max="11559" width="0" style="1366" hidden="1" customWidth="1"/>
    <col min="11560" max="11560" width="9.33203125" style="1366"/>
    <col min="11561" max="11561" width="14.5" style="1366" bestFit="1" customWidth="1"/>
    <col min="11562" max="11776" width="9.33203125" style="1366"/>
    <col min="11777" max="11777" width="12.1640625" style="1366" customWidth="1"/>
    <col min="11778" max="11778" width="30.83203125" style="1366" customWidth="1"/>
    <col min="11779" max="11779" width="13.83203125" style="1366" customWidth="1"/>
    <col min="11780" max="11780" width="14" style="1366" customWidth="1"/>
    <col min="11781" max="11781" width="13" style="1366" customWidth="1"/>
    <col min="11782" max="11782" width="14.6640625" style="1366" customWidth="1"/>
    <col min="11783" max="11783" width="11.83203125" style="1366" customWidth="1"/>
    <col min="11784" max="11784" width="11.6640625" style="1366" customWidth="1"/>
    <col min="11785" max="11785" width="12.5" style="1366" customWidth="1"/>
    <col min="11786" max="11786" width="11.33203125" style="1366" customWidth="1"/>
    <col min="11787" max="11787" width="17" style="1366" customWidth="1"/>
    <col min="11788" max="11788" width="12.1640625" style="1366" customWidth="1"/>
    <col min="11789" max="11794" width="13" style="1366" customWidth="1"/>
    <col min="11795" max="11795" width="13.1640625" style="1366" customWidth="1"/>
    <col min="11796" max="11796" width="15" style="1366" customWidth="1"/>
    <col min="11797" max="11797" width="12.5" style="1366" customWidth="1"/>
    <col min="11798" max="11798" width="11.6640625" style="1366" customWidth="1"/>
    <col min="11799" max="11799" width="14.1640625" style="1366" customWidth="1"/>
    <col min="11800" max="11800" width="12" style="1366" customWidth="1"/>
    <col min="11801" max="11801" width="8.5" style="1366" customWidth="1"/>
    <col min="11802" max="11802" width="10.1640625" style="1366" customWidth="1"/>
    <col min="11803" max="11803" width="10.6640625" style="1366" customWidth="1"/>
    <col min="11804" max="11804" width="8.5" style="1366" customWidth="1"/>
    <col min="11805" max="11805" width="10" style="1366" customWidth="1"/>
    <col min="11806" max="11807" width="8.5" style="1366" customWidth="1"/>
    <col min="11808" max="11808" width="10.83203125" style="1366" customWidth="1"/>
    <col min="11809" max="11809" width="9.5" style="1366" customWidth="1"/>
    <col min="11810" max="11810" width="9.33203125" style="1366" customWidth="1"/>
    <col min="11811" max="11811" width="13" style="1366" customWidth="1"/>
    <col min="11812" max="11812" width="14.5" style="1366" customWidth="1"/>
    <col min="11813" max="11813" width="12.6640625" style="1366" bestFit="1" customWidth="1"/>
    <col min="11814" max="11815" width="0" style="1366" hidden="1" customWidth="1"/>
    <col min="11816" max="11816" width="9.33203125" style="1366"/>
    <col min="11817" max="11817" width="14.5" style="1366" bestFit="1" customWidth="1"/>
    <col min="11818" max="12032" width="9.33203125" style="1366"/>
    <col min="12033" max="12033" width="12.1640625" style="1366" customWidth="1"/>
    <col min="12034" max="12034" width="30.83203125" style="1366" customWidth="1"/>
    <col min="12035" max="12035" width="13.83203125" style="1366" customWidth="1"/>
    <col min="12036" max="12036" width="14" style="1366" customWidth="1"/>
    <col min="12037" max="12037" width="13" style="1366" customWidth="1"/>
    <col min="12038" max="12038" width="14.6640625" style="1366" customWidth="1"/>
    <col min="12039" max="12039" width="11.83203125" style="1366" customWidth="1"/>
    <col min="12040" max="12040" width="11.6640625" style="1366" customWidth="1"/>
    <col min="12041" max="12041" width="12.5" style="1366" customWidth="1"/>
    <col min="12042" max="12042" width="11.33203125" style="1366" customWidth="1"/>
    <col min="12043" max="12043" width="17" style="1366" customWidth="1"/>
    <col min="12044" max="12044" width="12.1640625" style="1366" customWidth="1"/>
    <col min="12045" max="12050" width="13" style="1366" customWidth="1"/>
    <col min="12051" max="12051" width="13.1640625" style="1366" customWidth="1"/>
    <col min="12052" max="12052" width="15" style="1366" customWidth="1"/>
    <col min="12053" max="12053" width="12.5" style="1366" customWidth="1"/>
    <col min="12054" max="12054" width="11.6640625" style="1366" customWidth="1"/>
    <col min="12055" max="12055" width="14.1640625" style="1366" customWidth="1"/>
    <col min="12056" max="12056" width="12" style="1366" customWidth="1"/>
    <col min="12057" max="12057" width="8.5" style="1366" customWidth="1"/>
    <col min="12058" max="12058" width="10.1640625" style="1366" customWidth="1"/>
    <col min="12059" max="12059" width="10.6640625" style="1366" customWidth="1"/>
    <col min="12060" max="12060" width="8.5" style="1366" customWidth="1"/>
    <col min="12061" max="12061" width="10" style="1366" customWidth="1"/>
    <col min="12062" max="12063" width="8.5" style="1366" customWidth="1"/>
    <col min="12064" max="12064" width="10.83203125" style="1366" customWidth="1"/>
    <col min="12065" max="12065" width="9.5" style="1366" customWidth="1"/>
    <col min="12066" max="12066" width="9.33203125" style="1366" customWidth="1"/>
    <col min="12067" max="12067" width="13" style="1366" customWidth="1"/>
    <col min="12068" max="12068" width="14.5" style="1366" customWidth="1"/>
    <col min="12069" max="12069" width="12.6640625" style="1366" bestFit="1" customWidth="1"/>
    <col min="12070" max="12071" width="0" style="1366" hidden="1" customWidth="1"/>
    <col min="12072" max="12072" width="9.33203125" style="1366"/>
    <col min="12073" max="12073" width="14.5" style="1366" bestFit="1" customWidth="1"/>
    <col min="12074" max="12288" width="9.33203125" style="1366"/>
    <col min="12289" max="12289" width="12.1640625" style="1366" customWidth="1"/>
    <col min="12290" max="12290" width="30.83203125" style="1366" customWidth="1"/>
    <col min="12291" max="12291" width="13.83203125" style="1366" customWidth="1"/>
    <col min="12292" max="12292" width="14" style="1366" customWidth="1"/>
    <col min="12293" max="12293" width="13" style="1366" customWidth="1"/>
    <col min="12294" max="12294" width="14.6640625" style="1366" customWidth="1"/>
    <col min="12295" max="12295" width="11.83203125" style="1366" customWidth="1"/>
    <col min="12296" max="12296" width="11.6640625" style="1366" customWidth="1"/>
    <col min="12297" max="12297" width="12.5" style="1366" customWidth="1"/>
    <col min="12298" max="12298" width="11.33203125" style="1366" customWidth="1"/>
    <col min="12299" max="12299" width="17" style="1366" customWidth="1"/>
    <col min="12300" max="12300" width="12.1640625" style="1366" customWidth="1"/>
    <col min="12301" max="12306" width="13" style="1366" customWidth="1"/>
    <col min="12307" max="12307" width="13.1640625" style="1366" customWidth="1"/>
    <col min="12308" max="12308" width="15" style="1366" customWidth="1"/>
    <col min="12309" max="12309" width="12.5" style="1366" customWidth="1"/>
    <col min="12310" max="12310" width="11.6640625" style="1366" customWidth="1"/>
    <col min="12311" max="12311" width="14.1640625" style="1366" customWidth="1"/>
    <col min="12312" max="12312" width="12" style="1366" customWidth="1"/>
    <col min="12313" max="12313" width="8.5" style="1366" customWidth="1"/>
    <col min="12314" max="12314" width="10.1640625" style="1366" customWidth="1"/>
    <col min="12315" max="12315" width="10.6640625" style="1366" customWidth="1"/>
    <col min="12316" max="12316" width="8.5" style="1366" customWidth="1"/>
    <col min="12317" max="12317" width="10" style="1366" customWidth="1"/>
    <col min="12318" max="12319" width="8.5" style="1366" customWidth="1"/>
    <col min="12320" max="12320" width="10.83203125" style="1366" customWidth="1"/>
    <col min="12321" max="12321" width="9.5" style="1366" customWidth="1"/>
    <col min="12322" max="12322" width="9.33203125" style="1366" customWidth="1"/>
    <col min="12323" max="12323" width="13" style="1366" customWidth="1"/>
    <col min="12324" max="12324" width="14.5" style="1366" customWidth="1"/>
    <col min="12325" max="12325" width="12.6640625" style="1366" bestFit="1" customWidth="1"/>
    <col min="12326" max="12327" width="0" style="1366" hidden="1" customWidth="1"/>
    <col min="12328" max="12328" width="9.33203125" style="1366"/>
    <col min="12329" max="12329" width="14.5" style="1366" bestFit="1" customWidth="1"/>
    <col min="12330" max="12544" width="9.33203125" style="1366"/>
    <col min="12545" max="12545" width="12.1640625" style="1366" customWidth="1"/>
    <col min="12546" max="12546" width="30.83203125" style="1366" customWidth="1"/>
    <col min="12547" max="12547" width="13.83203125" style="1366" customWidth="1"/>
    <col min="12548" max="12548" width="14" style="1366" customWidth="1"/>
    <col min="12549" max="12549" width="13" style="1366" customWidth="1"/>
    <col min="12550" max="12550" width="14.6640625" style="1366" customWidth="1"/>
    <col min="12551" max="12551" width="11.83203125" style="1366" customWidth="1"/>
    <col min="12552" max="12552" width="11.6640625" style="1366" customWidth="1"/>
    <col min="12553" max="12553" width="12.5" style="1366" customWidth="1"/>
    <col min="12554" max="12554" width="11.33203125" style="1366" customWidth="1"/>
    <col min="12555" max="12555" width="17" style="1366" customWidth="1"/>
    <col min="12556" max="12556" width="12.1640625" style="1366" customWidth="1"/>
    <col min="12557" max="12562" width="13" style="1366" customWidth="1"/>
    <col min="12563" max="12563" width="13.1640625" style="1366" customWidth="1"/>
    <col min="12564" max="12564" width="15" style="1366" customWidth="1"/>
    <col min="12565" max="12565" width="12.5" style="1366" customWidth="1"/>
    <col min="12566" max="12566" width="11.6640625" style="1366" customWidth="1"/>
    <col min="12567" max="12567" width="14.1640625" style="1366" customWidth="1"/>
    <col min="12568" max="12568" width="12" style="1366" customWidth="1"/>
    <col min="12569" max="12569" width="8.5" style="1366" customWidth="1"/>
    <col min="12570" max="12570" width="10.1640625" style="1366" customWidth="1"/>
    <col min="12571" max="12571" width="10.6640625" style="1366" customWidth="1"/>
    <col min="12572" max="12572" width="8.5" style="1366" customWidth="1"/>
    <col min="12573" max="12573" width="10" style="1366" customWidth="1"/>
    <col min="12574" max="12575" width="8.5" style="1366" customWidth="1"/>
    <col min="12576" max="12576" width="10.83203125" style="1366" customWidth="1"/>
    <col min="12577" max="12577" width="9.5" style="1366" customWidth="1"/>
    <col min="12578" max="12578" width="9.33203125" style="1366" customWidth="1"/>
    <col min="12579" max="12579" width="13" style="1366" customWidth="1"/>
    <col min="12580" max="12580" width="14.5" style="1366" customWidth="1"/>
    <col min="12581" max="12581" width="12.6640625" style="1366" bestFit="1" customWidth="1"/>
    <col min="12582" max="12583" width="0" style="1366" hidden="1" customWidth="1"/>
    <col min="12584" max="12584" width="9.33203125" style="1366"/>
    <col min="12585" max="12585" width="14.5" style="1366" bestFit="1" customWidth="1"/>
    <col min="12586" max="12800" width="9.33203125" style="1366"/>
    <col min="12801" max="12801" width="12.1640625" style="1366" customWidth="1"/>
    <col min="12802" max="12802" width="30.83203125" style="1366" customWidth="1"/>
    <col min="12803" max="12803" width="13.83203125" style="1366" customWidth="1"/>
    <col min="12804" max="12804" width="14" style="1366" customWidth="1"/>
    <col min="12805" max="12805" width="13" style="1366" customWidth="1"/>
    <col min="12806" max="12806" width="14.6640625" style="1366" customWidth="1"/>
    <col min="12807" max="12807" width="11.83203125" style="1366" customWidth="1"/>
    <col min="12808" max="12808" width="11.6640625" style="1366" customWidth="1"/>
    <col min="12809" max="12809" width="12.5" style="1366" customWidth="1"/>
    <col min="12810" max="12810" width="11.33203125" style="1366" customWidth="1"/>
    <col min="12811" max="12811" width="17" style="1366" customWidth="1"/>
    <col min="12812" max="12812" width="12.1640625" style="1366" customWidth="1"/>
    <col min="12813" max="12818" width="13" style="1366" customWidth="1"/>
    <col min="12819" max="12819" width="13.1640625" style="1366" customWidth="1"/>
    <col min="12820" max="12820" width="15" style="1366" customWidth="1"/>
    <col min="12821" max="12821" width="12.5" style="1366" customWidth="1"/>
    <col min="12822" max="12822" width="11.6640625" style="1366" customWidth="1"/>
    <col min="12823" max="12823" width="14.1640625" style="1366" customWidth="1"/>
    <col min="12824" max="12824" width="12" style="1366" customWidth="1"/>
    <col min="12825" max="12825" width="8.5" style="1366" customWidth="1"/>
    <col min="12826" max="12826" width="10.1640625" style="1366" customWidth="1"/>
    <col min="12827" max="12827" width="10.6640625" style="1366" customWidth="1"/>
    <col min="12828" max="12828" width="8.5" style="1366" customWidth="1"/>
    <col min="12829" max="12829" width="10" style="1366" customWidth="1"/>
    <col min="12830" max="12831" width="8.5" style="1366" customWidth="1"/>
    <col min="12832" max="12832" width="10.83203125" style="1366" customWidth="1"/>
    <col min="12833" max="12833" width="9.5" style="1366" customWidth="1"/>
    <col min="12834" max="12834" width="9.33203125" style="1366" customWidth="1"/>
    <col min="12835" max="12835" width="13" style="1366" customWidth="1"/>
    <col min="12836" max="12836" width="14.5" style="1366" customWidth="1"/>
    <col min="12837" max="12837" width="12.6640625" style="1366" bestFit="1" customWidth="1"/>
    <col min="12838" max="12839" width="0" style="1366" hidden="1" customWidth="1"/>
    <col min="12840" max="12840" width="9.33203125" style="1366"/>
    <col min="12841" max="12841" width="14.5" style="1366" bestFit="1" customWidth="1"/>
    <col min="12842" max="13056" width="9.33203125" style="1366"/>
    <col min="13057" max="13057" width="12.1640625" style="1366" customWidth="1"/>
    <col min="13058" max="13058" width="30.83203125" style="1366" customWidth="1"/>
    <col min="13059" max="13059" width="13.83203125" style="1366" customWidth="1"/>
    <col min="13060" max="13060" width="14" style="1366" customWidth="1"/>
    <col min="13061" max="13061" width="13" style="1366" customWidth="1"/>
    <col min="13062" max="13062" width="14.6640625" style="1366" customWidth="1"/>
    <col min="13063" max="13063" width="11.83203125" style="1366" customWidth="1"/>
    <col min="13064" max="13064" width="11.6640625" style="1366" customWidth="1"/>
    <col min="13065" max="13065" width="12.5" style="1366" customWidth="1"/>
    <col min="13066" max="13066" width="11.33203125" style="1366" customWidth="1"/>
    <col min="13067" max="13067" width="17" style="1366" customWidth="1"/>
    <col min="13068" max="13068" width="12.1640625" style="1366" customWidth="1"/>
    <col min="13069" max="13074" width="13" style="1366" customWidth="1"/>
    <col min="13075" max="13075" width="13.1640625" style="1366" customWidth="1"/>
    <col min="13076" max="13076" width="15" style="1366" customWidth="1"/>
    <col min="13077" max="13077" width="12.5" style="1366" customWidth="1"/>
    <col min="13078" max="13078" width="11.6640625" style="1366" customWidth="1"/>
    <col min="13079" max="13079" width="14.1640625" style="1366" customWidth="1"/>
    <col min="13080" max="13080" width="12" style="1366" customWidth="1"/>
    <col min="13081" max="13081" width="8.5" style="1366" customWidth="1"/>
    <col min="13082" max="13082" width="10.1640625" style="1366" customWidth="1"/>
    <col min="13083" max="13083" width="10.6640625" style="1366" customWidth="1"/>
    <col min="13084" max="13084" width="8.5" style="1366" customWidth="1"/>
    <col min="13085" max="13085" width="10" style="1366" customWidth="1"/>
    <col min="13086" max="13087" width="8.5" style="1366" customWidth="1"/>
    <col min="13088" max="13088" width="10.83203125" style="1366" customWidth="1"/>
    <col min="13089" max="13089" width="9.5" style="1366" customWidth="1"/>
    <col min="13090" max="13090" width="9.33203125" style="1366" customWidth="1"/>
    <col min="13091" max="13091" width="13" style="1366" customWidth="1"/>
    <col min="13092" max="13092" width="14.5" style="1366" customWidth="1"/>
    <col min="13093" max="13093" width="12.6640625" style="1366" bestFit="1" customWidth="1"/>
    <col min="13094" max="13095" width="0" style="1366" hidden="1" customWidth="1"/>
    <col min="13096" max="13096" width="9.33203125" style="1366"/>
    <col min="13097" max="13097" width="14.5" style="1366" bestFit="1" customWidth="1"/>
    <col min="13098" max="13312" width="9.33203125" style="1366"/>
    <col min="13313" max="13313" width="12.1640625" style="1366" customWidth="1"/>
    <col min="13314" max="13314" width="30.83203125" style="1366" customWidth="1"/>
    <col min="13315" max="13315" width="13.83203125" style="1366" customWidth="1"/>
    <col min="13316" max="13316" width="14" style="1366" customWidth="1"/>
    <col min="13317" max="13317" width="13" style="1366" customWidth="1"/>
    <col min="13318" max="13318" width="14.6640625" style="1366" customWidth="1"/>
    <col min="13319" max="13319" width="11.83203125" style="1366" customWidth="1"/>
    <col min="13320" max="13320" width="11.6640625" style="1366" customWidth="1"/>
    <col min="13321" max="13321" width="12.5" style="1366" customWidth="1"/>
    <col min="13322" max="13322" width="11.33203125" style="1366" customWidth="1"/>
    <col min="13323" max="13323" width="17" style="1366" customWidth="1"/>
    <col min="13324" max="13324" width="12.1640625" style="1366" customWidth="1"/>
    <col min="13325" max="13330" width="13" style="1366" customWidth="1"/>
    <col min="13331" max="13331" width="13.1640625" style="1366" customWidth="1"/>
    <col min="13332" max="13332" width="15" style="1366" customWidth="1"/>
    <col min="13333" max="13333" width="12.5" style="1366" customWidth="1"/>
    <col min="13334" max="13334" width="11.6640625" style="1366" customWidth="1"/>
    <col min="13335" max="13335" width="14.1640625" style="1366" customWidth="1"/>
    <col min="13336" max="13336" width="12" style="1366" customWidth="1"/>
    <col min="13337" max="13337" width="8.5" style="1366" customWidth="1"/>
    <col min="13338" max="13338" width="10.1640625" style="1366" customWidth="1"/>
    <col min="13339" max="13339" width="10.6640625" style="1366" customWidth="1"/>
    <col min="13340" max="13340" width="8.5" style="1366" customWidth="1"/>
    <col min="13341" max="13341" width="10" style="1366" customWidth="1"/>
    <col min="13342" max="13343" width="8.5" style="1366" customWidth="1"/>
    <col min="13344" max="13344" width="10.83203125" style="1366" customWidth="1"/>
    <col min="13345" max="13345" width="9.5" style="1366" customWidth="1"/>
    <col min="13346" max="13346" width="9.33203125" style="1366" customWidth="1"/>
    <col min="13347" max="13347" width="13" style="1366" customWidth="1"/>
    <col min="13348" max="13348" width="14.5" style="1366" customWidth="1"/>
    <col min="13349" max="13349" width="12.6640625" style="1366" bestFit="1" customWidth="1"/>
    <col min="13350" max="13351" width="0" style="1366" hidden="1" customWidth="1"/>
    <col min="13352" max="13352" width="9.33203125" style="1366"/>
    <col min="13353" max="13353" width="14.5" style="1366" bestFit="1" customWidth="1"/>
    <col min="13354" max="13568" width="9.33203125" style="1366"/>
    <col min="13569" max="13569" width="12.1640625" style="1366" customWidth="1"/>
    <col min="13570" max="13570" width="30.83203125" style="1366" customWidth="1"/>
    <col min="13571" max="13571" width="13.83203125" style="1366" customWidth="1"/>
    <col min="13572" max="13572" width="14" style="1366" customWidth="1"/>
    <col min="13573" max="13573" width="13" style="1366" customWidth="1"/>
    <col min="13574" max="13574" width="14.6640625" style="1366" customWidth="1"/>
    <col min="13575" max="13575" width="11.83203125" style="1366" customWidth="1"/>
    <col min="13576" max="13576" width="11.6640625" style="1366" customWidth="1"/>
    <col min="13577" max="13577" width="12.5" style="1366" customWidth="1"/>
    <col min="13578" max="13578" width="11.33203125" style="1366" customWidth="1"/>
    <col min="13579" max="13579" width="17" style="1366" customWidth="1"/>
    <col min="13580" max="13580" width="12.1640625" style="1366" customWidth="1"/>
    <col min="13581" max="13586" width="13" style="1366" customWidth="1"/>
    <col min="13587" max="13587" width="13.1640625" style="1366" customWidth="1"/>
    <col min="13588" max="13588" width="15" style="1366" customWidth="1"/>
    <col min="13589" max="13589" width="12.5" style="1366" customWidth="1"/>
    <col min="13590" max="13590" width="11.6640625" style="1366" customWidth="1"/>
    <col min="13591" max="13591" width="14.1640625" style="1366" customWidth="1"/>
    <col min="13592" max="13592" width="12" style="1366" customWidth="1"/>
    <col min="13593" max="13593" width="8.5" style="1366" customWidth="1"/>
    <col min="13594" max="13594" width="10.1640625" style="1366" customWidth="1"/>
    <col min="13595" max="13595" width="10.6640625" style="1366" customWidth="1"/>
    <col min="13596" max="13596" width="8.5" style="1366" customWidth="1"/>
    <col min="13597" max="13597" width="10" style="1366" customWidth="1"/>
    <col min="13598" max="13599" width="8.5" style="1366" customWidth="1"/>
    <col min="13600" max="13600" width="10.83203125" style="1366" customWidth="1"/>
    <col min="13601" max="13601" width="9.5" style="1366" customWidth="1"/>
    <col min="13602" max="13602" width="9.33203125" style="1366" customWidth="1"/>
    <col min="13603" max="13603" width="13" style="1366" customWidth="1"/>
    <col min="13604" max="13604" width="14.5" style="1366" customWidth="1"/>
    <col min="13605" max="13605" width="12.6640625" style="1366" bestFit="1" customWidth="1"/>
    <col min="13606" max="13607" width="0" style="1366" hidden="1" customWidth="1"/>
    <col min="13608" max="13608" width="9.33203125" style="1366"/>
    <col min="13609" max="13609" width="14.5" style="1366" bestFit="1" customWidth="1"/>
    <col min="13610" max="13824" width="9.33203125" style="1366"/>
    <col min="13825" max="13825" width="12.1640625" style="1366" customWidth="1"/>
    <col min="13826" max="13826" width="30.83203125" style="1366" customWidth="1"/>
    <col min="13827" max="13827" width="13.83203125" style="1366" customWidth="1"/>
    <col min="13828" max="13828" width="14" style="1366" customWidth="1"/>
    <col min="13829" max="13829" width="13" style="1366" customWidth="1"/>
    <col min="13830" max="13830" width="14.6640625" style="1366" customWidth="1"/>
    <col min="13831" max="13831" width="11.83203125" style="1366" customWidth="1"/>
    <col min="13832" max="13832" width="11.6640625" style="1366" customWidth="1"/>
    <col min="13833" max="13833" width="12.5" style="1366" customWidth="1"/>
    <col min="13834" max="13834" width="11.33203125" style="1366" customWidth="1"/>
    <col min="13835" max="13835" width="17" style="1366" customWidth="1"/>
    <col min="13836" max="13836" width="12.1640625" style="1366" customWidth="1"/>
    <col min="13837" max="13842" width="13" style="1366" customWidth="1"/>
    <col min="13843" max="13843" width="13.1640625" style="1366" customWidth="1"/>
    <col min="13844" max="13844" width="15" style="1366" customWidth="1"/>
    <col min="13845" max="13845" width="12.5" style="1366" customWidth="1"/>
    <col min="13846" max="13846" width="11.6640625" style="1366" customWidth="1"/>
    <col min="13847" max="13847" width="14.1640625" style="1366" customWidth="1"/>
    <col min="13848" max="13848" width="12" style="1366" customWidth="1"/>
    <col min="13849" max="13849" width="8.5" style="1366" customWidth="1"/>
    <col min="13850" max="13850" width="10.1640625" style="1366" customWidth="1"/>
    <col min="13851" max="13851" width="10.6640625" style="1366" customWidth="1"/>
    <col min="13852" max="13852" width="8.5" style="1366" customWidth="1"/>
    <col min="13853" max="13853" width="10" style="1366" customWidth="1"/>
    <col min="13854" max="13855" width="8.5" style="1366" customWidth="1"/>
    <col min="13856" max="13856" width="10.83203125" style="1366" customWidth="1"/>
    <col min="13857" max="13857" width="9.5" style="1366" customWidth="1"/>
    <col min="13858" max="13858" width="9.33203125" style="1366" customWidth="1"/>
    <col min="13859" max="13859" width="13" style="1366" customWidth="1"/>
    <col min="13860" max="13860" width="14.5" style="1366" customWidth="1"/>
    <col min="13861" max="13861" width="12.6640625" style="1366" bestFit="1" customWidth="1"/>
    <col min="13862" max="13863" width="0" style="1366" hidden="1" customWidth="1"/>
    <col min="13864" max="13864" width="9.33203125" style="1366"/>
    <col min="13865" max="13865" width="14.5" style="1366" bestFit="1" customWidth="1"/>
    <col min="13866" max="14080" width="9.33203125" style="1366"/>
    <col min="14081" max="14081" width="12.1640625" style="1366" customWidth="1"/>
    <col min="14082" max="14082" width="30.83203125" style="1366" customWidth="1"/>
    <col min="14083" max="14083" width="13.83203125" style="1366" customWidth="1"/>
    <col min="14084" max="14084" width="14" style="1366" customWidth="1"/>
    <col min="14085" max="14085" width="13" style="1366" customWidth="1"/>
    <col min="14086" max="14086" width="14.6640625" style="1366" customWidth="1"/>
    <col min="14087" max="14087" width="11.83203125" style="1366" customWidth="1"/>
    <col min="14088" max="14088" width="11.6640625" style="1366" customWidth="1"/>
    <col min="14089" max="14089" width="12.5" style="1366" customWidth="1"/>
    <col min="14090" max="14090" width="11.33203125" style="1366" customWidth="1"/>
    <col min="14091" max="14091" width="17" style="1366" customWidth="1"/>
    <col min="14092" max="14092" width="12.1640625" style="1366" customWidth="1"/>
    <col min="14093" max="14098" width="13" style="1366" customWidth="1"/>
    <col min="14099" max="14099" width="13.1640625" style="1366" customWidth="1"/>
    <col min="14100" max="14100" width="15" style="1366" customWidth="1"/>
    <col min="14101" max="14101" width="12.5" style="1366" customWidth="1"/>
    <col min="14102" max="14102" width="11.6640625" style="1366" customWidth="1"/>
    <col min="14103" max="14103" width="14.1640625" style="1366" customWidth="1"/>
    <col min="14104" max="14104" width="12" style="1366" customWidth="1"/>
    <col min="14105" max="14105" width="8.5" style="1366" customWidth="1"/>
    <col min="14106" max="14106" width="10.1640625" style="1366" customWidth="1"/>
    <col min="14107" max="14107" width="10.6640625" style="1366" customWidth="1"/>
    <col min="14108" max="14108" width="8.5" style="1366" customWidth="1"/>
    <col min="14109" max="14109" width="10" style="1366" customWidth="1"/>
    <col min="14110" max="14111" width="8.5" style="1366" customWidth="1"/>
    <col min="14112" max="14112" width="10.83203125" style="1366" customWidth="1"/>
    <col min="14113" max="14113" width="9.5" style="1366" customWidth="1"/>
    <col min="14114" max="14114" width="9.33203125" style="1366" customWidth="1"/>
    <col min="14115" max="14115" width="13" style="1366" customWidth="1"/>
    <col min="14116" max="14116" width="14.5" style="1366" customWidth="1"/>
    <col min="14117" max="14117" width="12.6640625" style="1366" bestFit="1" customWidth="1"/>
    <col min="14118" max="14119" width="0" style="1366" hidden="1" customWidth="1"/>
    <col min="14120" max="14120" width="9.33203125" style="1366"/>
    <col min="14121" max="14121" width="14.5" style="1366" bestFit="1" customWidth="1"/>
    <col min="14122" max="14336" width="9.33203125" style="1366"/>
    <col min="14337" max="14337" width="12.1640625" style="1366" customWidth="1"/>
    <col min="14338" max="14338" width="30.83203125" style="1366" customWidth="1"/>
    <col min="14339" max="14339" width="13.83203125" style="1366" customWidth="1"/>
    <col min="14340" max="14340" width="14" style="1366" customWidth="1"/>
    <col min="14341" max="14341" width="13" style="1366" customWidth="1"/>
    <col min="14342" max="14342" width="14.6640625" style="1366" customWidth="1"/>
    <col min="14343" max="14343" width="11.83203125" style="1366" customWidth="1"/>
    <col min="14344" max="14344" width="11.6640625" style="1366" customWidth="1"/>
    <col min="14345" max="14345" width="12.5" style="1366" customWidth="1"/>
    <col min="14346" max="14346" width="11.33203125" style="1366" customWidth="1"/>
    <col min="14347" max="14347" width="17" style="1366" customWidth="1"/>
    <col min="14348" max="14348" width="12.1640625" style="1366" customWidth="1"/>
    <col min="14349" max="14354" width="13" style="1366" customWidth="1"/>
    <col min="14355" max="14355" width="13.1640625" style="1366" customWidth="1"/>
    <col min="14356" max="14356" width="15" style="1366" customWidth="1"/>
    <col min="14357" max="14357" width="12.5" style="1366" customWidth="1"/>
    <col min="14358" max="14358" width="11.6640625" style="1366" customWidth="1"/>
    <col min="14359" max="14359" width="14.1640625" style="1366" customWidth="1"/>
    <col min="14360" max="14360" width="12" style="1366" customWidth="1"/>
    <col min="14361" max="14361" width="8.5" style="1366" customWidth="1"/>
    <col min="14362" max="14362" width="10.1640625" style="1366" customWidth="1"/>
    <col min="14363" max="14363" width="10.6640625" style="1366" customWidth="1"/>
    <col min="14364" max="14364" width="8.5" style="1366" customWidth="1"/>
    <col min="14365" max="14365" width="10" style="1366" customWidth="1"/>
    <col min="14366" max="14367" width="8.5" style="1366" customWidth="1"/>
    <col min="14368" max="14368" width="10.83203125" style="1366" customWidth="1"/>
    <col min="14369" max="14369" width="9.5" style="1366" customWidth="1"/>
    <col min="14370" max="14370" width="9.33203125" style="1366" customWidth="1"/>
    <col min="14371" max="14371" width="13" style="1366" customWidth="1"/>
    <col min="14372" max="14372" width="14.5" style="1366" customWidth="1"/>
    <col min="14373" max="14373" width="12.6640625" style="1366" bestFit="1" customWidth="1"/>
    <col min="14374" max="14375" width="0" style="1366" hidden="1" customWidth="1"/>
    <col min="14376" max="14376" width="9.33203125" style="1366"/>
    <col min="14377" max="14377" width="14.5" style="1366" bestFit="1" customWidth="1"/>
    <col min="14378" max="14592" width="9.33203125" style="1366"/>
    <col min="14593" max="14593" width="12.1640625" style="1366" customWidth="1"/>
    <col min="14594" max="14594" width="30.83203125" style="1366" customWidth="1"/>
    <col min="14595" max="14595" width="13.83203125" style="1366" customWidth="1"/>
    <col min="14596" max="14596" width="14" style="1366" customWidth="1"/>
    <col min="14597" max="14597" width="13" style="1366" customWidth="1"/>
    <col min="14598" max="14598" width="14.6640625" style="1366" customWidth="1"/>
    <col min="14599" max="14599" width="11.83203125" style="1366" customWidth="1"/>
    <col min="14600" max="14600" width="11.6640625" style="1366" customWidth="1"/>
    <col min="14601" max="14601" width="12.5" style="1366" customWidth="1"/>
    <col min="14602" max="14602" width="11.33203125" style="1366" customWidth="1"/>
    <col min="14603" max="14603" width="17" style="1366" customWidth="1"/>
    <col min="14604" max="14604" width="12.1640625" style="1366" customWidth="1"/>
    <col min="14605" max="14610" width="13" style="1366" customWidth="1"/>
    <col min="14611" max="14611" width="13.1640625" style="1366" customWidth="1"/>
    <col min="14612" max="14612" width="15" style="1366" customWidth="1"/>
    <col min="14613" max="14613" width="12.5" style="1366" customWidth="1"/>
    <col min="14614" max="14614" width="11.6640625" style="1366" customWidth="1"/>
    <col min="14615" max="14615" width="14.1640625" style="1366" customWidth="1"/>
    <col min="14616" max="14616" width="12" style="1366" customWidth="1"/>
    <col min="14617" max="14617" width="8.5" style="1366" customWidth="1"/>
    <col min="14618" max="14618" width="10.1640625" style="1366" customWidth="1"/>
    <col min="14619" max="14619" width="10.6640625" style="1366" customWidth="1"/>
    <col min="14620" max="14620" width="8.5" style="1366" customWidth="1"/>
    <col min="14621" max="14621" width="10" style="1366" customWidth="1"/>
    <col min="14622" max="14623" width="8.5" style="1366" customWidth="1"/>
    <col min="14624" max="14624" width="10.83203125" style="1366" customWidth="1"/>
    <col min="14625" max="14625" width="9.5" style="1366" customWidth="1"/>
    <col min="14626" max="14626" width="9.33203125" style="1366" customWidth="1"/>
    <col min="14627" max="14627" width="13" style="1366" customWidth="1"/>
    <col min="14628" max="14628" width="14.5" style="1366" customWidth="1"/>
    <col min="14629" max="14629" width="12.6640625" style="1366" bestFit="1" customWidth="1"/>
    <col min="14630" max="14631" width="0" style="1366" hidden="1" customWidth="1"/>
    <col min="14632" max="14632" width="9.33203125" style="1366"/>
    <col min="14633" max="14633" width="14.5" style="1366" bestFit="1" customWidth="1"/>
    <col min="14634" max="14848" width="9.33203125" style="1366"/>
    <col min="14849" max="14849" width="12.1640625" style="1366" customWidth="1"/>
    <col min="14850" max="14850" width="30.83203125" style="1366" customWidth="1"/>
    <col min="14851" max="14851" width="13.83203125" style="1366" customWidth="1"/>
    <col min="14852" max="14852" width="14" style="1366" customWidth="1"/>
    <col min="14853" max="14853" width="13" style="1366" customWidth="1"/>
    <col min="14854" max="14854" width="14.6640625" style="1366" customWidth="1"/>
    <col min="14855" max="14855" width="11.83203125" style="1366" customWidth="1"/>
    <col min="14856" max="14856" width="11.6640625" style="1366" customWidth="1"/>
    <col min="14857" max="14857" width="12.5" style="1366" customWidth="1"/>
    <col min="14858" max="14858" width="11.33203125" style="1366" customWidth="1"/>
    <col min="14859" max="14859" width="17" style="1366" customWidth="1"/>
    <col min="14860" max="14860" width="12.1640625" style="1366" customWidth="1"/>
    <col min="14861" max="14866" width="13" style="1366" customWidth="1"/>
    <col min="14867" max="14867" width="13.1640625" style="1366" customWidth="1"/>
    <col min="14868" max="14868" width="15" style="1366" customWidth="1"/>
    <col min="14869" max="14869" width="12.5" style="1366" customWidth="1"/>
    <col min="14870" max="14870" width="11.6640625" style="1366" customWidth="1"/>
    <col min="14871" max="14871" width="14.1640625" style="1366" customWidth="1"/>
    <col min="14872" max="14872" width="12" style="1366" customWidth="1"/>
    <col min="14873" max="14873" width="8.5" style="1366" customWidth="1"/>
    <col min="14874" max="14874" width="10.1640625" style="1366" customWidth="1"/>
    <col min="14875" max="14875" width="10.6640625" style="1366" customWidth="1"/>
    <col min="14876" max="14876" width="8.5" style="1366" customWidth="1"/>
    <col min="14877" max="14877" width="10" style="1366" customWidth="1"/>
    <col min="14878" max="14879" width="8.5" style="1366" customWidth="1"/>
    <col min="14880" max="14880" width="10.83203125" style="1366" customWidth="1"/>
    <col min="14881" max="14881" width="9.5" style="1366" customWidth="1"/>
    <col min="14882" max="14882" width="9.33203125" style="1366" customWidth="1"/>
    <col min="14883" max="14883" width="13" style="1366" customWidth="1"/>
    <col min="14884" max="14884" width="14.5" style="1366" customWidth="1"/>
    <col min="14885" max="14885" width="12.6640625" style="1366" bestFit="1" customWidth="1"/>
    <col min="14886" max="14887" width="0" style="1366" hidden="1" customWidth="1"/>
    <col min="14888" max="14888" width="9.33203125" style="1366"/>
    <col min="14889" max="14889" width="14.5" style="1366" bestFit="1" customWidth="1"/>
    <col min="14890" max="15104" width="9.33203125" style="1366"/>
    <col min="15105" max="15105" width="12.1640625" style="1366" customWidth="1"/>
    <col min="15106" max="15106" width="30.83203125" style="1366" customWidth="1"/>
    <col min="15107" max="15107" width="13.83203125" style="1366" customWidth="1"/>
    <col min="15108" max="15108" width="14" style="1366" customWidth="1"/>
    <col min="15109" max="15109" width="13" style="1366" customWidth="1"/>
    <col min="15110" max="15110" width="14.6640625" style="1366" customWidth="1"/>
    <col min="15111" max="15111" width="11.83203125" style="1366" customWidth="1"/>
    <col min="15112" max="15112" width="11.6640625" style="1366" customWidth="1"/>
    <col min="15113" max="15113" width="12.5" style="1366" customWidth="1"/>
    <col min="15114" max="15114" width="11.33203125" style="1366" customWidth="1"/>
    <col min="15115" max="15115" width="17" style="1366" customWidth="1"/>
    <col min="15116" max="15116" width="12.1640625" style="1366" customWidth="1"/>
    <col min="15117" max="15122" width="13" style="1366" customWidth="1"/>
    <col min="15123" max="15123" width="13.1640625" style="1366" customWidth="1"/>
    <col min="15124" max="15124" width="15" style="1366" customWidth="1"/>
    <col min="15125" max="15125" width="12.5" style="1366" customWidth="1"/>
    <col min="15126" max="15126" width="11.6640625" style="1366" customWidth="1"/>
    <col min="15127" max="15127" width="14.1640625" style="1366" customWidth="1"/>
    <col min="15128" max="15128" width="12" style="1366" customWidth="1"/>
    <col min="15129" max="15129" width="8.5" style="1366" customWidth="1"/>
    <col min="15130" max="15130" width="10.1640625" style="1366" customWidth="1"/>
    <col min="15131" max="15131" width="10.6640625" style="1366" customWidth="1"/>
    <col min="15132" max="15132" width="8.5" style="1366" customWidth="1"/>
    <col min="15133" max="15133" width="10" style="1366" customWidth="1"/>
    <col min="15134" max="15135" width="8.5" style="1366" customWidth="1"/>
    <col min="15136" max="15136" width="10.83203125" style="1366" customWidth="1"/>
    <col min="15137" max="15137" width="9.5" style="1366" customWidth="1"/>
    <col min="15138" max="15138" width="9.33203125" style="1366" customWidth="1"/>
    <col min="15139" max="15139" width="13" style="1366" customWidth="1"/>
    <col min="15140" max="15140" width="14.5" style="1366" customWidth="1"/>
    <col min="15141" max="15141" width="12.6640625" style="1366" bestFit="1" customWidth="1"/>
    <col min="15142" max="15143" width="0" style="1366" hidden="1" customWidth="1"/>
    <col min="15144" max="15144" width="9.33203125" style="1366"/>
    <col min="15145" max="15145" width="14.5" style="1366" bestFit="1" customWidth="1"/>
    <col min="15146" max="15360" width="9.33203125" style="1366"/>
    <col min="15361" max="15361" width="12.1640625" style="1366" customWidth="1"/>
    <col min="15362" max="15362" width="30.83203125" style="1366" customWidth="1"/>
    <col min="15363" max="15363" width="13.83203125" style="1366" customWidth="1"/>
    <col min="15364" max="15364" width="14" style="1366" customWidth="1"/>
    <col min="15365" max="15365" width="13" style="1366" customWidth="1"/>
    <col min="15366" max="15366" width="14.6640625" style="1366" customWidth="1"/>
    <col min="15367" max="15367" width="11.83203125" style="1366" customWidth="1"/>
    <col min="15368" max="15368" width="11.6640625" style="1366" customWidth="1"/>
    <col min="15369" max="15369" width="12.5" style="1366" customWidth="1"/>
    <col min="15370" max="15370" width="11.33203125" style="1366" customWidth="1"/>
    <col min="15371" max="15371" width="17" style="1366" customWidth="1"/>
    <col min="15372" max="15372" width="12.1640625" style="1366" customWidth="1"/>
    <col min="15373" max="15378" width="13" style="1366" customWidth="1"/>
    <col min="15379" max="15379" width="13.1640625" style="1366" customWidth="1"/>
    <col min="15380" max="15380" width="15" style="1366" customWidth="1"/>
    <col min="15381" max="15381" width="12.5" style="1366" customWidth="1"/>
    <col min="15382" max="15382" width="11.6640625" style="1366" customWidth="1"/>
    <col min="15383" max="15383" width="14.1640625" style="1366" customWidth="1"/>
    <col min="15384" max="15384" width="12" style="1366" customWidth="1"/>
    <col min="15385" max="15385" width="8.5" style="1366" customWidth="1"/>
    <col min="15386" max="15386" width="10.1640625" style="1366" customWidth="1"/>
    <col min="15387" max="15387" width="10.6640625" style="1366" customWidth="1"/>
    <col min="15388" max="15388" width="8.5" style="1366" customWidth="1"/>
    <col min="15389" max="15389" width="10" style="1366" customWidth="1"/>
    <col min="15390" max="15391" width="8.5" style="1366" customWidth="1"/>
    <col min="15392" max="15392" width="10.83203125" style="1366" customWidth="1"/>
    <col min="15393" max="15393" width="9.5" style="1366" customWidth="1"/>
    <col min="15394" max="15394" width="9.33203125" style="1366" customWidth="1"/>
    <col min="15395" max="15395" width="13" style="1366" customWidth="1"/>
    <col min="15396" max="15396" width="14.5" style="1366" customWidth="1"/>
    <col min="15397" max="15397" width="12.6640625" style="1366" bestFit="1" customWidth="1"/>
    <col min="15398" max="15399" width="0" style="1366" hidden="1" customWidth="1"/>
    <col min="15400" max="15400" width="9.33203125" style="1366"/>
    <col min="15401" max="15401" width="14.5" style="1366" bestFit="1" customWidth="1"/>
    <col min="15402" max="15616" width="9.33203125" style="1366"/>
    <col min="15617" max="15617" width="12.1640625" style="1366" customWidth="1"/>
    <col min="15618" max="15618" width="30.83203125" style="1366" customWidth="1"/>
    <col min="15619" max="15619" width="13.83203125" style="1366" customWidth="1"/>
    <col min="15620" max="15620" width="14" style="1366" customWidth="1"/>
    <col min="15621" max="15621" width="13" style="1366" customWidth="1"/>
    <col min="15622" max="15622" width="14.6640625" style="1366" customWidth="1"/>
    <col min="15623" max="15623" width="11.83203125" style="1366" customWidth="1"/>
    <col min="15624" max="15624" width="11.6640625" style="1366" customWidth="1"/>
    <col min="15625" max="15625" width="12.5" style="1366" customWidth="1"/>
    <col min="15626" max="15626" width="11.33203125" style="1366" customWidth="1"/>
    <col min="15627" max="15627" width="17" style="1366" customWidth="1"/>
    <col min="15628" max="15628" width="12.1640625" style="1366" customWidth="1"/>
    <col min="15629" max="15634" width="13" style="1366" customWidth="1"/>
    <col min="15635" max="15635" width="13.1640625" style="1366" customWidth="1"/>
    <col min="15636" max="15636" width="15" style="1366" customWidth="1"/>
    <col min="15637" max="15637" width="12.5" style="1366" customWidth="1"/>
    <col min="15638" max="15638" width="11.6640625" style="1366" customWidth="1"/>
    <col min="15639" max="15639" width="14.1640625" style="1366" customWidth="1"/>
    <col min="15640" max="15640" width="12" style="1366" customWidth="1"/>
    <col min="15641" max="15641" width="8.5" style="1366" customWidth="1"/>
    <col min="15642" max="15642" width="10.1640625" style="1366" customWidth="1"/>
    <col min="15643" max="15643" width="10.6640625" style="1366" customWidth="1"/>
    <col min="15644" max="15644" width="8.5" style="1366" customWidth="1"/>
    <col min="15645" max="15645" width="10" style="1366" customWidth="1"/>
    <col min="15646" max="15647" width="8.5" style="1366" customWidth="1"/>
    <col min="15648" max="15648" width="10.83203125" style="1366" customWidth="1"/>
    <col min="15649" max="15649" width="9.5" style="1366" customWidth="1"/>
    <col min="15650" max="15650" width="9.33203125" style="1366" customWidth="1"/>
    <col min="15651" max="15651" width="13" style="1366" customWidth="1"/>
    <col min="15652" max="15652" width="14.5" style="1366" customWidth="1"/>
    <col min="15653" max="15653" width="12.6640625" style="1366" bestFit="1" customWidth="1"/>
    <col min="15654" max="15655" width="0" style="1366" hidden="1" customWidth="1"/>
    <col min="15656" max="15656" width="9.33203125" style="1366"/>
    <col min="15657" max="15657" width="14.5" style="1366" bestFit="1" customWidth="1"/>
    <col min="15658" max="15872" width="9.33203125" style="1366"/>
    <col min="15873" max="15873" width="12.1640625" style="1366" customWidth="1"/>
    <col min="15874" max="15874" width="30.83203125" style="1366" customWidth="1"/>
    <col min="15875" max="15875" width="13.83203125" style="1366" customWidth="1"/>
    <col min="15876" max="15876" width="14" style="1366" customWidth="1"/>
    <col min="15877" max="15877" width="13" style="1366" customWidth="1"/>
    <col min="15878" max="15878" width="14.6640625" style="1366" customWidth="1"/>
    <col min="15879" max="15879" width="11.83203125" style="1366" customWidth="1"/>
    <col min="15880" max="15880" width="11.6640625" style="1366" customWidth="1"/>
    <col min="15881" max="15881" width="12.5" style="1366" customWidth="1"/>
    <col min="15882" max="15882" width="11.33203125" style="1366" customWidth="1"/>
    <col min="15883" max="15883" width="17" style="1366" customWidth="1"/>
    <col min="15884" max="15884" width="12.1640625" style="1366" customWidth="1"/>
    <col min="15885" max="15890" width="13" style="1366" customWidth="1"/>
    <col min="15891" max="15891" width="13.1640625" style="1366" customWidth="1"/>
    <col min="15892" max="15892" width="15" style="1366" customWidth="1"/>
    <col min="15893" max="15893" width="12.5" style="1366" customWidth="1"/>
    <col min="15894" max="15894" width="11.6640625" style="1366" customWidth="1"/>
    <col min="15895" max="15895" width="14.1640625" style="1366" customWidth="1"/>
    <col min="15896" max="15896" width="12" style="1366" customWidth="1"/>
    <col min="15897" max="15897" width="8.5" style="1366" customWidth="1"/>
    <col min="15898" max="15898" width="10.1640625" style="1366" customWidth="1"/>
    <col min="15899" max="15899" width="10.6640625" style="1366" customWidth="1"/>
    <col min="15900" max="15900" width="8.5" style="1366" customWidth="1"/>
    <col min="15901" max="15901" width="10" style="1366" customWidth="1"/>
    <col min="15902" max="15903" width="8.5" style="1366" customWidth="1"/>
    <col min="15904" max="15904" width="10.83203125" style="1366" customWidth="1"/>
    <col min="15905" max="15905" width="9.5" style="1366" customWidth="1"/>
    <col min="15906" max="15906" width="9.33203125" style="1366" customWidth="1"/>
    <col min="15907" max="15907" width="13" style="1366" customWidth="1"/>
    <col min="15908" max="15908" width="14.5" style="1366" customWidth="1"/>
    <col min="15909" max="15909" width="12.6640625" style="1366" bestFit="1" customWidth="1"/>
    <col min="15910" max="15911" width="0" style="1366" hidden="1" customWidth="1"/>
    <col min="15912" max="15912" width="9.33203125" style="1366"/>
    <col min="15913" max="15913" width="14.5" style="1366" bestFit="1" customWidth="1"/>
    <col min="15914" max="16128" width="9.33203125" style="1366"/>
    <col min="16129" max="16129" width="12.1640625" style="1366" customWidth="1"/>
    <col min="16130" max="16130" width="30.83203125" style="1366" customWidth="1"/>
    <col min="16131" max="16131" width="13.83203125" style="1366" customWidth="1"/>
    <col min="16132" max="16132" width="14" style="1366" customWidth="1"/>
    <col min="16133" max="16133" width="13" style="1366" customWidth="1"/>
    <col min="16134" max="16134" width="14.6640625" style="1366" customWidth="1"/>
    <col min="16135" max="16135" width="11.83203125" style="1366" customWidth="1"/>
    <col min="16136" max="16136" width="11.6640625" style="1366" customWidth="1"/>
    <col min="16137" max="16137" width="12.5" style="1366" customWidth="1"/>
    <col min="16138" max="16138" width="11.33203125" style="1366" customWidth="1"/>
    <col min="16139" max="16139" width="17" style="1366" customWidth="1"/>
    <col min="16140" max="16140" width="12.1640625" style="1366" customWidth="1"/>
    <col min="16141" max="16146" width="13" style="1366" customWidth="1"/>
    <col min="16147" max="16147" width="13.1640625" style="1366" customWidth="1"/>
    <col min="16148" max="16148" width="15" style="1366" customWidth="1"/>
    <col min="16149" max="16149" width="12.5" style="1366" customWidth="1"/>
    <col min="16150" max="16150" width="11.6640625" style="1366" customWidth="1"/>
    <col min="16151" max="16151" width="14.1640625" style="1366" customWidth="1"/>
    <col min="16152" max="16152" width="12" style="1366" customWidth="1"/>
    <col min="16153" max="16153" width="8.5" style="1366" customWidth="1"/>
    <col min="16154" max="16154" width="10.1640625" style="1366" customWidth="1"/>
    <col min="16155" max="16155" width="10.6640625" style="1366" customWidth="1"/>
    <col min="16156" max="16156" width="8.5" style="1366" customWidth="1"/>
    <col min="16157" max="16157" width="10" style="1366" customWidth="1"/>
    <col min="16158" max="16159" width="8.5" style="1366" customWidth="1"/>
    <col min="16160" max="16160" width="10.83203125" style="1366" customWidth="1"/>
    <col min="16161" max="16161" width="9.5" style="1366" customWidth="1"/>
    <col min="16162" max="16162" width="9.33203125" style="1366" customWidth="1"/>
    <col min="16163" max="16163" width="13" style="1366" customWidth="1"/>
    <col min="16164" max="16164" width="14.5" style="1366" customWidth="1"/>
    <col min="16165" max="16165" width="12.6640625" style="1366" bestFit="1" customWidth="1"/>
    <col min="16166" max="16167" width="0" style="1366" hidden="1" customWidth="1"/>
    <col min="16168" max="16168" width="9.33203125" style="1366"/>
    <col min="16169" max="16169" width="14.5" style="1366" bestFit="1" customWidth="1"/>
    <col min="16170" max="16384" width="9.33203125" style="1366"/>
  </cols>
  <sheetData>
    <row r="1" spans="1:44" ht="21.75" customHeight="1" x14ac:dyDescent="0.2">
      <c r="AF1" s="2530"/>
      <c r="AG1" s="2530"/>
      <c r="AH1" s="2530"/>
      <c r="AI1" s="2530"/>
    </row>
    <row r="2" spans="1:44" ht="24" customHeight="1" x14ac:dyDescent="0.2">
      <c r="A2" s="2531" t="s">
        <v>1560</v>
      </c>
      <c r="B2" s="2531"/>
      <c r="C2" s="2531"/>
      <c r="D2" s="2531"/>
      <c r="E2" s="2531"/>
      <c r="F2" s="2531"/>
      <c r="G2" s="2531"/>
      <c r="H2" s="2531"/>
      <c r="I2" s="2531"/>
      <c r="J2" s="2531"/>
      <c r="K2" s="2531"/>
      <c r="L2" s="2531"/>
      <c r="M2" s="2531"/>
      <c r="N2" s="2531"/>
      <c r="O2" s="2531"/>
      <c r="P2" s="2531"/>
      <c r="Q2" s="2531"/>
      <c r="R2" s="2531"/>
      <c r="S2" s="2531"/>
      <c r="T2" s="2531"/>
      <c r="U2" s="2531"/>
      <c r="V2" s="2531"/>
      <c r="W2" s="2531"/>
      <c r="X2" s="2531"/>
      <c r="Y2" s="2531"/>
      <c r="Z2" s="2531"/>
      <c r="AA2" s="2531"/>
      <c r="AB2" s="2531"/>
      <c r="AC2" s="2531"/>
      <c r="AD2" s="2531"/>
      <c r="AE2" s="2531"/>
      <c r="AF2" s="2531"/>
      <c r="AG2" s="2531"/>
      <c r="AH2" s="2531"/>
      <c r="AI2" s="2531"/>
      <c r="AJ2" s="1367"/>
    </row>
    <row r="3" spans="1:44" ht="24.75" customHeight="1" x14ac:dyDescent="0.2">
      <c r="A3" s="1368"/>
      <c r="B3" s="1367"/>
      <c r="C3" s="1367"/>
      <c r="D3" s="1367"/>
      <c r="E3" s="1367"/>
      <c r="F3" s="1367"/>
      <c r="G3" s="1367"/>
      <c r="H3" s="1367"/>
      <c r="I3" s="1367"/>
      <c r="J3" s="1367"/>
      <c r="K3" s="1367"/>
      <c r="L3" s="1367"/>
      <c r="N3" s="1369"/>
      <c r="O3" s="1367"/>
      <c r="P3" s="1367"/>
      <c r="Q3" s="1367"/>
      <c r="R3" s="1367"/>
      <c r="S3" s="1367"/>
      <c r="T3" s="1367"/>
      <c r="U3" s="1367"/>
      <c r="V3" s="1367"/>
      <c r="W3" s="1370"/>
      <c r="X3" s="1367"/>
      <c r="Y3" s="1367"/>
      <c r="Z3" s="1367"/>
      <c r="AA3" s="1367"/>
      <c r="AB3" s="1367"/>
      <c r="AC3" s="1367"/>
      <c r="AD3" s="1367"/>
      <c r="AE3" s="1367"/>
      <c r="AF3" s="1367"/>
      <c r="AG3" s="1367"/>
      <c r="AH3" s="1367"/>
      <c r="AI3" s="1367"/>
      <c r="AJ3" s="1367"/>
    </row>
    <row r="4" spans="1:44" s="1491" customFormat="1" ht="15.75" x14ac:dyDescent="0.2">
      <c r="A4" s="1490"/>
      <c r="M4" s="1371">
        <v>0.29653000000000002</v>
      </c>
      <c r="N4" s="1499">
        <v>0.18303</v>
      </c>
      <c r="AI4" s="1494">
        <v>43829</v>
      </c>
    </row>
    <row r="5" spans="1:44" ht="38.25" customHeight="1" x14ac:dyDescent="0.2">
      <c r="A5" s="2519" t="s">
        <v>78</v>
      </c>
      <c r="B5" s="2519" t="s">
        <v>77</v>
      </c>
      <c r="C5" s="2519" t="s">
        <v>1536</v>
      </c>
      <c r="D5" s="2519" t="s">
        <v>3</v>
      </c>
      <c r="E5" s="2519"/>
      <c r="F5" s="2519"/>
      <c r="G5" s="2519"/>
      <c r="H5" s="2519"/>
      <c r="I5" s="2519"/>
      <c r="J5" s="2519"/>
      <c r="K5" s="2519"/>
      <c r="L5" s="2519"/>
      <c r="M5" s="2519"/>
      <c r="N5" s="2519"/>
      <c r="O5" s="2519"/>
      <c r="P5" s="2519"/>
      <c r="Q5" s="2519"/>
      <c r="R5" s="2519"/>
      <c r="S5" s="2519"/>
      <c r="T5" s="2519"/>
      <c r="U5" s="2519"/>
      <c r="V5" s="2519"/>
      <c r="W5" s="2519"/>
      <c r="X5" s="2519"/>
      <c r="Y5" s="2532" t="s">
        <v>4</v>
      </c>
      <c r="Z5" s="2533"/>
      <c r="AA5" s="2533"/>
      <c r="AB5" s="2533"/>
      <c r="AC5" s="2533"/>
      <c r="AD5" s="2533"/>
      <c r="AE5" s="2533"/>
      <c r="AF5" s="2533"/>
      <c r="AG5" s="2533"/>
      <c r="AH5" s="2533"/>
      <c r="AI5" s="2534"/>
    </row>
    <row r="6" spans="1:44" ht="60" customHeight="1" x14ac:dyDescent="0.2">
      <c r="A6" s="2519"/>
      <c r="B6" s="2519"/>
      <c r="C6" s="2519"/>
      <c r="D6" s="2518" t="s">
        <v>68</v>
      </c>
      <c r="E6" s="2518" t="s">
        <v>69</v>
      </c>
      <c r="F6" s="2518" t="s">
        <v>89</v>
      </c>
      <c r="G6" s="2518" t="s">
        <v>1</v>
      </c>
      <c r="H6" s="2518" t="s">
        <v>2</v>
      </c>
      <c r="I6" s="2518" t="s">
        <v>1537</v>
      </c>
      <c r="J6" s="2518" t="s">
        <v>70</v>
      </c>
      <c r="K6" s="2518" t="s">
        <v>61</v>
      </c>
      <c r="L6" s="2518" t="s">
        <v>27</v>
      </c>
      <c r="M6" s="2525" t="s">
        <v>65</v>
      </c>
      <c r="N6" s="2526" t="s">
        <v>86</v>
      </c>
      <c r="O6" s="2528" t="s">
        <v>1538</v>
      </c>
      <c r="P6" s="2529"/>
      <c r="Q6" s="2526" t="s">
        <v>88</v>
      </c>
      <c r="R6" s="2526" t="s">
        <v>82</v>
      </c>
      <c r="S6" s="2518" t="s">
        <v>83</v>
      </c>
      <c r="T6" s="2525" t="s">
        <v>87</v>
      </c>
      <c r="U6" s="2518" t="s">
        <v>84</v>
      </c>
      <c r="V6" s="2518" t="s">
        <v>9</v>
      </c>
      <c r="W6" s="2518" t="s">
        <v>7</v>
      </c>
      <c r="X6" s="2518" t="s">
        <v>85</v>
      </c>
      <c r="Y6" s="2519" t="s">
        <v>10</v>
      </c>
      <c r="Z6" s="2519"/>
      <c r="AA6" s="2519"/>
      <c r="AB6" s="2519" t="s">
        <v>11</v>
      </c>
      <c r="AC6" s="2519"/>
      <c r="AD6" s="2519"/>
      <c r="AE6" s="2519" t="s">
        <v>12</v>
      </c>
      <c r="AF6" s="2519"/>
      <c r="AG6" s="2519"/>
      <c r="AH6" s="2519" t="s">
        <v>13</v>
      </c>
      <c r="AI6" s="2519" t="s">
        <v>73</v>
      </c>
    </row>
    <row r="7" spans="1:44" ht="97.5" customHeight="1" x14ac:dyDescent="0.2">
      <c r="A7" s="2519"/>
      <c r="B7" s="2519"/>
      <c r="C7" s="2519"/>
      <c r="D7" s="2518"/>
      <c r="E7" s="2518"/>
      <c r="F7" s="2518"/>
      <c r="G7" s="2518"/>
      <c r="H7" s="2518"/>
      <c r="I7" s="2518"/>
      <c r="J7" s="2518"/>
      <c r="K7" s="2518"/>
      <c r="L7" s="2518"/>
      <c r="M7" s="2525" t="s">
        <v>66</v>
      </c>
      <c r="N7" s="2527"/>
      <c r="O7" s="1372" t="s">
        <v>80</v>
      </c>
      <c r="P7" s="1372" t="s">
        <v>81</v>
      </c>
      <c r="Q7" s="2527"/>
      <c r="R7" s="2527"/>
      <c r="S7" s="2518"/>
      <c r="T7" s="2525" t="s">
        <v>67</v>
      </c>
      <c r="U7" s="2518"/>
      <c r="V7" s="2518"/>
      <c r="W7" s="2518"/>
      <c r="X7" s="2518"/>
      <c r="Y7" s="1373" t="s">
        <v>5</v>
      </c>
      <c r="Z7" s="1373" t="s">
        <v>6</v>
      </c>
      <c r="AA7" s="1373" t="s">
        <v>74</v>
      </c>
      <c r="AB7" s="1373" t="s">
        <v>5</v>
      </c>
      <c r="AC7" s="1373" t="s">
        <v>6</v>
      </c>
      <c r="AD7" s="1373" t="s">
        <v>75</v>
      </c>
      <c r="AE7" s="1373" t="s">
        <v>5</v>
      </c>
      <c r="AF7" s="1373" t="s">
        <v>6</v>
      </c>
      <c r="AG7" s="1373" t="s">
        <v>76</v>
      </c>
      <c r="AH7" s="2519"/>
      <c r="AI7" s="2519"/>
      <c r="AK7" s="1366" t="s">
        <v>64</v>
      </c>
      <c r="AL7" s="1366" t="s">
        <v>62</v>
      </c>
      <c r="AM7" s="1366" t="s">
        <v>63</v>
      </c>
      <c r="AN7" s="1374" t="s">
        <v>116</v>
      </c>
      <c r="AO7" s="1374" t="s">
        <v>117</v>
      </c>
      <c r="AP7" s="1374" t="s">
        <v>118</v>
      </c>
      <c r="AQ7" s="1374" t="s">
        <v>119</v>
      </c>
    </row>
    <row r="8" spans="1:44" ht="15" x14ac:dyDescent="0.2">
      <c r="A8" s="1375">
        <v>1</v>
      </c>
      <c r="B8" s="1375">
        <v>2</v>
      </c>
      <c r="C8" s="1375">
        <v>3</v>
      </c>
      <c r="D8" s="1375">
        <v>4</v>
      </c>
      <c r="E8" s="1375">
        <v>5</v>
      </c>
      <c r="F8" s="1375">
        <v>6</v>
      </c>
      <c r="G8" s="1375">
        <v>7</v>
      </c>
      <c r="H8" s="1375">
        <v>8</v>
      </c>
      <c r="I8" s="1375">
        <v>9</v>
      </c>
      <c r="J8" s="1375">
        <v>10</v>
      </c>
      <c r="K8" s="1375">
        <v>11</v>
      </c>
      <c r="L8" s="1375">
        <v>12</v>
      </c>
      <c r="M8" s="1375">
        <v>13</v>
      </c>
      <c r="N8" s="1375">
        <v>14</v>
      </c>
      <c r="O8" s="1375">
        <v>15</v>
      </c>
      <c r="P8" s="1375">
        <v>16</v>
      </c>
      <c r="Q8" s="1375">
        <v>17</v>
      </c>
      <c r="R8" s="1375">
        <v>18</v>
      </c>
      <c r="S8" s="1375">
        <v>19</v>
      </c>
      <c r="T8" s="1375">
        <v>20</v>
      </c>
      <c r="U8" s="1375">
        <v>21</v>
      </c>
      <c r="V8" s="1375">
        <v>22</v>
      </c>
      <c r="W8" s="1375">
        <v>23</v>
      </c>
      <c r="X8" s="1375">
        <v>24</v>
      </c>
      <c r="Y8" s="1375">
        <v>25</v>
      </c>
      <c r="Z8" s="1375">
        <v>26</v>
      </c>
      <c r="AA8" s="1375">
        <v>27</v>
      </c>
      <c r="AB8" s="1375">
        <v>28</v>
      </c>
      <c r="AC8" s="1375">
        <v>29</v>
      </c>
      <c r="AD8" s="1375">
        <v>30</v>
      </c>
      <c r="AE8" s="1375">
        <v>31</v>
      </c>
      <c r="AF8" s="1375">
        <v>32</v>
      </c>
      <c r="AG8" s="1375">
        <v>33</v>
      </c>
      <c r="AH8" s="1375">
        <v>34</v>
      </c>
      <c r="AI8" s="1375">
        <v>35</v>
      </c>
      <c r="AJ8" s="1365">
        <f>W9/12/C9*1000</f>
        <v>116558.33333333299</v>
      </c>
      <c r="AK8" s="1365">
        <f>W9*1.043/C9</f>
        <v>1458.8441</v>
      </c>
      <c r="AL8" s="1365">
        <f>((979*0.302)+((AK8-979)*0.182))</f>
        <v>382.98962619999998</v>
      </c>
      <c r="AM8" s="1365">
        <f>AL8/AK8</f>
        <v>0.262529509630261</v>
      </c>
      <c r="AN8" s="1374">
        <f>1150*0.22+(AK8-1150)*0.1</f>
        <v>283.88</v>
      </c>
      <c r="AO8" s="1374">
        <f>865*0.029</f>
        <v>25.09</v>
      </c>
      <c r="AP8" s="1374">
        <f>AK8*0.053</f>
        <v>77.319999999999993</v>
      </c>
      <c r="AQ8" s="1374">
        <f>SUM(AN8:AP8)</f>
        <v>386.29</v>
      </c>
    </row>
    <row r="9" spans="1:44" s="1391" customFormat="1" ht="16.5" customHeight="1" x14ac:dyDescent="0.2">
      <c r="A9" s="1376">
        <v>1</v>
      </c>
      <c r="B9" s="1377" t="s">
        <v>14</v>
      </c>
      <c r="C9" s="1378">
        <v>1</v>
      </c>
      <c r="D9" s="1379">
        <v>20.442</v>
      </c>
      <c r="E9" s="1380">
        <f t="shared" ref="E9:E20" si="0">C9*D9</f>
        <v>20.440000000000001</v>
      </c>
      <c r="F9" s="1381">
        <f t="shared" ref="F9:F20" si="1">E9*12</f>
        <v>245.3</v>
      </c>
      <c r="G9" s="1382"/>
      <c r="H9" s="1382"/>
      <c r="I9" s="1382"/>
      <c r="J9" s="1382"/>
      <c r="K9" s="1382"/>
      <c r="L9" s="1382">
        <f>F9*0.3</f>
        <v>73.599999999999994</v>
      </c>
      <c r="M9" s="1382">
        <f>F9*$N$4+0.85</f>
        <v>45.7</v>
      </c>
      <c r="N9" s="1382">
        <f t="shared" ref="N9:N20" si="2">F9+G9+H9+I9+J9+K9+L9+M9</f>
        <v>364.6</v>
      </c>
      <c r="O9" s="1383">
        <v>0.43</v>
      </c>
      <c r="P9" s="1382">
        <f t="shared" ref="P9:P20" si="3">N9*O9</f>
        <v>156.80000000000001</v>
      </c>
      <c r="Q9" s="1382">
        <f t="shared" ref="Q9:Q20" si="4">N9+P9</f>
        <v>521.4</v>
      </c>
      <c r="R9" s="1382">
        <f t="shared" ref="R9:R20" si="5">Q9*0.8</f>
        <v>417.1</v>
      </c>
      <c r="S9" s="1382">
        <f t="shared" ref="S9:S20" si="6">Q9*0.8</f>
        <v>417.1</v>
      </c>
      <c r="T9" s="1382">
        <f t="shared" ref="T9:T20" si="7">(Q9+R9+S9)*0.032</f>
        <v>43.4</v>
      </c>
      <c r="U9" s="1382">
        <f>Q9+R9+S9+T9-0.3</f>
        <v>1398.7</v>
      </c>
      <c r="V9" s="2515">
        <v>1</v>
      </c>
      <c r="W9" s="1382">
        <f>U9*$V$9</f>
        <v>1398.7</v>
      </c>
      <c r="X9" s="1382">
        <f>AQ9</f>
        <v>377.1</v>
      </c>
      <c r="Y9" s="1376">
        <v>1</v>
      </c>
      <c r="Z9" s="1384">
        <v>30</v>
      </c>
      <c r="AA9" s="1378">
        <f t="shared" ref="AA9:AA20" si="8">Y9*Z9</f>
        <v>30</v>
      </c>
      <c r="AB9" s="1376"/>
      <c r="AC9" s="1384">
        <v>15</v>
      </c>
      <c r="AD9" s="1378">
        <f t="shared" ref="AD9:AD20" si="9">AB9*AC9</f>
        <v>0</v>
      </c>
      <c r="AE9" s="1376"/>
      <c r="AF9" s="1384">
        <v>30</v>
      </c>
      <c r="AG9" s="1378">
        <f t="shared" ref="AG9:AG20" si="10">AE9*AF9</f>
        <v>0</v>
      </c>
      <c r="AH9" s="1378">
        <f t="shared" ref="AH9:AH20" si="11">(AA9+AD9+AG9)*1%*30</f>
        <v>9</v>
      </c>
      <c r="AI9" s="1378">
        <f t="shared" ref="AI9:AI20" si="12">AA9+AD9+AG9+AH9</f>
        <v>39</v>
      </c>
      <c r="AJ9" s="1385">
        <f t="shared" ref="AJ9:AJ20" si="13">W9/12/C9*1000</f>
        <v>116558.3</v>
      </c>
      <c r="AK9" s="1386">
        <f t="shared" ref="AK9:AK20" si="14">W9/C9</f>
        <v>1398.7</v>
      </c>
      <c r="AL9" s="1387">
        <f>((979*0.302)+((AK9-979)*0.182))</f>
        <v>372</v>
      </c>
      <c r="AM9" s="1388">
        <f>AL9/AK9</f>
        <v>0.26600000000000001</v>
      </c>
      <c r="AN9" s="1389">
        <f>1150*0.22+(AK9-1150)*0.1</f>
        <v>277.89999999999998</v>
      </c>
      <c r="AO9" s="1389">
        <f>865*0.029</f>
        <v>25.1</v>
      </c>
      <c r="AP9" s="1389">
        <f>AK9*0.053</f>
        <v>74.099999999999994</v>
      </c>
      <c r="AQ9" s="1389">
        <f>SUM(AN9:AP9)</f>
        <v>377.1</v>
      </c>
      <c r="AR9" s="1390">
        <f>AQ8-AQ9</f>
        <v>9.19</v>
      </c>
    </row>
    <row r="10" spans="1:44" s="1391" customFormat="1" ht="15" x14ac:dyDescent="0.2">
      <c r="A10" s="1376">
        <v>2</v>
      </c>
      <c r="B10" s="1377" t="s">
        <v>127</v>
      </c>
      <c r="C10" s="1378">
        <v>3</v>
      </c>
      <c r="D10" s="1379">
        <v>14.308999999999999</v>
      </c>
      <c r="E10" s="1380">
        <f t="shared" si="0"/>
        <v>42.93</v>
      </c>
      <c r="F10" s="1381">
        <f t="shared" si="1"/>
        <v>515.20000000000005</v>
      </c>
      <c r="G10" s="1382"/>
      <c r="H10" s="1382"/>
      <c r="I10" s="1382"/>
      <c r="J10" s="1382"/>
      <c r="K10" s="1382"/>
      <c r="L10" s="1382">
        <f>D10*0.3*2*12</f>
        <v>103</v>
      </c>
      <c r="M10" s="1382">
        <f>F10*$N$4+2.55</f>
        <v>96.8</v>
      </c>
      <c r="N10" s="1382">
        <f t="shared" si="2"/>
        <v>715</v>
      </c>
      <c r="O10" s="1383">
        <v>0.43</v>
      </c>
      <c r="P10" s="1382">
        <f t="shared" si="3"/>
        <v>307.5</v>
      </c>
      <c r="Q10" s="1382">
        <f t="shared" si="4"/>
        <v>1022.5</v>
      </c>
      <c r="R10" s="1382">
        <f t="shared" si="5"/>
        <v>818</v>
      </c>
      <c r="S10" s="1382">
        <f t="shared" si="6"/>
        <v>818</v>
      </c>
      <c r="T10" s="1382">
        <f t="shared" si="7"/>
        <v>85.1</v>
      </c>
      <c r="U10" s="1382">
        <f t="shared" ref="U10:U20" si="15">Q10+R10+S10+T10</f>
        <v>2743.6</v>
      </c>
      <c r="V10" s="2516"/>
      <c r="W10" s="1382">
        <f t="shared" ref="W10:W19" si="16">U10*$V$9</f>
        <v>2743.6</v>
      </c>
      <c r="X10" s="1392">
        <f>W10*0.302</f>
        <v>828.6</v>
      </c>
      <c r="Y10" s="1376">
        <v>1</v>
      </c>
      <c r="Z10" s="1384">
        <v>30</v>
      </c>
      <c r="AA10" s="1378">
        <f t="shared" si="8"/>
        <v>30</v>
      </c>
      <c r="AB10" s="1376"/>
      <c r="AC10" s="1384">
        <v>15</v>
      </c>
      <c r="AD10" s="1378">
        <f t="shared" si="9"/>
        <v>0</v>
      </c>
      <c r="AE10" s="1376"/>
      <c r="AF10" s="1384">
        <v>30</v>
      </c>
      <c r="AG10" s="1378">
        <f t="shared" si="10"/>
        <v>0</v>
      </c>
      <c r="AH10" s="1378">
        <f t="shared" si="11"/>
        <v>9</v>
      </c>
      <c r="AI10" s="1378">
        <f t="shared" si="12"/>
        <v>39</v>
      </c>
      <c r="AJ10" s="1385">
        <f t="shared" si="13"/>
        <v>76211.100000000006</v>
      </c>
      <c r="AK10" s="1386">
        <f>W10/C10</f>
        <v>914.5</v>
      </c>
      <c r="AL10" s="1387">
        <f t="shared" ref="AL10:AL20" si="17">((979*0.302)+((AK10-979)*0.182))</f>
        <v>283.89999999999998</v>
      </c>
      <c r="AM10" s="1388">
        <v>0.30199999999999999</v>
      </c>
      <c r="AN10" s="1389"/>
      <c r="AO10" s="1389"/>
      <c r="AP10" s="1389"/>
      <c r="AQ10" s="1389"/>
    </row>
    <row r="11" spans="1:44" s="1404" customFormat="1" ht="30" x14ac:dyDescent="0.2">
      <c r="A11" s="1393">
        <v>3</v>
      </c>
      <c r="B11" s="1394" t="s">
        <v>1539</v>
      </c>
      <c r="C11" s="1395">
        <v>12.89</v>
      </c>
      <c r="D11" s="1396">
        <v>6.8140000000000001</v>
      </c>
      <c r="E11" s="1395">
        <f t="shared" si="0"/>
        <v>87.83</v>
      </c>
      <c r="F11" s="1397">
        <f t="shared" si="1"/>
        <v>1054</v>
      </c>
      <c r="G11" s="1397"/>
      <c r="H11" s="1397"/>
      <c r="I11" s="1397">
        <f>D11*0.15*11.4*12</f>
        <v>139.80000000000001</v>
      </c>
      <c r="J11" s="1397">
        <f>(D11*0.25*1.47+D11*0.1*1.56)*12</f>
        <v>42.8</v>
      </c>
      <c r="K11" s="1397">
        <f>F11*0.2</f>
        <v>210.8</v>
      </c>
      <c r="L11" s="1397">
        <f>D11*0.3*12.37*12</f>
        <v>303.39999999999998</v>
      </c>
      <c r="M11" s="1397">
        <f>F11*$M$4</f>
        <v>312.5</v>
      </c>
      <c r="N11" s="1397">
        <f t="shared" si="2"/>
        <v>2063.3000000000002</v>
      </c>
      <c r="O11" s="1395">
        <v>0.92</v>
      </c>
      <c r="P11" s="1397">
        <f t="shared" si="3"/>
        <v>1898.2</v>
      </c>
      <c r="Q11" s="1397">
        <f t="shared" si="4"/>
        <v>3961.5</v>
      </c>
      <c r="R11" s="1397">
        <f t="shared" si="5"/>
        <v>3169.2</v>
      </c>
      <c r="S11" s="1397">
        <f t="shared" si="6"/>
        <v>3169.2</v>
      </c>
      <c r="T11" s="1397">
        <f t="shared" si="7"/>
        <v>329.6</v>
      </c>
      <c r="U11" s="1397">
        <f t="shared" si="15"/>
        <v>10629.5</v>
      </c>
      <c r="V11" s="2516"/>
      <c r="W11" s="1397">
        <f t="shared" si="16"/>
        <v>10629.5</v>
      </c>
      <c r="X11" s="1397">
        <f>W11*0.302-17</f>
        <v>3193.1</v>
      </c>
      <c r="Y11" s="1398">
        <v>6</v>
      </c>
      <c r="Z11" s="1399">
        <v>30</v>
      </c>
      <c r="AA11" s="1395">
        <f t="shared" si="8"/>
        <v>180</v>
      </c>
      <c r="AB11" s="1398">
        <v>2</v>
      </c>
      <c r="AC11" s="1399">
        <v>15</v>
      </c>
      <c r="AD11" s="1395">
        <f t="shared" si="9"/>
        <v>30</v>
      </c>
      <c r="AE11" s="1398">
        <v>2</v>
      </c>
      <c r="AF11" s="1399">
        <v>30</v>
      </c>
      <c r="AG11" s="1395">
        <f t="shared" si="10"/>
        <v>60</v>
      </c>
      <c r="AH11" s="1395">
        <f t="shared" si="11"/>
        <v>81</v>
      </c>
      <c r="AI11" s="1395">
        <f t="shared" si="12"/>
        <v>351</v>
      </c>
      <c r="AJ11" s="1400">
        <f t="shared" si="13"/>
        <v>68719.3</v>
      </c>
      <c r="AK11" s="1401">
        <f t="shared" si="14"/>
        <v>824.6</v>
      </c>
      <c r="AL11" s="1402">
        <f t="shared" si="17"/>
        <v>267.60000000000002</v>
      </c>
      <c r="AM11" s="1403">
        <v>0.30199999999999999</v>
      </c>
    </row>
    <row r="12" spans="1:44" s="1404" customFormat="1" ht="30" x14ac:dyDescent="0.2">
      <c r="A12" s="1393">
        <v>4</v>
      </c>
      <c r="B12" s="1394" t="s">
        <v>1540</v>
      </c>
      <c r="C12" s="1395">
        <v>5.33</v>
      </c>
      <c r="D12" s="1396">
        <v>6.8140000000000001</v>
      </c>
      <c r="E12" s="1395">
        <f>C12*D12</f>
        <v>36.32</v>
      </c>
      <c r="F12" s="1397">
        <f>E12*12</f>
        <v>435.8</v>
      </c>
      <c r="G12" s="1397"/>
      <c r="H12" s="1397"/>
      <c r="I12" s="1397">
        <f>D12*0.15*3.62*12</f>
        <v>44.4</v>
      </c>
      <c r="J12" s="1397"/>
      <c r="K12" s="1397">
        <f>F12*0.15</f>
        <v>65.400000000000006</v>
      </c>
      <c r="L12" s="1397">
        <f>D12*5.33*0.3*12</f>
        <v>130.69999999999999</v>
      </c>
      <c r="M12" s="1397">
        <f>F12*$M$4</f>
        <v>129.19999999999999</v>
      </c>
      <c r="N12" s="1397">
        <f t="shared" si="2"/>
        <v>805.5</v>
      </c>
      <c r="O12" s="1395">
        <v>0.86</v>
      </c>
      <c r="P12" s="1397">
        <f>N12*O12</f>
        <v>692.7</v>
      </c>
      <c r="Q12" s="1397">
        <f>N12+P12</f>
        <v>1498.2</v>
      </c>
      <c r="R12" s="1397">
        <f>Q12*0.8</f>
        <v>1198.5999999999999</v>
      </c>
      <c r="S12" s="1397">
        <f>Q12*0.8</f>
        <v>1198.5999999999999</v>
      </c>
      <c r="T12" s="1397">
        <f>(Q12+R12+S12)*0.032</f>
        <v>124.7</v>
      </c>
      <c r="U12" s="1397">
        <f>Q12+R12+S12+T12</f>
        <v>4020.1</v>
      </c>
      <c r="V12" s="2516"/>
      <c r="W12" s="1397">
        <f>U12*$V$9</f>
        <v>4020.1</v>
      </c>
      <c r="X12" s="1397">
        <f t="shared" ref="X12:X19" si="18">W12*0.302</f>
        <v>1214.0999999999999</v>
      </c>
      <c r="Y12" s="1398"/>
      <c r="Z12" s="1399">
        <v>30</v>
      </c>
      <c r="AA12" s="1395">
        <f>Y12*Z12</f>
        <v>0</v>
      </c>
      <c r="AB12" s="1398"/>
      <c r="AC12" s="1399">
        <v>15</v>
      </c>
      <c r="AD12" s="1395">
        <f>AB12*AC12</f>
        <v>0</v>
      </c>
      <c r="AE12" s="1398"/>
      <c r="AF12" s="1399">
        <v>30</v>
      </c>
      <c r="AG12" s="1395">
        <f>AE12*AF12</f>
        <v>0</v>
      </c>
      <c r="AH12" s="1395">
        <f>(AA12+AD12+AG12)*1%*30</f>
        <v>0</v>
      </c>
      <c r="AI12" s="1395">
        <f>AA12+AD12+AG12+AH12</f>
        <v>0</v>
      </c>
      <c r="AJ12" s="1400">
        <f t="shared" si="13"/>
        <v>62853.3</v>
      </c>
      <c r="AK12" s="1401">
        <f t="shared" si="14"/>
        <v>754.2</v>
      </c>
      <c r="AL12" s="1402">
        <f t="shared" si="17"/>
        <v>254.7</v>
      </c>
      <c r="AM12" s="1403">
        <v>0.30199999999999999</v>
      </c>
    </row>
    <row r="13" spans="1:44" s="1404" customFormat="1" ht="27.75" customHeight="1" x14ac:dyDescent="0.2">
      <c r="A13" s="1393">
        <v>5</v>
      </c>
      <c r="B13" s="1394" t="s">
        <v>1541</v>
      </c>
      <c r="C13" s="1395">
        <f>19.69-C11-C12</f>
        <v>1.47</v>
      </c>
      <c r="D13" s="1396">
        <v>6.8140000000000001</v>
      </c>
      <c r="E13" s="1395">
        <f>C13*D13</f>
        <v>10.02</v>
      </c>
      <c r="F13" s="1397">
        <f>E13*12</f>
        <v>120.2</v>
      </c>
      <c r="G13" s="1397"/>
      <c r="H13" s="1397"/>
      <c r="I13" s="1397"/>
      <c r="J13" s="1397"/>
      <c r="K13" s="1397"/>
      <c r="L13" s="1397">
        <f>D13*0.2*1.47*12</f>
        <v>24</v>
      </c>
      <c r="M13" s="1397">
        <f t="shared" ref="M13" si="19">F13*$M$4</f>
        <v>35.6</v>
      </c>
      <c r="N13" s="1397">
        <f t="shared" si="2"/>
        <v>179.8</v>
      </c>
      <c r="O13" s="1395">
        <v>0.82</v>
      </c>
      <c r="P13" s="1397">
        <f>N13*O13</f>
        <v>147.4</v>
      </c>
      <c r="Q13" s="1397">
        <f>N13+P13</f>
        <v>327.2</v>
      </c>
      <c r="R13" s="1397">
        <f>Q13*0.8</f>
        <v>261.8</v>
      </c>
      <c r="S13" s="1397">
        <f>Q13*0.8</f>
        <v>261.8</v>
      </c>
      <c r="T13" s="1397">
        <f>(Q13+R13+S13)*0.032</f>
        <v>27.2</v>
      </c>
      <c r="U13" s="1397">
        <f>Q13+R13+S13+T13</f>
        <v>878</v>
      </c>
      <c r="V13" s="2516"/>
      <c r="W13" s="1397">
        <f>U13*$V$9-0.4</f>
        <v>877.6</v>
      </c>
      <c r="X13" s="1397">
        <f t="shared" si="18"/>
        <v>265</v>
      </c>
      <c r="Y13" s="1398"/>
      <c r="Z13" s="1399">
        <v>30</v>
      </c>
      <c r="AA13" s="1395">
        <f>Y13*Z13</f>
        <v>0</v>
      </c>
      <c r="AB13" s="1398"/>
      <c r="AC13" s="1399">
        <v>15</v>
      </c>
      <c r="AD13" s="1395">
        <f>AB13*AC13</f>
        <v>0</v>
      </c>
      <c r="AE13" s="1398"/>
      <c r="AF13" s="1399">
        <v>30</v>
      </c>
      <c r="AG13" s="1395">
        <f>AE13*AF13</f>
        <v>0</v>
      </c>
      <c r="AH13" s="1395">
        <f>(AA13+AD13+AG13)*1%*30</f>
        <v>0</v>
      </c>
      <c r="AI13" s="1395">
        <f>AA13+AD13+AG13+AH13</f>
        <v>0</v>
      </c>
      <c r="AJ13" s="1400">
        <f t="shared" si="13"/>
        <v>49750.6</v>
      </c>
      <c r="AK13" s="1401">
        <f t="shared" si="14"/>
        <v>597</v>
      </c>
      <c r="AL13" s="1402">
        <f t="shared" si="17"/>
        <v>226.1</v>
      </c>
      <c r="AM13" s="1403">
        <v>0.30199999999999999</v>
      </c>
    </row>
    <row r="14" spans="1:44" s="1413" customFormat="1" ht="27.75" customHeight="1" x14ac:dyDescent="0.2">
      <c r="A14" s="1376">
        <v>6</v>
      </c>
      <c r="B14" s="1405" t="s">
        <v>1542</v>
      </c>
      <c r="C14" s="1406">
        <v>1</v>
      </c>
      <c r="D14" s="1379">
        <v>3.7789999999999999</v>
      </c>
      <c r="E14" s="1406">
        <f>C14*D14</f>
        <v>3.78</v>
      </c>
      <c r="F14" s="1392">
        <f>E14*12</f>
        <v>45.4</v>
      </c>
      <c r="G14" s="1392"/>
      <c r="H14" s="1392"/>
      <c r="I14" s="1392"/>
      <c r="J14" s="1392"/>
      <c r="K14" s="1392"/>
      <c r="L14" s="1392"/>
      <c r="M14" s="1392">
        <f>F14*$N$4+0.85</f>
        <v>9.1999999999999993</v>
      </c>
      <c r="N14" s="1392">
        <f>F14+G14+H14+I14+J14+K14+L14+M14</f>
        <v>54.6</v>
      </c>
      <c r="O14" s="1406">
        <v>1.46</v>
      </c>
      <c r="P14" s="1392">
        <f>N14*O14</f>
        <v>79.7</v>
      </c>
      <c r="Q14" s="1392">
        <f>N14+P14</f>
        <v>134.30000000000001</v>
      </c>
      <c r="R14" s="1392">
        <f>Q14*0.8</f>
        <v>107.4</v>
      </c>
      <c r="S14" s="1392">
        <f>Q14*0.8</f>
        <v>107.4</v>
      </c>
      <c r="T14" s="1392">
        <f>(Q14+R14+S14)*0.032</f>
        <v>11.2</v>
      </c>
      <c r="U14" s="1392">
        <f>Q14+R14+S14+T14</f>
        <v>360.3</v>
      </c>
      <c r="V14" s="2516"/>
      <c r="W14" s="1392">
        <f>U14*$V$9</f>
        <v>360.3</v>
      </c>
      <c r="X14" s="1392">
        <f t="shared" si="18"/>
        <v>108.8</v>
      </c>
      <c r="Y14" s="1407"/>
      <c r="Z14" s="1408">
        <v>31</v>
      </c>
      <c r="AA14" s="1406">
        <f>Y14*Z14</f>
        <v>0</v>
      </c>
      <c r="AB14" s="1407"/>
      <c r="AC14" s="1408">
        <v>16</v>
      </c>
      <c r="AD14" s="1406">
        <f>AB14*AC14</f>
        <v>0</v>
      </c>
      <c r="AE14" s="1407"/>
      <c r="AF14" s="1408">
        <v>31</v>
      </c>
      <c r="AG14" s="1406">
        <f>AE14*AF14</f>
        <v>0</v>
      </c>
      <c r="AH14" s="1406">
        <f>(AA14+AD14+AG14)*1%*30</f>
        <v>0</v>
      </c>
      <c r="AI14" s="1406">
        <f>AA14+AD14+AG14+AH14</f>
        <v>0</v>
      </c>
      <c r="AJ14" s="1409">
        <f t="shared" si="13"/>
        <v>30025</v>
      </c>
      <c r="AK14" s="1410">
        <f t="shared" si="14"/>
        <v>360.3</v>
      </c>
      <c r="AL14" s="1411"/>
      <c r="AM14" s="1412"/>
    </row>
    <row r="15" spans="1:44" s="1391" customFormat="1" ht="15" x14ac:dyDescent="0.2">
      <c r="A15" s="1376">
        <v>7</v>
      </c>
      <c r="B15" s="1377" t="s">
        <v>1543</v>
      </c>
      <c r="C15" s="1380">
        <v>1</v>
      </c>
      <c r="D15" s="1379">
        <v>3.4380000000000002</v>
      </c>
      <c r="E15" s="1378">
        <f t="shared" si="0"/>
        <v>3.44</v>
      </c>
      <c r="F15" s="1382">
        <f t="shared" si="1"/>
        <v>41.3</v>
      </c>
      <c r="G15" s="1382"/>
      <c r="H15" s="1382"/>
      <c r="I15" s="1382"/>
      <c r="J15" s="1382"/>
      <c r="K15" s="1382"/>
      <c r="L15" s="1382"/>
      <c r="M15" s="1382">
        <f>26+0.85</f>
        <v>26.9</v>
      </c>
      <c r="N15" s="1382">
        <f t="shared" si="2"/>
        <v>68.2</v>
      </c>
      <c r="O15" s="1378">
        <v>1.01</v>
      </c>
      <c r="P15" s="1382">
        <f t="shared" si="3"/>
        <v>68.900000000000006</v>
      </c>
      <c r="Q15" s="1382">
        <f t="shared" si="4"/>
        <v>137.1</v>
      </c>
      <c r="R15" s="1382">
        <f t="shared" si="5"/>
        <v>109.7</v>
      </c>
      <c r="S15" s="1382">
        <f t="shared" si="6"/>
        <v>109.7</v>
      </c>
      <c r="T15" s="1382">
        <f t="shared" si="7"/>
        <v>11.4</v>
      </c>
      <c r="U15" s="1382">
        <f t="shared" si="15"/>
        <v>367.9</v>
      </c>
      <c r="V15" s="2516"/>
      <c r="W15" s="1382">
        <f t="shared" si="16"/>
        <v>367.9</v>
      </c>
      <c r="X15" s="1382">
        <f t="shared" si="18"/>
        <v>111.1</v>
      </c>
      <c r="Y15" s="1376"/>
      <c r="Z15" s="1384">
        <v>30</v>
      </c>
      <c r="AA15" s="1378">
        <f t="shared" si="8"/>
        <v>0</v>
      </c>
      <c r="AB15" s="1376"/>
      <c r="AC15" s="1384">
        <v>15</v>
      </c>
      <c r="AD15" s="1378">
        <f t="shared" si="9"/>
        <v>0</v>
      </c>
      <c r="AE15" s="1376">
        <v>1</v>
      </c>
      <c r="AF15" s="1384">
        <v>30</v>
      </c>
      <c r="AG15" s="1378">
        <f t="shared" si="10"/>
        <v>30</v>
      </c>
      <c r="AH15" s="1378">
        <f t="shared" si="11"/>
        <v>9</v>
      </c>
      <c r="AI15" s="1378">
        <f t="shared" si="12"/>
        <v>39</v>
      </c>
      <c r="AJ15" s="1385">
        <f t="shared" si="13"/>
        <v>30658.3</v>
      </c>
      <c r="AK15" s="1386">
        <f t="shared" si="14"/>
        <v>367.9</v>
      </c>
      <c r="AL15" s="1387">
        <f t="shared" si="17"/>
        <v>184.4</v>
      </c>
      <c r="AM15" s="1388">
        <v>0.30199999999999999</v>
      </c>
      <c r="AN15" s="1413"/>
      <c r="AO15" s="1413"/>
      <c r="AP15" s="1413"/>
      <c r="AQ15" s="1413"/>
    </row>
    <row r="16" spans="1:44" s="1391" customFormat="1" ht="29.25" customHeight="1" x14ac:dyDescent="0.2">
      <c r="A16" s="1376">
        <v>8</v>
      </c>
      <c r="B16" s="1377" t="s">
        <v>1544</v>
      </c>
      <c r="C16" s="1378">
        <v>3.75</v>
      </c>
      <c r="D16" s="1379">
        <v>2.6619999999999999</v>
      </c>
      <c r="E16" s="1378">
        <f t="shared" si="0"/>
        <v>9.98</v>
      </c>
      <c r="F16" s="1381">
        <f t="shared" si="1"/>
        <v>119.8</v>
      </c>
      <c r="G16" s="1382"/>
      <c r="H16" s="1382"/>
      <c r="I16" s="1382"/>
      <c r="J16" s="1382"/>
      <c r="K16" s="1382"/>
      <c r="L16" s="1382"/>
      <c r="M16" s="1382">
        <f>75+3.19</f>
        <v>78.2</v>
      </c>
      <c r="N16" s="1382">
        <f t="shared" si="2"/>
        <v>198</v>
      </c>
      <c r="O16" s="1378">
        <v>1.64</v>
      </c>
      <c r="P16" s="1382">
        <f t="shared" si="3"/>
        <v>324.7</v>
      </c>
      <c r="Q16" s="1382">
        <f t="shared" si="4"/>
        <v>522.70000000000005</v>
      </c>
      <c r="R16" s="1382">
        <f t="shared" si="5"/>
        <v>418.2</v>
      </c>
      <c r="S16" s="1382">
        <f t="shared" si="6"/>
        <v>418.2</v>
      </c>
      <c r="T16" s="1382">
        <f t="shared" si="7"/>
        <v>43.5</v>
      </c>
      <c r="U16" s="1382">
        <f t="shared" si="15"/>
        <v>1402.6</v>
      </c>
      <c r="V16" s="2516"/>
      <c r="W16" s="1382">
        <f t="shared" si="16"/>
        <v>1402.6</v>
      </c>
      <c r="X16" s="1382">
        <f t="shared" si="18"/>
        <v>423.6</v>
      </c>
      <c r="Y16" s="1376">
        <v>2</v>
      </c>
      <c r="Z16" s="1384">
        <v>30</v>
      </c>
      <c r="AA16" s="1378">
        <f t="shared" si="8"/>
        <v>60</v>
      </c>
      <c r="AB16" s="1376"/>
      <c r="AC16" s="1384">
        <v>15</v>
      </c>
      <c r="AD16" s="1378">
        <f t="shared" si="9"/>
        <v>0</v>
      </c>
      <c r="AE16" s="1376"/>
      <c r="AF16" s="1384">
        <v>30</v>
      </c>
      <c r="AG16" s="1378">
        <f t="shared" si="10"/>
        <v>0</v>
      </c>
      <c r="AH16" s="1378">
        <f t="shared" si="11"/>
        <v>18</v>
      </c>
      <c r="AI16" s="1378">
        <f t="shared" si="12"/>
        <v>78</v>
      </c>
      <c r="AJ16" s="1385">
        <f t="shared" si="13"/>
        <v>31168.9</v>
      </c>
      <c r="AK16" s="1386">
        <f t="shared" si="14"/>
        <v>374</v>
      </c>
      <c r="AL16" s="1387">
        <f t="shared" si="17"/>
        <v>185.5</v>
      </c>
      <c r="AM16" s="1388">
        <v>0.30199999999999999</v>
      </c>
      <c r="AN16" s="1413"/>
      <c r="AO16" s="1413"/>
      <c r="AP16" s="1413"/>
      <c r="AQ16" s="1413"/>
    </row>
    <row r="17" spans="1:44" s="1391" customFormat="1" ht="28.5" customHeight="1" x14ac:dyDescent="0.2">
      <c r="A17" s="1376">
        <v>9</v>
      </c>
      <c r="B17" s="1377" t="s">
        <v>1545</v>
      </c>
      <c r="C17" s="1378">
        <v>1</v>
      </c>
      <c r="D17" s="1379">
        <v>2.6619999999999999</v>
      </c>
      <c r="E17" s="1378">
        <f t="shared" si="0"/>
        <v>2.66</v>
      </c>
      <c r="F17" s="1381">
        <f t="shared" si="1"/>
        <v>31.9</v>
      </c>
      <c r="G17" s="1382"/>
      <c r="H17" s="1382"/>
      <c r="I17" s="1382"/>
      <c r="J17" s="1382"/>
      <c r="K17" s="1382"/>
      <c r="L17" s="1382"/>
      <c r="M17" s="1382">
        <f>9.5+0.85</f>
        <v>10.4</v>
      </c>
      <c r="N17" s="1382">
        <f t="shared" si="2"/>
        <v>42.3</v>
      </c>
      <c r="O17" s="1378">
        <v>1.64</v>
      </c>
      <c r="P17" s="1382">
        <f t="shared" si="3"/>
        <v>69.400000000000006</v>
      </c>
      <c r="Q17" s="1382">
        <f t="shared" si="4"/>
        <v>111.7</v>
      </c>
      <c r="R17" s="1382">
        <f t="shared" si="5"/>
        <v>89.4</v>
      </c>
      <c r="S17" s="1382">
        <f t="shared" si="6"/>
        <v>89.4</v>
      </c>
      <c r="T17" s="1382">
        <f t="shared" si="7"/>
        <v>9.3000000000000007</v>
      </c>
      <c r="U17" s="1382">
        <f t="shared" si="15"/>
        <v>299.8</v>
      </c>
      <c r="V17" s="2516"/>
      <c r="W17" s="1382">
        <f t="shared" si="16"/>
        <v>299.8</v>
      </c>
      <c r="X17" s="1382">
        <f t="shared" si="18"/>
        <v>90.5</v>
      </c>
      <c r="Y17" s="1376">
        <v>1</v>
      </c>
      <c r="Z17" s="1384">
        <v>30</v>
      </c>
      <c r="AA17" s="1378">
        <f t="shared" si="8"/>
        <v>30</v>
      </c>
      <c r="AB17" s="1376">
        <v>1</v>
      </c>
      <c r="AC17" s="1384">
        <v>15</v>
      </c>
      <c r="AD17" s="1378">
        <f t="shared" si="9"/>
        <v>15</v>
      </c>
      <c r="AE17" s="1376">
        <v>1</v>
      </c>
      <c r="AF17" s="1384">
        <v>30</v>
      </c>
      <c r="AG17" s="1378">
        <f t="shared" si="10"/>
        <v>30</v>
      </c>
      <c r="AH17" s="1378">
        <f t="shared" si="11"/>
        <v>22.5</v>
      </c>
      <c r="AI17" s="1378">
        <f t="shared" si="12"/>
        <v>97.5</v>
      </c>
      <c r="AJ17" s="1385">
        <f t="shared" si="13"/>
        <v>24983.3</v>
      </c>
      <c r="AK17" s="1386">
        <f t="shared" si="14"/>
        <v>299.8</v>
      </c>
      <c r="AL17" s="1387">
        <f t="shared" si="17"/>
        <v>172</v>
      </c>
      <c r="AM17" s="1388">
        <v>0.30199999999999999</v>
      </c>
      <c r="AN17" s="1413"/>
      <c r="AO17" s="1413"/>
      <c r="AP17" s="1413"/>
      <c r="AQ17" s="1413"/>
    </row>
    <row r="18" spans="1:44" s="1391" customFormat="1" ht="15.75" customHeight="1" x14ac:dyDescent="0.2">
      <c r="A18" s="1376">
        <v>10</v>
      </c>
      <c r="B18" s="1377" t="s">
        <v>1546</v>
      </c>
      <c r="C18" s="1378">
        <v>5</v>
      </c>
      <c r="D18" s="1379">
        <v>2.6619999999999999</v>
      </c>
      <c r="E18" s="1378">
        <f t="shared" si="0"/>
        <v>13.31</v>
      </c>
      <c r="F18" s="1381">
        <f t="shared" si="1"/>
        <v>159.69999999999999</v>
      </c>
      <c r="G18" s="1382">
        <f>17625.2/1000</f>
        <v>17.600000000000001</v>
      </c>
      <c r="H18" s="1392">
        <f>5778.8/1000</f>
        <v>5.8</v>
      </c>
      <c r="I18" s="1382"/>
      <c r="J18" s="1382"/>
      <c r="K18" s="1382"/>
      <c r="L18" s="1382"/>
      <c r="M18" s="1382">
        <f>73+0.85</f>
        <v>73.900000000000006</v>
      </c>
      <c r="N18" s="1382">
        <f t="shared" si="2"/>
        <v>257</v>
      </c>
      <c r="O18" s="1378">
        <v>1.64</v>
      </c>
      <c r="P18" s="1382">
        <f t="shared" si="3"/>
        <v>421.5</v>
      </c>
      <c r="Q18" s="1382">
        <f t="shared" si="4"/>
        <v>678.5</v>
      </c>
      <c r="R18" s="1382">
        <f t="shared" si="5"/>
        <v>542.79999999999995</v>
      </c>
      <c r="S18" s="1382">
        <f t="shared" si="6"/>
        <v>542.79999999999995</v>
      </c>
      <c r="T18" s="1382">
        <f t="shared" si="7"/>
        <v>56.5</v>
      </c>
      <c r="U18" s="1382">
        <f t="shared" si="15"/>
        <v>1820.6</v>
      </c>
      <c r="V18" s="2516"/>
      <c r="W18" s="1382">
        <f t="shared" si="16"/>
        <v>1820.6</v>
      </c>
      <c r="X18" s="1382">
        <f t="shared" si="18"/>
        <v>549.79999999999995</v>
      </c>
      <c r="Y18" s="1376">
        <v>2</v>
      </c>
      <c r="Z18" s="1384">
        <v>30</v>
      </c>
      <c r="AA18" s="1378">
        <f t="shared" si="8"/>
        <v>60</v>
      </c>
      <c r="AB18" s="1376"/>
      <c r="AC18" s="1384">
        <v>15</v>
      </c>
      <c r="AD18" s="1378">
        <f t="shared" si="9"/>
        <v>0</v>
      </c>
      <c r="AE18" s="1376"/>
      <c r="AF18" s="1384">
        <v>30</v>
      </c>
      <c r="AG18" s="1378">
        <f t="shared" si="10"/>
        <v>0</v>
      </c>
      <c r="AH18" s="1378">
        <f t="shared" si="11"/>
        <v>18</v>
      </c>
      <c r="AI18" s="1378">
        <f t="shared" si="12"/>
        <v>78</v>
      </c>
      <c r="AJ18" s="1385">
        <f t="shared" si="13"/>
        <v>30343.3</v>
      </c>
      <c r="AK18" s="1386">
        <f t="shared" si="14"/>
        <v>364.1</v>
      </c>
      <c r="AL18" s="1387">
        <f t="shared" si="17"/>
        <v>183.7</v>
      </c>
      <c r="AM18" s="1388">
        <v>0.30199999999999999</v>
      </c>
      <c r="AN18" s="1413"/>
      <c r="AO18" s="1413"/>
      <c r="AP18" s="1413"/>
      <c r="AQ18" s="1413"/>
    </row>
    <row r="19" spans="1:44" s="1391" customFormat="1" ht="15" x14ac:dyDescent="0.2">
      <c r="A19" s="1376">
        <v>11</v>
      </c>
      <c r="B19" s="1377" t="s">
        <v>1547</v>
      </c>
      <c r="C19" s="1378">
        <v>1</v>
      </c>
      <c r="D19" s="1379">
        <v>2.6619999999999999</v>
      </c>
      <c r="E19" s="1378">
        <f t="shared" si="0"/>
        <v>2.66</v>
      </c>
      <c r="F19" s="1381">
        <f t="shared" si="1"/>
        <v>31.9</v>
      </c>
      <c r="G19" s="1392"/>
      <c r="H19" s="1392"/>
      <c r="I19" s="1382"/>
      <c r="J19" s="1382"/>
      <c r="K19" s="1382"/>
      <c r="L19" s="1382"/>
      <c r="M19" s="1382">
        <f>20+0.85</f>
        <v>20.9</v>
      </c>
      <c r="N19" s="1382">
        <f t="shared" si="2"/>
        <v>52.8</v>
      </c>
      <c r="O19" s="1378">
        <v>1.64</v>
      </c>
      <c r="P19" s="1382">
        <f t="shared" si="3"/>
        <v>86.6</v>
      </c>
      <c r="Q19" s="1382">
        <f t="shared" si="4"/>
        <v>139.4</v>
      </c>
      <c r="R19" s="1382">
        <f t="shared" si="5"/>
        <v>111.5</v>
      </c>
      <c r="S19" s="1382">
        <f t="shared" si="6"/>
        <v>111.5</v>
      </c>
      <c r="T19" s="1382">
        <f t="shared" si="7"/>
        <v>11.6</v>
      </c>
      <c r="U19" s="1382">
        <f t="shared" si="15"/>
        <v>374</v>
      </c>
      <c r="V19" s="2516"/>
      <c r="W19" s="1382">
        <f t="shared" si="16"/>
        <v>374</v>
      </c>
      <c r="X19" s="1382">
        <f t="shared" si="18"/>
        <v>112.9</v>
      </c>
      <c r="Y19" s="1376"/>
      <c r="Z19" s="1384">
        <v>30</v>
      </c>
      <c r="AA19" s="1378">
        <f t="shared" si="8"/>
        <v>0</v>
      </c>
      <c r="AB19" s="1376"/>
      <c r="AC19" s="1384">
        <v>15</v>
      </c>
      <c r="AD19" s="1378">
        <f t="shared" si="9"/>
        <v>0</v>
      </c>
      <c r="AE19" s="1376"/>
      <c r="AF19" s="1384">
        <v>30</v>
      </c>
      <c r="AG19" s="1378">
        <f t="shared" si="10"/>
        <v>0</v>
      </c>
      <c r="AH19" s="1378">
        <f t="shared" si="11"/>
        <v>0</v>
      </c>
      <c r="AI19" s="1378">
        <f t="shared" si="12"/>
        <v>0</v>
      </c>
      <c r="AJ19" s="1385">
        <f t="shared" si="13"/>
        <v>31166.7</v>
      </c>
      <c r="AK19" s="1386">
        <f t="shared" si="14"/>
        <v>374</v>
      </c>
      <c r="AL19" s="1387">
        <f t="shared" si="17"/>
        <v>185.5</v>
      </c>
      <c r="AM19" s="1388">
        <v>0.30199999999999999</v>
      </c>
    </row>
    <row r="20" spans="1:44" s="1391" customFormat="1" ht="15" x14ac:dyDescent="0.2">
      <c r="A20" s="1376">
        <v>12</v>
      </c>
      <c r="B20" s="1377" t="s">
        <v>1548</v>
      </c>
      <c r="C20" s="1378">
        <v>1</v>
      </c>
      <c r="D20" s="1379">
        <v>2.6619999999999999</v>
      </c>
      <c r="E20" s="1378">
        <f t="shared" si="0"/>
        <v>2.66</v>
      </c>
      <c r="F20" s="1381">
        <f t="shared" si="1"/>
        <v>31.9</v>
      </c>
      <c r="G20" s="1382"/>
      <c r="H20" s="1382"/>
      <c r="I20" s="1382"/>
      <c r="J20" s="1382"/>
      <c r="K20" s="1382"/>
      <c r="L20" s="1382"/>
      <c r="M20" s="1382">
        <f>20+0.85</f>
        <v>20.9</v>
      </c>
      <c r="N20" s="1382">
        <f t="shared" si="2"/>
        <v>52.8</v>
      </c>
      <c r="O20" s="1378">
        <v>1.64</v>
      </c>
      <c r="P20" s="1382">
        <f t="shared" si="3"/>
        <v>86.6</v>
      </c>
      <c r="Q20" s="1382">
        <f t="shared" si="4"/>
        <v>139.4</v>
      </c>
      <c r="R20" s="1382">
        <f t="shared" si="5"/>
        <v>111.5</v>
      </c>
      <c r="S20" s="1382">
        <f t="shared" si="6"/>
        <v>111.5</v>
      </c>
      <c r="T20" s="1382">
        <f t="shared" si="7"/>
        <v>11.6</v>
      </c>
      <c r="U20" s="1382">
        <f t="shared" si="15"/>
        <v>374</v>
      </c>
      <c r="V20" s="2517"/>
      <c r="W20" s="1382">
        <f>U20*$V$9+0.1</f>
        <v>374.1</v>
      </c>
      <c r="X20" s="1382">
        <f>W20*0.302+0.7</f>
        <v>113.7</v>
      </c>
      <c r="Y20" s="1376">
        <v>1</v>
      </c>
      <c r="Z20" s="1384">
        <v>30</v>
      </c>
      <c r="AA20" s="1378">
        <f t="shared" si="8"/>
        <v>30</v>
      </c>
      <c r="AB20" s="1376"/>
      <c r="AC20" s="1384">
        <v>15</v>
      </c>
      <c r="AD20" s="1378">
        <f t="shared" si="9"/>
        <v>0</v>
      </c>
      <c r="AE20" s="1376"/>
      <c r="AF20" s="1384">
        <v>30</v>
      </c>
      <c r="AG20" s="1378">
        <f t="shared" si="10"/>
        <v>0</v>
      </c>
      <c r="AH20" s="1378">
        <f t="shared" si="11"/>
        <v>9</v>
      </c>
      <c r="AI20" s="1378">
        <f t="shared" si="12"/>
        <v>39</v>
      </c>
      <c r="AJ20" s="1385">
        <f t="shared" si="13"/>
        <v>31175</v>
      </c>
      <c r="AK20" s="1386">
        <f t="shared" si="14"/>
        <v>374.1</v>
      </c>
      <c r="AL20" s="1387">
        <f t="shared" si="17"/>
        <v>185.6</v>
      </c>
      <c r="AM20" s="1388">
        <v>0.30199999999999999</v>
      </c>
    </row>
    <row r="21" spans="1:44" s="1416" customFormat="1" ht="20.25" customHeight="1" x14ac:dyDescent="0.2">
      <c r="A21" s="2524" t="s">
        <v>8</v>
      </c>
      <c r="B21" s="2524"/>
      <c r="C21" s="1414">
        <f>SUM(C9:C20)</f>
        <v>37.44</v>
      </c>
      <c r="D21" s="1414">
        <f t="shared" ref="D21:AI21" si="20">SUM(D9:D20)</f>
        <v>75.72</v>
      </c>
      <c r="E21" s="1414">
        <f t="shared" si="20"/>
        <v>236.03</v>
      </c>
      <c r="F21" s="1415">
        <f t="shared" si="20"/>
        <v>2832.4</v>
      </c>
      <c r="G21" s="1415">
        <f t="shared" si="20"/>
        <v>17.600000000000001</v>
      </c>
      <c r="H21" s="1415">
        <f t="shared" si="20"/>
        <v>5.8</v>
      </c>
      <c r="I21" s="1415">
        <f t="shared" si="20"/>
        <v>184.2</v>
      </c>
      <c r="J21" s="1415">
        <f t="shared" si="20"/>
        <v>42.8</v>
      </c>
      <c r="K21" s="1415">
        <f t="shared" si="20"/>
        <v>276.2</v>
      </c>
      <c r="L21" s="1415">
        <f t="shared" si="20"/>
        <v>634.70000000000005</v>
      </c>
      <c r="M21" s="1415">
        <f t="shared" si="20"/>
        <v>860.2</v>
      </c>
      <c r="N21" s="1415">
        <f t="shared" si="20"/>
        <v>4853.8999999999996</v>
      </c>
      <c r="O21" s="1414"/>
      <c r="P21" s="1415">
        <f t="shared" si="20"/>
        <v>4340</v>
      </c>
      <c r="Q21" s="1415">
        <f t="shared" si="20"/>
        <v>9193.9</v>
      </c>
      <c r="R21" s="1415">
        <f t="shared" si="20"/>
        <v>7355.2</v>
      </c>
      <c r="S21" s="1415">
        <f t="shared" si="20"/>
        <v>7355.2</v>
      </c>
      <c r="T21" s="1415">
        <f t="shared" si="20"/>
        <v>765.1</v>
      </c>
      <c r="U21" s="1415">
        <f t="shared" si="20"/>
        <v>24669.1</v>
      </c>
      <c r="V21" s="1414">
        <f t="shared" si="20"/>
        <v>1</v>
      </c>
      <c r="W21" s="1415">
        <f t="shared" si="20"/>
        <v>24668.799999999999</v>
      </c>
      <c r="X21" s="1415">
        <f t="shared" si="20"/>
        <v>7388.3</v>
      </c>
      <c r="Y21" s="1414">
        <f>SUM(Y9:Y20)</f>
        <v>14</v>
      </c>
      <c r="Z21" s="1414"/>
      <c r="AA21" s="1414">
        <f t="shared" si="20"/>
        <v>420</v>
      </c>
      <c r="AB21" s="1414">
        <f t="shared" si="20"/>
        <v>3</v>
      </c>
      <c r="AC21" s="1414"/>
      <c r="AD21" s="1414">
        <f t="shared" si="20"/>
        <v>45</v>
      </c>
      <c r="AE21" s="1414">
        <f t="shared" si="20"/>
        <v>4</v>
      </c>
      <c r="AF21" s="1414"/>
      <c r="AG21" s="1414">
        <f t="shared" si="20"/>
        <v>120</v>
      </c>
      <c r="AH21" s="1414">
        <f t="shared" si="20"/>
        <v>175.5</v>
      </c>
      <c r="AI21" s="1414">
        <f t="shared" si="20"/>
        <v>760.5</v>
      </c>
      <c r="AN21" s="1365"/>
      <c r="AO21" s="1365"/>
      <c r="AP21" s="1365"/>
      <c r="AQ21" s="1365"/>
    </row>
    <row r="22" spans="1:44" s="1418" customFormat="1" ht="15.75" x14ac:dyDescent="0.2">
      <c r="A22" s="1417"/>
      <c r="C22" s="1419"/>
      <c r="U22" s="1420"/>
      <c r="V22" s="1420"/>
      <c r="W22" s="1492"/>
      <c r="X22" s="1493"/>
      <c r="AN22" s="1421"/>
      <c r="AO22" s="1421"/>
      <c r="AP22" s="1421"/>
      <c r="AQ22" s="1421"/>
    </row>
    <row r="23" spans="1:44" s="1418" customFormat="1" ht="15.75" x14ac:dyDescent="0.2">
      <c r="A23" s="1417"/>
      <c r="U23" s="1420"/>
      <c r="V23" s="1420"/>
      <c r="X23" s="1422"/>
      <c r="AN23" s="1421"/>
      <c r="AO23" s="1421"/>
      <c r="AP23" s="1421"/>
      <c r="AQ23" s="1421"/>
    </row>
    <row r="24" spans="1:44" s="1418" customFormat="1" ht="33.75" customHeight="1" x14ac:dyDescent="0.2">
      <c r="A24" s="1423"/>
      <c r="B24" s="1423"/>
      <c r="C24" s="2511" t="s">
        <v>140</v>
      </c>
      <c r="D24" s="2511"/>
      <c r="E24" s="2511" t="s">
        <v>141</v>
      </c>
      <c r="F24" s="2511"/>
      <c r="G24" s="2512" t="s">
        <v>128</v>
      </c>
      <c r="H24" s="2512"/>
      <c r="J24" s="1424"/>
      <c r="K24" s="2513" t="s">
        <v>1549</v>
      </c>
      <c r="L24" s="2514"/>
      <c r="M24" s="2513" t="s">
        <v>1550</v>
      </c>
      <c r="N24" s="2514"/>
      <c r="O24" s="2521" t="s">
        <v>1551</v>
      </c>
      <c r="P24" s="2523"/>
      <c r="Q24" s="2521" t="s">
        <v>1559</v>
      </c>
      <c r="R24" s="2522"/>
      <c r="S24" s="2523"/>
      <c r="T24" s="2521" t="s">
        <v>197</v>
      </c>
      <c r="U24" s="2523"/>
      <c r="W24" s="1425"/>
      <c r="X24" s="1425"/>
      <c r="AN24" s="1421"/>
      <c r="AO24" s="1421"/>
      <c r="AP24" s="1421"/>
      <c r="AQ24" s="1421"/>
    </row>
    <row r="25" spans="1:44" s="1432" customFormat="1" ht="15" x14ac:dyDescent="0.2">
      <c r="A25" s="1426"/>
      <c r="B25" s="1426"/>
      <c r="C25" s="1427">
        <v>991</v>
      </c>
      <c r="D25" s="1427">
        <v>992</v>
      </c>
      <c r="E25" s="1427">
        <v>991</v>
      </c>
      <c r="F25" s="1427">
        <v>992</v>
      </c>
      <c r="G25" s="1427">
        <v>991</v>
      </c>
      <c r="H25" s="1427">
        <v>992</v>
      </c>
      <c r="I25" s="1428"/>
      <c r="J25" s="1429"/>
      <c r="K25" s="1430">
        <v>991</v>
      </c>
      <c r="L25" s="1430">
        <v>992</v>
      </c>
      <c r="M25" s="1430">
        <v>991</v>
      </c>
      <c r="N25" s="1431">
        <v>992</v>
      </c>
      <c r="O25" s="1431">
        <v>991</v>
      </c>
      <c r="P25" s="1431">
        <v>992</v>
      </c>
      <c r="Q25" s="1431">
        <v>991</v>
      </c>
      <c r="R25" s="1431">
        <v>992</v>
      </c>
      <c r="S25" s="1497">
        <v>911</v>
      </c>
      <c r="T25" s="1431">
        <v>991</v>
      </c>
      <c r="U25" s="1431">
        <v>992</v>
      </c>
      <c r="W25" s="1429"/>
      <c r="X25" s="1429"/>
      <c r="Y25" s="1429"/>
      <c r="Z25" s="1429"/>
      <c r="AA25" s="1429"/>
      <c r="AB25" s="1429"/>
      <c r="AC25" s="1429"/>
      <c r="AD25" s="1429"/>
      <c r="AE25" s="1429"/>
      <c r="AF25" s="1429"/>
      <c r="AG25" s="1429"/>
      <c r="AH25" s="1429"/>
      <c r="AI25" s="1429"/>
      <c r="AJ25" s="1374"/>
      <c r="AN25" s="1366"/>
      <c r="AO25" s="1366"/>
      <c r="AP25" s="1366"/>
      <c r="AQ25" s="1366"/>
    </row>
    <row r="26" spans="1:44" s="1432" customFormat="1" ht="15" x14ac:dyDescent="0.2">
      <c r="A26" s="1426"/>
      <c r="B26" s="1426"/>
      <c r="C26" s="1433">
        <v>22761.599999999999</v>
      </c>
      <c r="D26" s="1434">
        <v>6817.3</v>
      </c>
      <c r="E26" s="1435">
        <f>W21</f>
        <v>24668.799999999999</v>
      </c>
      <c r="F26" s="1435">
        <f>X21</f>
        <v>7388.3</v>
      </c>
      <c r="G26" s="1435">
        <f>C26-E26</f>
        <v>-1907.2</v>
      </c>
      <c r="H26" s="1435">
        <f>D26-F26</f>
        <v>-571</v>
      </c>
      <c r="I26" s="1428"/>
      <c r="J26" s="1429"/>
      <c r="K26" s="1436">
        <f>W11+W12+W13</f>
        <v>15527.2</v>
      </c>
      <c r="L26" s="1436">
        <f>X11+X12+X13</f>
        <v>4672.2</v>
      </c>
      <c r="M26" s="1437">
        <f>V13</f>
        <v>0</v>
      </c>
      <c r="N26" s="1436">
        <v>0</v>
      </c>
      <c r="O26" s="1436">
        <f>W21-K26</f>
        <v>9141.6</v>
      </c>
      <c r="P26" s="1436">
        <f>X21-L26</f>
        <v>2716.1</v>
      </c>
      <c r="Q26" s="1436">
        <f>K26+M26+O26</f>
        <v>24668.799999999999</v>
      </c>
      <c r="R26" s="1436">
        <f>L26+N26+P26</f>
        <v>7388.3</v>
      </c>
      <c r="S26" s="1498">
        <f>AI21</f>
        <v>760.5</v>
      </c>
      <c r="T26" s="1436">
        <f>W21-Q26</f>
        <v>0</v>
      </c>
      <c r="U26" s="1436">
        <f>X21-R26</f>
        <v>0</v>
      </c>
      <c r="W26" s="1429"/>
      <c r="X26" s="1429"/>
      <c r="Y26" s="1429"/>
      <c r="Z26" s="1429"/>
      <c r="AA26" s="1429"/>
      <c r="AB26" s="1429"/>
      <c r="AC26" s="1429"/>
      <c r="AD26" s="1429"/>
      <c r="AE26" s="1429"/>
      <c r="AF26" s="1429"/>
      <c r="AG26" s="1429"/>
      <c r="AH26" s="1429"/>
      <c r="AI26" s="1429"/>
      <c r="AJ26" s="1374"/>
      <c r="AN26" s="1366"/>
      <c r="AO26" s="1366"/>
      <c r="AP26" s="1366"/>
      <c r="AQ26" s="1366"/>
    </row>
    <row r="27" spans="1:44" s="1432" customFormat="1" ht="15" x14ac:dyDescent="0.2">
      <c r="A27" s="1426"/>
      <c r="B27" s="1426"/>
      <c r="C27" s="1438"/>
      <c r="D27" s="1439"/>
      <c r="E27" s="1439"/>
      <c r="F27" s="1439"/>
      <c r="G27" s="1439"/>
      <c r="H27" s="1428"/>
      <c r="I27" s="1428"/>
      <c r="J27" s="1429"/>
      <c r="K27" s="1424"/>
      <c r="L27" s="1418"/>
      <c r="M27" s="1418"/>
      <c r="N27" s="1418"/>
      <c r="O27" s="1418"/>
      <c r="P27" s="1418"/>
      <c r="Q27" s="1418"/>
      <c r="R27" s="1418"/>
      <c r="S27" s="1418"/>
      <c r="T27" s="1418"/>
      <c r="U27" s="1429"/>
      <c r="V27" s="1429"/>
      <c r="W27" s="1429"/>
      <c r="X27" s="1429"/>
      <c r="Y27" s="1429"/>
      <c r="Z27" s="1429"/>
      <c r="AA27" s="1429"/>
      <c r="AB27" s="1429"/>
      <c r="AC27" s="1429"/>
      <c r="AD27" s="1429"/>
      <c r="AE27" s="1429"/>
      <c r="AF27" s="1429"/>
      <c r="AG27" s="1429"/>
      <c r="AH27" s="1429"/>
      <c r="AI27" s="1429"/>
      <c r="AJ27" s="1374"/>
      <c r="AN27" s="1366"/>
      <c r="AO27" s="1366"/>
      <c r="AP27" s="1366"/>
      <c r="AQ27" s="1366"/>
    </row>
    <row r="28" spans="1:44" s="1432" customFormat="1" ht="15" x14ac:dyDescent="0.2">
      <c r="A28" s="1426"/>
      <c r="B28" s="1426"/>
      <c r="C28" s="1438"/>
      <c r="D28" s="1439"/>
      <c r="E28" s="1439"/>
      <c r="F28" s="1439"/>
      <c r="G28" s="1439"/>
      <c r="H28" s="1428"/>
      <c r="I28" s="1428"/>
      <c r="J28" s="1429"/>
      <c r="K28" s="1429"/>
      <c r="L28" s="1429"/>
      <c r="M28" s="1429"/>
      <c r="N28" s="1440"/>
      <c r="O28" s="1429"/>
      <c r="P28" s="1429"/>
      <c r="Q28" s="1429"/>
      <c r="R28" s="1429"/>
      <c r="S28" s="1429"/>
      <c r="T28" s="1429"/>
      <c r="U28" s="1429"/>
      <c r="V28" s="1441"/>
      <c r="W28" s="1429"/>
      <c r="X28" s="1429"/>
      <c r="Y28" s="1429"/>
      <c r="Z28" s="1429"/>
      <c r="AA28" s="1429"/>
      <c r="AB28" s="1429"/>
      <c r="AC28" s="1429"/>
      <c r="AD28" s="1429"/>
      <c r="AE28" s="1429"/>
      <c r="AF28" s="1429"/>
      <c r="AG28" s="1429"/>
      <c r="AH28" s="1429"/>
      <c r="AI28" s="1429"/>
      <c r="AJ28" s="1374"/>
      <c r="AN28" s="1366"/>
      <c r="AO28" s="1366"/>
      <c r="AP28" s="1366"/>
      <c r="AQ28" s="1366"/>
    </row>
    <row r="29" spans="1:44" s="1432" customFormat="1" ht="15" x14ac:dyDescent="0.2">
      <c r="A29" s="1426"/>
      <c r="B29" s="1426"/>
      <c r="C29" s="1438"/>
      <c r="D29" s="1442"/>
      <c r="E29" s="1442"/>
      <c r="F29" s="1429"/>
      <c r="G29" s="1429"/>
      <c r="H29" s="1428"/>
      <c r="I29" s="1428"/>
      <c r="J29" s="1429"/>
      <c r="K29" s="1429"/>
      <c r="L29" s="1429"/>
      <c r="M29" s="1429"/>
      <c r="N29" s="1443"/>
      <c r="O29" s="1444"/>
      <c r="P29" s="1429"/>
      <c r="Q29" s="1429"/>
      <c r="R29" s="1429"/>
      <c r="S29" s="1429"/>
      <c r="T29" s="1429"/>
      <c r="U29" s="1429"/>
      <c r="V29" s="1441"/>
      <c r="W29" s="1429"/>
      <c r="X29" s="1429"/>
      <c r="Y29" s="1429"/>
      <c r="Z29" s="1429"/>
      <c r="AA29" s="1429"/>
      <c r="AB29" s="1429"/>
      <c r="AC29" s="1429"/>
      <c r="AD29" s="1429"/>
      <c r="AE29" s="1429"/>
      <c r="AF29" s="1429"/>
      <c r="AG29" s="1429"/>
      <c r="AH29" s="1429"/>
      <c r="AI29" s="1429"/>
      <c r="AJ29" s="1374"/>
      <c r="AN29" s="1445"/>
      <c r="AO29" s="1445"/>
      <c r="AP29" s="1445"/>
      <c r="AQ29" s="1445"/>
    </row>
    <row r="30" spans="1:44" s="1432" customFormat="1" ht="15" x14ac:dyDescent="0.2">
      <c r="A30" s="1426"/>
      <c r="B30" s="1426"/>
      <c r="C30" s="1438"/>
      <c r="D30" s="1442"/>
      <c r="E30" s="1442"/>
      <c r="F30" s="1429"/>
      <c r="G30" s="1429"/>
      <c r="H30" s="1428"/>
      <c r="I30" s="1428"/>
      <c r="J30" s="1429"/>
      <c r="K30" s="1429"/>
      <c r="L30" s="1429"/>
      <c r="M30" s="1429"/>
      <c r="N30" s="1443"/>
      <c r="O30" s="1444"/>
      <c r="P30" s="1429"/>
      <c r="Q30" s="1429"/>
      <c r="R30" s="1429"/>
      <c r="S30" s="1429"/>
      <c r="T30" s="1429"/>
      <c r="U30" s="1429"/>
      <c r="V30" s="1429"/>
      <c r="W30" s="1429"/>
      <c r="X30" s="1429"/>
      <c r="Y30" s="1429"/>
      <c r="Z30" s="1429"/>
      <c r="AA30" s="1429"/>
      <c r="AB30" s="1429"/>
      <c r="AC30" s="1429"/>
      <c r="AD30" s="1429"/>
      <c r="AE30" s="1429"/>
      <c r="AF30" s="1429"/>
      <c r="AG30" s="1429"/>
      <c r="AH30" s="1429"/>
      <c r="AI30" s="1429"/>
      <c r="AJ30" s="1374"/>
      <c r="AN30" s="1374"/>
      <c r="AO30" s="1374"/>
      <c r="AP30" s="1374"/>
      <c r="AQ30" s="1374"/>
    </row>
    <row r="31" spans="1:44" s="1432" customFormat="1" ht="15.75" x14ac:dyDescent="0.2">
      <c r="A31" s="1446"/>
      <c r="B31" s="1447">
        <v>211</v>
      </c>
      <c r="C31" s="1448"/>
      <c r="D31" s="1449"/>
      <c r="E31" s="2520">
        <v>213</v>
      </c>
      <c r="F31" s="2520"/>
      <c r="G31" s="1450" t="s">
        <v>1552</v>
      </c>
      <c r="H31" s="1428"/>
      <c r="I31" s="1428"/>
      <c r="J31" s="1429"/>
      <c r="K31" s="1429">
        <f>13996.9+C33</f>
        <v>15521.7</v>
      </c>
      <c r="L31" s="1429">
        <f>4206.5+F33</f>
        <v>4663.1000000000004</v>
      </c>
      <c r="M31" s="1429">
        <v>0</v>
      </c>
      <c r="N31" s="1495" t="s">
        <v>1558</v>
      </c>
      <c r="O31" s="1496">
        <f>8764.7+C36</f>
        <v>9141.6</v>
      </c>
      <c r="P31" s="1429">
        <f>2610.8+F36</f>
        <v>2716.1</v>
      </c>
      <c r="Q31" s="1429">
        <f>22761.6+C37</f>
        <v>24663.3</v>
      </c>
      <c r="R31" s="1429">
        <f>6817.3+F37</f>
        <v>7379.2</v>
      </c>
      <c r="S31" s="1429">
        <v>760.5</v>
      </c>
      <c r="T31" s="1429"/>
      <c r="U31" s="1429"/>
      <c r="V31" s="1429"/>
      <c r="W31" s="1429"/>
      <c r="X31" s="1429"/>
      <c r="Y31" s="1429"/>
      <c r="Z31" s="1429"/>
      <c r="AA31" s="1429"/>
      <c r="AB31" s="1429"/>
      <c r="AC31" s="1429"/>
      <c r="AD31" s="1429"/>
      <c r="AE31" s="1429"/>
      <c r="AF31" s="1429"/>
      <c r="AG31" s="1429"/>
      <c r="AH31" s="1429"/>
      <c r="AI31" s="1429"/>
      <c r="AJ31" s="1374"/>
      <c r="AN31" s="1374"/>
      <c r="AO31" s="1374"/>
      <c r="AP31" s="1374"/>
      <c r="AQ31" s="1374"/>
    </row>
    <row r="32" spans="1:44" s="1459" customFormat="1" ht="20.25" x14ac:dyDescent="0.2">
      <c r="A32" s="1451"/>
      <c r="B32" s="1452"/>
      <c r="C32" s="1453" t="s">
        <v>1553</v>
      </c>
      <c r="D32" s="1449"/>
      <c r="E32" s="1454"/>
      <c r="F32" s="1455" t="s">
        <v>1554</v>
      </c>
      <c r="G32" s="1450"/>
      <c r="H32" s="1456"/>
      <c r="I32" s="1456"/>
      <c r="J32" s="1457"/>
      <c r="K32" s="1429">
        <f>K26-K31</f>
        <v>5.5</v>
      </c>
      <c r="L32" s="1429">
        <f>L26-L31</f>
        <v>9.1</v>
      </c>
      <c r="M32" s="1429">
        <f t="shared" ref="M32:S32" si="21">M26-M31</f>
        <v>0</v>
      </c>
      <c r="N32" s="1429">
        <f t="shared" si="21"/>
        <v>0</v>
      </c>
      <c r="O32" s="1429">
        <f t="shared" si="21"/>
        <v>0</v>
      </c>
      <c r="P32" s="1429">
        <f t="shared" si="21"/>
        <v>0</v>
      </c>
      <c r="Q32" s="1429">
        <f t="shared" si="21"/>
        <v>5.5</v>
      </c>
      <c r="R32" s="1429">
        <f t="shared" si="21"/>
        <v>9.1</v>
      </c>
      <c r="S32" s="1429">
        <f t="shared" si="21"/>
        <v>0</v>
      </c>
      <c r="T32" s="1429"/>
      <c r="U32" s="1457"/>
      <c r="V32" s="1457"/>
      <c r="W32" s="1457"/>
      <c r="X32" s="1457"/>
      <c r="Y32" s="1457"/>
      <c r="Z32" s="1457"/>
      <c r="AA32" s="1457"/>
      <c r="AB32" s="1457"/>
      <c r="AC32" s="1457"/>
      <c r="AD32" s="1457"/>
      <c r="AE32" s="1457"/>
      <c r="AF32" s="1457"/>
      <c r="AG32" s="1457"/>
      <c r="AH32" s="1457"/>
      <c r="AI32" s="1457"/>
      <c r="AJ32" s="1458"/>
      <c r="AO32" s="1458"/>
      <c r="AP32" s="1458"/>
      <c r="AQ32" s="1458"/>
      <c r="AR32" s="1458"/>
    </row>
    <row r="33" spans="1:43" s="1432" customFormat="1" ht="15.75" x14ac:dyDescent="0.2">
      <c r="A33" s="1460" t="s">
        <v>1555</v>
      </c>
      <c r="B33" s="1452">
        <f>W11+W12+W13</f>
        <v>15527.2</v>
      </c>
      <c r="C33" s="1453">
        <f>762.4*2</f>
        <v>1524.8</v>
      </c>
      <c r="D33" s="1449">
        <f>C11+C12+C13</f>
        <v>19.690000000000001</v>
      </c>
      <c r="E33" s="1454">
        <f>X11+X12+X13</f>
        <v>4672.2</v>
      </c>
      <c r="F33" s="1455">
        <f>228.3*2</f>
        <v>456.6</v>
      </c>
      <c r="G33" s="1450">
        <f>AI11+AI12+AI13</f>
        <v>351</v>
      </c>
      <c r="H33" s="1428"/>
      <c r="I33" s="1428"/>
      <c r="J33" s="1429"/>
      <c r="K33" s="1429"/>
      <c r="L33" s="1429"/>
      <c r="M33" s="1429"/>
      <c r="N33" s="1440"/>
      <c r="O33" s="1429"/>
      <c r="P33" s="1429"/>
      <c r="Q33" s="1429"/>
      <c r="R33" s="1429"/>
      <c r="S33" s="1429"/>
      <c r="T33" s="1429"/>
      <c r="U33" s="1429"/>
      <c r="V33" s="1429"/>
      <c r="W33" s="1429"/>
      <c r="X33" s="1429"/>
      <c r="Y33" s="1429"/>
      <c r="Z33" s="1429"/>
      <c r="AA33" s="1429"/>
      <c r="AB33" s="1429"/>
      <c r="AC33" s="1429"/>
      <c r="AD33" s="1429"/>
      <c r="AE33" s="1429"/>
      <c r="AF33" s="1429"/>
      <c r="AG33" s="1429"/>
      <c r="AH33" s="1429"/>
      <c r="AI33" s="1429"/>
      <c r="AJ33" s="1374"/>
      <c r="AN33" s="1374"/>
      <c r="AO33" s="1374"/>
      <c r="AP33" s="1374"/>
      <c r="AQ33" s="1374"/>
    </row>
    <row r="34" spans="1:43" s="1432" customFormat="1" ht="31.5" x14ac:dyDescent="0.2">
      <c r="A34" s="1461" t="s">
        <v>1556</v>
      </c>
      <c r="B34" s="1452"/>
      <c r="C34" s="1453"/>
      <c r="D34" s="1449"/>
      <c r="E34" s="1454"/>
      <c r="F34" s="1455"/>
      <c r="G34" s="1450"/>
      <c r="H34" s="1428"/>
      <c r="I34" s="1428"/>
      <c r="J34" s="1429"/>
      <c r="K34" s="1429"/>
      <c r="L34" s="1429"/>
      <c r="M34" s="1429"/>
      <c r="N34" s="1440"/>
      <c r="O34" s="1429"/>
      <c r="P34" s="1429"/>
      <c r="Q34" s="1429"/>
      <c r="R34" s="1429"/>
      <c r="S34" s="1429"/>
      <c r="T34" s="1429"/>
      <c r="U34" s="1429"/>
      <c r="V34" s="1429"/>
      <c r="W34" s="1429"/>
      <c r="X34" s="1429"/>
      <c r="Y34" s="1429"/>
      <c r="Z34" s="1429"/>
      <c r="AA34" s="1429"/>
      <c r="AB34" s="1429"/>
      <c r="AC34" s="1429"/>
      <c r="AD34" s="1429"/>
      <c r="AE34" s="1429"/>
      <c r="AF34" s="1429"/>
      <c r="AG34" s="1429"/>
      <c r="AH34" s="1429"/>
      <c r="AI34" s="1429"/>
      <c r="AJ34" s="1374"/>
      <c r="AN34" s="1374"/>
      <c r="AO34" s="1374"/>
      <c r="AP34" s="1374"/>
      <c r="AQ34" s="1374"/>
    </row>
    <row r="35" spans="1:43" s="1432" customFormat="1" ht="20.25" customHeight="1" x14ac:dyDescent="0.2">
      <c r="A35" s="1461" t="s">
        <v>1557</v>
      </c>
      <c r="B35" s="1452">
        <f>W9+W10+W14+W15+W16+W17+W18+W19+W20</f>
        <v>9141.6</v>
      </c>
      <c r="C35" s="1453"/>
      <c r="D35" s="1449">
        <f>C9+C10+C14+C15+C16+C17+C18+C19+C20</f>
        <v>17.75</v>
      </c>
      <c r="E35" s="1454">
        <f>X9+X10+X14+X15+X16+X17+X18+X19+X20</f>
        <v>2716.1</v>
      </c>
      <c r="F35" s="1455"/>
      <c r="G35" s="1450">
        <f>AI9+AI10+AI14+AI15+AI16+AI17+AI18+AI19+AI20</f>
        <v>409.5</v>
      </c>
      <c r="H35" s="1462"/>
      <c r="I35" s="1462"/>
      <c r="J35" s="1462"/>
      <c r="K35" s="1457"/>
      <c r="L35" s="1457"/>
      <c r="M35" s="1457"/>
      <c r="N35" s="1463"/>
      <c r="O35" s="1457"/>
      <c r="P35" s="1457"/>
      <c r="Q35" s="1457"/>
      <c r="R35" s="1457"/>
      <c r="S35" s="1457"/>
      <c r="T35" s="1457"/>
      <c r="U35" s="1424"/>
      <c r="V35" s="1424"/>
      <c r="W35" s="1424"/>
      <c r="X35" s="1424"/>
      <c r="Y35" s="1424"/>
      <c r="Z35" s="1424"/>
      <c r="AA35" s="1424"/>
      <c r="AB35" s="1424"/>
      <c r="AC35" s="1424"/>
      <c r="AD35" s="1424"/>
      <c r="AE35" s="1424"/>
      <c r="AF35" s="1424"/>
      <c r="AG35" s="1424"/>
      <c r="AH35" s="1424"/>
      <c r="AI35" s="1424"/>
      <c r="AJ35" s="1374"/>
      <c r="AN35" s="1374"/>
      <c r="AO35" s="1374"/>
      <c r="AP35" s="1374"/>
      <c r="AQ35" s="1374"/>
    </row>
    <row r="36" spans="1:43" s="1432" customFormat="1" ht="20.25" customHeight="1" x14ac:dyDescent="0.2">
      <c r="A36" s="1464">
        <v>4.2999999999999997E-2</v>
      </c>
      <c r="B36" s="1465"/>
      <c r="C36" s="1466">
        <v>376.9</v>
      </c>
      <c r="D36" s="1467"/>
      <c r="E36" s="1468"/>
      <c r="F36" s="1469">
        <v>105.3</v>
      </c>
      <c r="G36" s="1466"/>
      <c r="H36" s="1470"/>
      <c r="I36" s="1470"/>
      <c r="J36" s="1470"/>
      <c r="K36" s="1429"/>
      <c r="L36" s="1429"/>
      <c r="M36" s="1429"/>
      <c r="N36" s="1440"/>
      <c r="O36" s="1429"/>
      <c r="P36" s="1429"/>
      <c r="Q36" s="1429"/>
      <c r="R36" s="1429"/>
      <c r="S36" s="1429"/>
      <c r="T36" s="1429"/>
      <c r="U36" s="1424"/>
      <c r="V36" s="1424"/>
      <c r="W36" s="1424"/>
      <c r="X36" s="1424"/>
      <c r="Y36" s="1424"/>
      <c r="Z36" s="1424"/>
      <c r="AA36" s="1424"/>
      <c r="AB36" s="1424"/>
      <c r="AC36" s="1424"/>
      <c r="AD36" s="1424"/>
      <c r="AE36" s="1424"/>
      <c r="AF36" s="1424"/>
      <c r="AG36" s="1424"/>
      <c r="AH36" s="1424"/>
      <c r="AI36" s="1424"/>
      <c r="AJ36" s="1374"/>
      <c r="AN36" s="1374"/>
      <c r="AO36" s="1374"/>
      <c r="AP36" s="1374"/>
      <c r="AQ36" s="1374"/>
    </row>
    <row r="37" spans="1:43" s="1432" customFormat="1" ht="20.25" customHeight="1" x14ac:dyDescent="0.2">
      <c r="A37" s="1471"/>
      <c r="B37" s="1472">
        <f>SUM(B33:B36)</f>
        <v>24668.799999999999</v>
      </c>
      <c r="C37" s="1473">
        <f t="shared" ref="C37:G37" si="22">SUM(C33:C36)</f>
        <v>1901.7</v>
      </c>
      <c r="D37" s="1473">
        <f t="shared" si="22"/>
        <v>37.44</v>
      </c>
      <c r="E37" s="1454">
        <f t="shared" si="22"/>
        <v>7388.3</v>
      </c>
      <c r="F37" s="1455">
        <f t="shared" si="22"/>
        <v>561.9</v>
      </c>
      <c r="G37" s="1455">
        <f t="shared" si="22"/>
        <v>760.5</v>
      </c>
      <c r="H37" s="1424"/>
      <c r="I37" s="1424"/>
      <c r="J37" s="1424"/>
      <c r="K37" s="1429"/>
      <c r="L37" s="1429"/>
      <c r="M37" s="1429"/>
      <c r="N37" s="1440"/>
      <c r="O37" s="1429"/>
      <c r="P37" s="1429"/>
      <c r="Q37" s="1429"/>
      <c r="R37" s="1429"/>
      <c r="S37" s="1429"/>
      <c r="T37" s="1429"/>
      <c r="U37" s="1424"/>
      <c r="V37" s="1424"/>
      <c r="W37" s="1424"/>
      <c r="X37" s="1424"/>
      <c r="Y37" s="1424"/>
      <c r="Z37" s="1424"/>
      <c r="AA37" s="1424"/>
      <c r="AB37" s="1424"/>
      <c r="AC37" s="1424"/>
      <c r="AD37" s="1424"/>
      <c r="AE37" s="1424"/>
      <c r="AF37" s="1424"/>
      <c r="AG37" s="1424"/>
      <c r="AH37" s="1424"/>
      <c r="AI37" s="1424"/>
      <c r="AJ37" s="1374"/>
      <c r="AN37" s="1374"/>
      <c r="AO37" s="1374"/>
      <c r="AP37" s="1374"/>
      <c r="AQ37" s="1374"/>
    </row>
    <row r="38" spans="1:43" s="1475" customFormat="1" ht="20.25" x14ac:dyDescent="0.2">
      <c r="A38" s="1474"/>
      <c r="K38" s="1462"/>
      <c r="L38" s="1424"/>
      <c r="M38" s="1424"/>
      <c r="N38" s="1476"/>
      <c r="O38" s="1424"/>
      <c r="P38" s="1424"/>
      <c r="Q38" s="1424"/>
      <c r="R38" s="1424"/>
      <c r="S38" s="1424"/>
      <c r="T38" s="1424"/>
      <c r="AN38" s="1477"/>
      <c r="AO38" s="1477"/>
      <c r="AP38" s="1477"/>
      <c r="AQ38" s="1477"/>
    </row>
    <row r="39" spans="1:43" s="1445" customFormat="1" ht="15.75" x14ac:dyDescent="0.2">
      <c r="A39" s="1478"/>
      <c r="D39" s="1479"/>
      <c r="E39" s="1479"/>
      <c r="I39" s="1418"/>
      <c r="J39" s="1418"/>
      <c r="K39" s="1470"/>
      <c r="L39" s="1424"/>
      <c r="M39" s="1424"/>
      <c r="N39" s="1424"/>
      <c r="O39" s="1424"/>
      <c r="P39" s="1424"/>
      <c r="Q39" s="1424"/>
      <c r="R39" s="1424"/>
      <c r="S39" s="1424"/>
      <c r="T39" s="1424"/>
      <c r="V39" s="1480"/>
      <c r="AA39" s="1480"/>
      <c r="AC39" s="1480"/>
      <c r="AD39" s="1480"/>
      <c r="AE39" s="1480"/>
      <c r="AF39" s="1480"/>
      <c r="AN39" s="1374"/>
      <c r="AO39" s="1374"/>
      <c r="AP39" s="1374"/>
      <c r="AQ39" s="1374"/>
    </row>
    <row r="40" spans="1:43" s="1418" customFormat="1" ht="19.5" x14ac:dyDescent="0.3">
      <c r="A40" s="1481"/>
      <c r="B40" s="1482"/>
      <c r="C40" s="1483"/>
      <c r="D40" s="1484"/>
      <c r="E40" s="1479"/>
      <c r="F40" s="1483"/>
      <c r="G40" s="1485"/>
      <c r="H40" s="1486"/>
      <c r="K40" s="1424"/>
      <c r="L40" s="1424"/>
      <c r="M40" s="1424"/>
      <c r="N40" s="1424"/>
      <c r="O40" s="1424"/>
      <c r="P40" s="1424"/>
      <c r="Q40" s="1424"/>
      <c r="R40" s="1424"/>
      <c r="S40" s="1424"/>
      <c r="T40" s="1424"/>
      <c r="U40" s="1487"/>
      <c r="V40" s="1487"/>
      <c r="W40" s="1487"/>
      <c r="X40" s="1420"/>
      <c r="AN40" s="1374"/>
      <c r="AO40" s="1374"/>
      <c r="AP40" s="1374"/>
      <c r="AQ40" s="1374"/>
    </row>
    <row r="41" spans="1:43" s="1418" customFormat="1" ht="15" x14ac:dyDescent="0.2">
      <c r="A41" s="1417"/>
      <c r="D41" s="1488"/>
      <c r="E41" s="1479"/>
      <c r="K41" s="1475"/>
      <c r="L41" s="1475"/>
      <c r="M41" s="1475"/>
      <c r="N41" s="1475"/>
      <c r="O41" s="1475"/>
      <c r="P41" s="1475"/>
      <c r="Q41" s="1475"/>
      <c r="R41" s="1475"/>
      <c r="S41" s="1475"/>
      <c r="T41" s="1475"/>
      <c r="AN41" s="1374"/>
      <c r="AO41" s="1374"/>
      <c r="AP41" s="1374"/>
      <c r="AQ41" s="1374"/>
    </row>
    <row r="42" spans="1:43" s="1418" customFormat="1" ht="15" x14ac:dyDescent="0.2">
      <c r="A42" s="1417"/>
      <c r="D42" s="1488"/>
      <c r="E42" s="1479"/>
      <c r="R42" s="1445"/>
      <c r="S42" s="1489"/>
      <c r="T42" s="1445"/>
      <c r="AN42" s="1374"/>
      <c r="AO42" s="1374"/>
      <c r="AP42" s="1374"/>
      <c r="AQ42" s="1374"/>
    </row>
    <row r="43" spans="1:43" s="1418" customFormat="1" ht="19.5" x14ac:dyDescent="0.3">
      <c r="A43" s="1417"/>
      <c r="D43" s="1488"/>
      <c r="E43" s="1479"/>
      <c r="R43" s="1486"/>
      <c r="S43" s="1486"/>
      <c r="T43" s="1486"/>
      <c r="AN43" s="1374"/>
      <c r="AO43" s="1374"/>
      <c r="AP43" s="1374"/>
      <c r="AQ43" s="1374"/>
    </row>
    <row r="44" spans="1:43" s="1418" customFormat="1" ht="15" x14ac:dyDescent="0.2">
      <c r="A44" s="1417"/>
      <c r="D44" s="1488"/>
      <c r="E44" s="1479"/>
      <c r="AN44" s="1475"/>
      <c r="AO44" s="1475"/>
      <c r="AP44" s="1475"/>
      <c r="AQ44" s="1475"/>
    </row>
    <row r="45" spans="1:43" s="1418" customFormat="1" x14ac:dyDescent="0.2">
      <c r="A45" s="1417"/>
      <c r="D45" s="1488"/>
      <c r="E45" s="1479"/>
      <c r="AN45" s="1445"/>
      <c r="AO45" s="1445"/>
      <c r="AP45" s="1445"/>
      <c r="AQ45" s="1445"/>
    </row>
    <row r="46" spans="1:43" s="1418" customFormat="1" x14ac:dyDescent="0.2">
      <c r="A46" s="1417"/>
      <c r="D46" s="1488"/>
      <c r="E46" s="1479"/>
    </row>
    <row r="47" spans="1:43" s="1418" customFormat="1" x14ac:dyDescent="0.2">
      <c r="A47" s="1417"/>
      <c r="D47" s="1488"/>
      <c r="E47" s="1479"/>
    </row>
    <row r="48" spans="1:43" s="1418" customFormat="1" x14ac:dyDescent="0.2">
      <c r="A48" s="1417"/>
      <c r="D48" s="1488"/>
      <c r="E48" s="1479"/>
    </row>
    <row r="49" spans="1:43" s="1418" customFormat="1" x14ac:dyDescent="0.2">
      <c r="A49" s="1417"/>
      <c r="D49" s="1488"/>
      <c r="E49" s="1479"/>
    </row>
    <row r="50" spans="1:43" s="1418" customFormat="1" x14ac:dyDescent="0.2">
      <c r="A50" s="1417"/>
      <c r="D50" s="1488"/>
      <c r="E50" s="1479"/>
    </row>
    <row r="51" spans="1:43" s="1418" customFormat="1" x14ac:dyDescent="0.2">
      <c r="A51" s="1417"/>
      <c r="D51" s="1488"/>
      <c r="E51" s="1479"/>
    </row>
    <row r="52" spans="1:43" s="1418" customFormat="1" x14ac:dyDescent="0.2">
      <c r="A52" s="1417"/>
    </row>
    <row r="53" spans="1:43" s="1418" customFormat="1" x14ac:dyDescent="0.2">
      <c r="A53" s="1417"/>
      <c r="AN53" s="1366"/>
      <c r="AO53" s="1366"/>
      <c r="AP53" s="1366"/>
      <c r="AQ53" s="1366"/>
    </row>
    <row r="54" spans="1:43" s="1418" customFormat="1" x14ac:dyDescent="0.2">
      <c r="A54" s="1417"/>
      <c r="AN54" s="1366"/>
      <c r="AO54" s="1366"/>
      <c r="AP54" s="1366"/>
      <c r="AQ54" s="1366"/>
    </row>
    <row r="55" spans="1:43" s="1418" customFormat="1" x14ac:dyDescent="0.2">
      <c r="A55" s="1417"/>
      <c r="I55" s="1366"/>
      <c r="J55" s="1366"/>
      <c r="AN55" s="1366"/>
      <c r="AO55" s="1366"/>
      <c r="AP55" s="1366"/>
      <c r="AQ55" s="1366"/>
    </row>
    <row r="56" spans="1:43" s="1418" customFormat="1" x14ac:dyDescent="0.2">
      <c r="A56" s="1417"/>
      <c r="I56" s="1366"/>
      <c r="J56" s="1366"/>
      <c r="AN56" s="1366"/>
      <c r="AO56" s="1366"/>
      <c r="AP56" s="1366"/>
      <c r="AQ56" s="1366"/>
    </row>
    <row r="57" spans="1:43" s="1418" customFormat="1" x14ac:dyDescent="0.2">
      <c r="A57" s="1417"/>
      <c r="I57" s="1366"/>
      <c r="J57" s="1366"/>
      <c r="AN57" s="1366"/>
      <c r="AO57" s="1366"/>
      <c r="AP57" s="1366"/>
      <c r="AQ57" s="1366"/>
    </row>
    <row r="58" spans="1:43" s="1418" customFormat="1" x14ac:dyDescent="0.2">
      <c r="A58" s="1417"/>
      <c r="I58" s="1366"/>
      <c r="J58" s="1366"/>
      <c r="K58" s="1366"/>
      <c r="L58" s="1366"/>
      <c r="M58" s="1366"/>
      <c r="N58" s="1366"/>
      <c r="O58" s="1366"/>
      <c r="P58" s="1366"/>
      <c r="AN58" s="1366"/>
      <c r="AO58" s="1366"/>
      <c r="AP58" s="1366"/>
      <c r="AQ58" s="1366"/>
    </row>
    <row r="59" spans="1:43" x14ac:dyDescent="0.2">
      <c r="Q59" s="1418"/>
      <c r="R59" s="1418"/>
      <c r="S59" s="1418"/>
      <c r="T59" s="1418"/>
    </row>
    <row r="60" spans="1:43" x14ac:dyDescent="0.2">
      <c r="Q60" s="1418"/>
      <c r="R60" s="1418"/>
      <c r="S60" s="1418"/>
      <c r="T60" s="1418"/>
    </row>
    <row r="61" spans="1:43" x14ac:dyDescent="0.2">
      <c r="Q61" s="1418"/>
      <c r="R61" s="1418"/>
      <c r="S61" s="1418"/>
      <c r="T61" s="1418"/>
    </row>
  </sheetData>
  <autoFilter ref="A8:AR22" xr:uid="{00000000-0009-0000-0000-00001A000000}"/>
  <mergeCells count="43">
    <mergeCell ref="L6:L7"/>
    <mergeCell ref="AF1:AI1"/>
    <mergeCell ref="A2:AI2"/>
    <mergeCell ref="A5:A7"/>
    <mergeCell ref="B5:B7"/>
    <mergeCell ref="C5:C7"/>
    <mergeCell ref="D5:X5"/>
    <mergeCell ref="Y5:AI5"/>
    <mergeCell ref="D6:D7"/>
    <mergeCell ref="E6:E7"/>
    <mergeCell ref="F6:F7"/>
    <mergeCell ref="AB6:AD6"/>
    <mergeCell ref="AE6:AG6"/>
    <mergeCell ref="AH6:AH7"/>
    <mergeCell ref="AI6:AI7"/>
    <mergeCell ref="A21:B21"/>
    <mergeCell ref="T6:T7"/>
    <mergeCell ref="U6:U7"/>
    <mergeCell ref="V6:V7"/>
    <mergeCell ref="W6:W7"/>
    <mergeCell ref="M6:M7"/>
    <mergeCell ref="N6:N7"/>
    <mergeCell ref="O6:P6"/>
    <mergeCell ref="Q6:Q7"/>
    <mergeCell ref="R6:R7"/>
    <mergeCell ref="S6:S7"/>
    <mergeCell ref="G6:G7"/>
    <mergeCell ref="H6:H7"/>
    <mergeCell ref="I6:I7"/>
    <mergeCell ref="J6:J7"/>
    <mergeCell ref="K6:K7"/>
    <mergeCell ref="V9:V20"/>
    <mergeCell ref="X6:X7"/>
    <mergeCell ref="Y6:AA6"/>
    <mergeCell ref="Q24:S24"/>
    <mergeCell ref="T24:U24"/>
    <mergeCell ref="M24:N24"/>
    <mergeCell ref="O24:P24"/>
    <mergeCell ref="E31:F31"/>
    <mergeCell ref="C24:D24"/>
    <mergeCell ref="E24:F24"/>
    <mergeCell ref="G24:H24"/>
    <mergeCell ref="K24:L24"/>
  </mergeCells>
  <printOptions horizontalCentered="1"/>
  <pageMargins left="0" right="0" top="0" bottom="0" header="0.31496062992125984" footer="0.31496062992125984"/>
  <pageSetup paperSize="9" scale="37"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C000"/>
    <pageSetUpPr fitToPage="1"/>
  </sheetPr>
  <dimension ref="A1:AR61"/>
  <sheetViews>
    <sheetView view="pageBreakPreview" zoomScale="70" zoomScaleNormal="80" zoomScaleSheetLayoutView="70" workbookViewId="0">
      <pane xSplit="2" ySplit="8" topLeftCell="C9" activePane="bottomRight" state="frozen"/>
      <selection activeCell="X14" sqref="X14"/>
      <selection pane="topRight" activeCell="X14" sqref="X14"/>
      <selection pane="bottomLeft" activeCell="X14" sqref="X14"/>
      <selection pane="bottomRight" activeCell="AI4" sqref="AI4"/>
    </sheetView>
  </sheetViews>
  <sheetFormatPr defaultRowHeight="12.75" x14ac:dyDescent="0.2"/>
  <cols>
    <col min="1" max="1" width="12.1640625" style="1365" customWidth="1"/>
    <col min="2" max="2" width="30.83203125" style="1366" customWidth="1"/>
    <col min="3" max="3" width="16.1640625" style="1366" customWidth="1"/>
    <col min="4" max="4" width="14" style="1366" customWidth="1"/>
    <col min="5" max="5" width="13" style="1366" customWidth="1"/>
    <col min="6" max="6" width="14.6640625" style="1366" customWidth="1"/>
    <col min="7" max="7" width="11.83203125" style="1366" customWidth="1"/>
    <col min="8" max="8" width="11.6640625" style="1366" customWidth="1"/>
    <col min="9" max="9" width="12.5" style="1366" customWidth="1"/>
    <col min="10" max="10" width="11.33203125" style="1366" customWidth="1"/>
    <col min="11" max="11" width="17" style="1366" customWidth="1"/>
    <col min="12" max="12" width="12.1640625" style="1366" customWidth="1"/>
    <col min="13" max="18" width="13" style="1366" customWidth="1"/>
    <col min="19" max="19" width="13.1640625" style="1366" customWidth="1"/>
    <col min="20" max="20" width="15" style="1366" customWidth="1"/>
    <col min="21" max="21" width="12.5" style="1366" customWidth="1"/>
    <col min="22" max="22" width="11.6640625" style="1366" customWidth="1"/>
    <col min="23" max="23" width="14.1640625" style="1366" customWidth="1"/>
    <col min="24" max="24" width="12" style="1366" customWidth="1"/>
    <col min="25" max="25" width="8.5" style="1366" customWidth="1"/>
    <col min="26" max="26" width="10.1640625" style="1366" customWidth="1"/>
    <col min="27" max="27" width="10.6640625" style="1366" customWidth="1"/>
    <col min="28" max="28" width="8.5" style="1366" customWidth="1"/>
    <col min="29" max="29" width="10" style="1366" customWidth="1"/>
    <col min="30" max="31" width="8.5" style="1366" customWidth="1"/>
    <col min="32" max="32" width="10.83203125" style="1366" customWidth="1"/>
    <col min="33" max="33" width="9.5" style="1366" customWidth="1"/>
    <col min="34" max="34" width="9.33203125" style="1366" customWidth="1"/>
    <col min="35" max="35" width="14.6640625" style="1366" customWidth="1"/>
    <col min="36" max="36" width="14.5" style="1366" customWidth="1"/>
    <col min="37" max="37" width="12.6640625" style="1366" bestFit="1" customWidth="1"/>
    <col min="38" max="38" width="9.6640625" style="1366" hidden="1" customWidth="1"/>
    <col min="39" max="39" width="9.5" style="1366" hidden="1" customWidth="1"/>
    <col min="40" max="40" width="9.33203125" style="1366"/>
    <col min="41" max="41" width="14.5" style="1366" bestFit="1" customWidth="1"/>
    <col min="42" max="256" width="9.33203125" style="1366"/>
    <col min="257" max="257" width="12.1640625" style="1366" customWidth="1"/>
    <col min="258" max="258" width="30.83203125" style="1366" customWidth="1"/>
    <col min="259" max="259" width="13.83203125" style="1366" customWidth="1"/>
    <col min="260" max="260" width="14" style="1366" customWidth="1"/>
    <col min="261" max="261" width="13" style="1366" customWidth="1"/>
    <col min="262" max="262" width="14.6640625" style="1366" customWidth="1"/>
    <col min="263" max="263" width="11.83203125" style="1366" customWidth="1"/>
    <col min="264" max="264" width="11.6640625" style="1366" customWidth="1"/>
    <col min="265" max="265" width="12.5" style="1366" customWidth="1"/>
    <col min="266" max="266" width="11.33203125" style="1366" customWidth="1"/>
    <col min="267" max="267" width="17" style="1366" customWidth="1"/>
    <col min="268" max="268" width="12.1640625" style="1366" customWidth="1"/>
    <col min="269" max="274" width="13" style="1366" customWidth="1"/>
    <col min="275" max="275" width="13.1640625" style="1366" customWidth="1"/>
    <col min="276" max="276" width="15" style="1366" customWidth="1"/>
    <col min="277" max="277" width="12.5" style="1366" customWidth="1"/>
    <col min="278" max="278" width="11.6640625" style="1366" customWidth="1"/>
    <col min="279" max="279" width="14.1640625" style="1366" customWidth="1"/>
    <col min="280" max="280" width="12" style="1366" customWidth="1"/>
    <col min="281" max="281" width="8.5" style="1366" customWidth="1"/>
    <col min="282" max="282" width="10.1640625" style="1366" customWidth="1"/>
    <col min="283" max="283" width="10.6640625" style="1366" customWidth="1"/>
    <col min="284" max="284" width="8.5" style="1366" customWidth="1"/>
    <col min="285" max="285" width="10" style="1366" customWidth="1"/>
    <col min="286" max="287" width="8.5" style="1366" customWidth="1"/>
    <col min="288" max="288" width="10.83203125" style="1366" customWidth="1"/>
    <col min="289" max="289" width="9.5" style="1366" customWidth="1"/>
    <col min="290" max="290" width="9.33203125" style="1366" customWidth="1"/>
    <col min="291" max="291" width="13" style="1366" customWidth="1"/>
    <col min="292" max="292" width="14.5" style="1366" customWidth="1"/>
    <col min="293" max="293" width="12.6640625" style="1366" bestFit="1" customWidth="1"/>
    <col min="294" max="295" width="0" style="1366" hidden="1" customWidth="1"/>
    <col min="296" max="296" width="9.33203125" style="1366"/>
    <col min="297" max="297" width="14.5" style="1366" bestFit="1" customWidth="1"/>
    <col min="298" max="512" width="9.33203125" style="1366"/>
    <col min="513" max="513" width="12.1640625" style="1366" customWidth="1"/>
    <col min="514" max="514" width="30.83203125" style="1366" customWidth="1"/>
    <col min="515" max="515" width="13.83203125" style="1366" customWidth="1"/>
    <col min="516" max="516" width="14" style="1366" customWidth="1"/>
    <col min="517" max="517" width="13" style="1366" customWidth="1"/>
    <col min="518" max="518" width="14.6640625" style="1366" customWidth="1"/>
    <col min="519" max="519" width="11.83203125" style="1366" customWidth="1"/>
    <col min="520" max="520" width="11.6640625" style="1366" customWidth="1"/>
    <col min="521" max="521" width="12.5" style="1366" customWidth="1"/>
    <col min="522" max="522" width="11.33203125" style="1366" customWidth="1"/>
    <col min="523" max="523" width="17" style="1366" customWidth="1"/>
    <col min="524" max="524" width="12.1640625" style="1366" customWidth="1"/>
    <col min="525" max="530" width="13" style="1366" customWidth="1"/>
    <col min="531" max="531" width="13.1640625" style="1366" customWidth="1"/>
    <col min="532" max="532" width="15" style="1366" customWidth="1"/>
    <col min="533" max="533" width="12.5" style="1366" customWidth="1"/>
    <col min="534" max="534" width="11.6640625" style="1366" customWidth="1"/>
    <col min="535" max="535" width="14.1640625" style="1366" customWidth="1"/>
    <col min="536" max="536" width="12" style="1366" customWidth="1"/>
    <col min="537" max="537" width="8.5" style="1366" customWidth="1"/>
    <col min="538" max="538" width="10.1640625" style="1366" customWidth="1"/>
    <col min="539" max="539" width="10.6640625" style="1366" customWidth="1"/>
    <col min="540" max="540" width="8.5" style="1366" customWidth="1"/>
    <col min="541" max="541" width="10" style="1366" customWidth="1"/>
    <col min="542" max="543" width="8.5" style="1366" customWidth="1"/>
    <col min="544" max="544" width="10.83203125" style="1366" customWidth="1"/>
    <col min="545" max="545" width="9.5" style="1366" customWidth="1"/>
    <col min="546" max="546" width="9.33203125" style="1366" customWidth="1"/>
    <col min="547" max="547" width="13" style="1366" customWidth="1"/>
    <col min="548" max="548" width="14.5" style="1366" customWidth="1"/>
    <col min="549" max="549" width="12.6640625" style="1366" bestFit="1" customWidth="1"/>
    <col min="550" max="551" width="0" style="1366" hidden="1" customWidth="1"/>
    <col min="552" max="552" width="9.33203125" style="1366"/>
    <col min="553" max="553" width="14.5" style="1366" bestFit="1" customWidth="1"/>
    <col min="554" max="768" width="9.33203125" style="1366"/>
    <col min="769" max="769" width="12.1640625" style="1366" customWidth="1"/>
    <col min="770" max="770" width="30.83203125" style="1366" customWidth="1"/>
    <col min="771" max="771" width="13.83203125" style="1366" customWidth="1"/>
    <col min="772" max="772" width="14" style="1366" customWidth="1"/>
    <col min="773" max="773" width="13" style="1366" customWidth="1"/>
    <col min="774" max="774" width="14.6640625" style="1366" customWidth="1"/>
    <col min="775" max="775" width="11.83203125" style="1366" customWidth="1"/>
    <col min="776" max="776" width="11.6640625" style="1366" customWidth="1"/>
    <col min="777" max="777" width="12.5" style="1366" customWidth="1"/>
    <col min="778" max="778" width="11.33203125" style="1366" customWidth="1"/>
    <col min="779" max="779" width="17" style="1366" customWidth="1"/>
    <col min="780" max="780" width="12.1640625" style="1366" customWidth="1"/>
    <col min="781" max="786" width="13" style="1366" customWidth="1"/>
    <col min="787" max="787" width="13.1640625" style="1366" customWidth="1"/>
    <col min="788" max="788" width="15" style="1366" customWidth="1"/>
    <col min="789" max="789" width="12.5" style="1366" customWidth="1"/>
    <col min="790" max="790" width="11.6640625" style="1366" customWidth="1"/>
    <col min="791" max="791" width="14.1640625" style="1366" customWidth="1"/>
    <col min="792" max="792" width="12" style="1366" customWidth="1"/>
    <col min="793" max="793" width="8.5" style="1366" customWidth="1"/>
    <col min="794" max="794" width="10.1640625" style="1366" customWidth="1"/>
    <col min="795" max="795" width="10.6640625" style="1366" customWidth="1"/>
    <col min="796" max="796" width="8.5" style="1366" customWidth="1"/>
    <col min="797" max="797" width="10" style="1366" customWidth="1"/>
    <col min="798" max="799" width="8.5" style="1366" customWidth="1"/>
    <col min="800" max="800" width="10.83203125" style="1366" customWidth="1"/>
    <col min="801" max="801" width="9.5" style="1366" customWidth="1"/>
    <col min="802" max="802" width="9.33203125" style="1366" customWidth="1"/>
    <col min="803" max="803" width="13" style="1366" customWidth="1"/>
    <col min="804" max="804" width="14.5" style="1366" customWidth="1"/>
    <col min="805" max="805" width="12.6640625" style="1366" bestFit="1" customWidth="1"/>
    <col min="806" max="807" width="0" style="1366" hidden="1" customWidth="1"/>
    <col min="808" max="808" width="9.33203125" style="1366"/>
    <col min="809" max="809" width="14.5" style="1366" bestFit="1" customWidth="1"/>
    <col min="810" max="1024" width="9.33203125" style="1366"/>
    <col min="1025" max="1025" width="12.1640625" style="1366" customWidth="1"/>
    <col min="1026" max="1026" width="30.83203125" style="1366" customWidth="1"/>
    <col min="1027" max="1027" width="13.83203125" style="1366" customWidth="1"/>
    <col min="1028" max="1028" width="14" style="1366" customWidth="1"/>
    <col min="1029" max="1029" width="13" style="1366" customWidth="1"/>
    <col min="1030" max="1030" width="14.6640625" style="1366" customWidth="1"/>
    <col min="1031" max="1031" width="11.83203125" style="1366" customWidth="1"/>
    <col min="1032" max="1032" width="11.6640625" style="1366" customWidth="1"/>
    <col min="1033" max="1033" width="12.5" style="1366" customWidth="1"/>
    <col min="1034" max="1034" width="11.33203125" style="1366" customWidth="1"/>
    <col min="1035" max="1035" width="17" style="1366" customWidth="1"/>
    <col min="1036" max="1036" width="12.1640625" style="1366" customWidth="1"/>
    <col min="1037" max="1042" width="13" style="1366" customWidth="1"/>
    <col min="1043" max="1043" width="13.1640625" style="1366" customWidth="1"/>
    <col min="1044" max="1044" width="15" style="1366" customWidth="1"/>
    <col min="1045" max="1045" width="12.5" style="1366" customWidth="1"/>
    <col min="1046" max="1046" width="11.6640625" style="1366" customWidth="1"/>
    <col min="1047" max="1047" width="14.1640625" style="1366" customWidth="1"/>
    <col min="1048" max="1048" width="12" style="1366" customWidth="1"/>
    <col min="1049" max="1049" width="8.5" style="1366" customWidth="1"/>
    <col min="1050" max="1050" width="10.1640625" style="1366" customWidth="1"/>
    <col min="1051" max="1051" width="10.6640625" style="1366" customWidth="1"/>
    <col min="1052" max="1052" width="8.5" style="1366" customWidth="1"/>
    <col min="1053" max="1053" width="10" style="1366" customWidth="1"/>
    <col min="1054" max="1055" width="8.5" style="1366" customWidth="1"/>
    <col min="1056" max="1056" width="10.83203125" style="1366" customWidth="1"/>
    <col min="1057" max="1057" width="9.5" style="1366" customWidth="1"/>
    <col min="1058" max="1058" width="9.33203125" style="1366" customWidth="1"/>
    <col min="1059" max="1059" width="13" style="1366" customWidth="1"/>
    <col min="1060" max="1060" width="14.5" style="1366" customWidth="1"/>
    <col min="1061" max="1061" width="12.6640625" style="1366" bestFit="1" customWidth="1"/>
    <col min="1062" max="1063" width="0" style="1366" hidden="1" customWidth="1"/>
    <col min="1064" max="1064" width="9.33203125" style="1366"/>
    <col min="1065" max="1065" width="14.5" style="1366" bestFit="1" customWidth="1"/>
    <col min="1066" max="1280" width="9.33203125" style="1366"/>
    <col min="1281" max="1281" width="12.1640625" style="1366" customWidth="1"/>
    <col min="1282" max="1282" width="30.83203125" style="1366" customWidth="1"/>
    <col min="1283" max="1283" width="13.83203125" style="1366" customWidth="1"/>
    <col min="1284" max="1284" width="14" style="1366" customWidth="1"/>
    <col min="1285" max="1285" width="13" style="1366" customWidth="1"/>
    <col min="1286" max="1286" width="14.6640625" style="1366" customWidth="1"/>
    <col min="1287" max="1287" width="11.83203125" style="1366" customWidth="1"/>
    <col min="1288" max="1288" width="11.6640625" style="1366" customWidth="1"/>
    <col min="1289" max="1289" width="12.5" style="1366" customWidth="1"/>
    <col min="1290" max="1290" width="11.33203125" style="1366" customWidth="1"/>
    <col min="1291" max="1291" width="17" style="1366" customWidth="1"/>
    <col min="1292" max="1292" width="12.1640625" style="1366" customWidth="1"/>
    <col min="1293" max="1298" width="13" style="1366" customWidth="1"/>
    <col min="1299" max="1299" width="13.1640625" style="1366" customWidth="1"/>
    <col min="1300" max="1300" width="15" style="1366" customWidth="1"/>
    <col min="1301" max="1301" width="12.5" style="1366" customWidth="1"/>
    <col min="1302" max="1302" width="11.6640625" style="1366" customWidth="1"/>
    <col min="1303" max="1303" width="14.1640625" style="1366" customWidth="1"/>
    <col min="1304" max="1304" width="12" style="1366" customWidth="1"/>
    <col min="1305" max="1305" width="8.5" style="1366" customWidth="1"/>
    <col min="1306" max="1306" width="10.1640625" style="1366" customWidth="1"/>
    <col min="1307" max="1307" width="10.6640625" style="1366" customWidth="1"/>
    <col min="1308" max="1308" width="8.5" style="1366" customWidth="1"/>
    <col min="1309" max="1309" width="10" style="1366" customWidth="1"/>
    <col min="1310" max="1311" width="8.5" style="1366" customWidth="1"/>
    <col min="1312" max="1312" width="10.83203125" style="1366" customWidth="1"/>
    <col min="1313" max="1313" width="9.5" style="1366" customWidth="1"/>
    <col min="1314" max="1314" width="9.33203125" style="1366" customWidth="1"/>
    <col min="1315" max="1315" width="13" style="1366" customWidth="1"/>
    <col min="1316" max="1316" width="14.5" style="1366" customWidth="1"/>
    <col min="1317" max="1317" width="12.6640625" style="1366" bestFit="1" customWidth="1"/>
    <col min="1318" max="1319" width="0" style="1366" hidden="1" customWidth="1"/>
    <col min="1320" max="1320" width="9.33203125" style="1366"/>
    <col min="1321" max="1321" width="14.5" style="1366" bestFit="1" customWidth="1"/>
    <col min="1322" max="1536" width="9.33203125" style="1366"/>
    <col min="1537" max="1537" width="12.1640625" style="1366" customWidth="1"/>
    <col min="1538" max="1538" width="30.83203125" style="1366" customWidth="1"/>
    <col min="1539" max="1539" width="13.83203125" style="1366" customWidth="1"/>
    <col min="1540" max="1540" width="14" style="1366" customWidth="1"/>
    <col min="1541" max="1541" width="13" style="1366" customWidth="1"/>
    <col min="1542" max="1542" width="14.6640625" style="1366" customWidth="1"/>
    <col min="1543" max="1543" width="11.83203125" style="1366" customWidth="1"/>
    <col min="1544" max="1544" width="11.6640625" style="1366" customWidth="1"/>
    <col min="1545" max="1545" width="12.5" style="1366" customWidth="1"/>
    <col min="1546" max="1546" width="11.33203125" style="1366" customWidth="1"/>
    <col min="1547" max="1547" width="17" style="1366" customWidth="1"/>
    <col min="1548" max="1548" width="12.1640625" style="1366" customWidth="1"/>
    <col min="1549" max="1554" width="13" style="1366" customWidth="1"/>
    <col min="1555" max="1555" width="13.1640625" style="1366" customWidth="1"/>
    <col min="1556" max="1556" width="15" style="1366" customWidth="1"/>
    <col min="1557" max="1557" width="12.5" style="1366" customWidth="1"/>
    <col min="1558" max="1558" width="11.6640625" style="1366" customWidth="1"/>
    <col min="1559" max="1559" width="14.1640625" style="1366" customWidth="1"/>
    <col min="1560" max="1560" width="12" style="1366" customWidth="1"/>
    <col min="1561" max="1561" width="8.5" style="1366" customWidth="1"/>
    <col min="1562" max="1562" width="10.1640625" style="1366" customWidth="1"/>
    <col min="1563" max="1563" width="10.6640625" style="1366" customWidth="1"/>
    <col min="1564" max="1564" width="8.5" style="1366" customWidth="1"/>
    <col min="1565" max="1565" width="10" style="1366" customWidth="1"/>
    <col min="1566" max="1567" width="8.5" style="1366" customWidth="1"/>
    <col min="1568" max="1568" width="10.83203125" style="1366" customWidth="1"/>
    <col min="1569" max="1569" width="9.5" style="1366" customWidth="1"/>
    <col min="1570" max="1570" width="9.33203125" style="1366" customWidth="1"/>
    <col min="1571" max="1571" width="13" style="1366" customWidth="1"/>
    <col min="1572" max="1572" width="14.5" style="1366" customWidth="1"/>
    <col min="1573" max="1573" width="12.6640625" style="1366" bestFit="1" customWidth="1"/>
    <col min="1574" max="1575" width="0" style="1366" hidden="1" customWidth="1"/>
    <col min="1576" max="1576" width="9.33203125" style="1366"/>
    <col min="1577" max="1577" width="14.5" style="1366" bestFit="1" customWidth="1"/>
    <col min="1578" max="1792" width="9.33203125" style="1366"/>
    <col min="1793" max="1793" width="12.1640625" style="1366" customWidth="1"/>
    <col min="1794" max="1794" width="30.83203125" style="1366" customWidth="1"/>
    <col min="1795" max="1795" width="13.83203125" style="1366" customWidth="1"/>
    <col min="1796" max="1796" width="14" style="1366" customWidth="1"/>
    <col min="1797" max="1797" width="13" style="1366" customWidth="1"/>
    <col min="1798" max="1798" width="14.6640625" style="1366" customWidth="1"/>
    <col min="1799" max="1799" width="11.83203125" style="1366" customWidth="1"/>
    <col min="1800" max="1800" width="11.6640625" style="1366" customWidth="1"/>
    <col min="1801" max="1801" width="12.5" style="1366" customWidth="1"/>
    <col min="1802" max="1802" width="11.33203125" style="1366" customWidth="1"/>
    <col min="1803" max="1803" width="17" style="1366" customWidth="1"/>
    <col min="1804" max="1804" width="12.1640625" style="1366" customWidth="1"/>
    <col min="1805" max="1810" width="13" style="1366" customWidth="1"/>
    <col min="1811" max="1811" width="13.1640625" style="1366" customWidth="1"/>
    <col min="1812" max="1812" width="15" style="1366" customWidth="1"/>
    <col min="1813" max="1813" width="12.5" style="1366" customWidth="1"/>
    <col min="1814" max="1814" width="11.6640625" style="1366" customWidth="1"/>
    <col min="1815" max="1815" width="14.1640625" style="1366" customWidth="1"/>
    <col min="1816" max="1816" width="12" style="1366" customWidth="1"/>
    <col min="1817" max="1817" width="8.5" style="1366" customWidth="1"/>
    <col min="1818" max="1818" width="10.1640625" style="1366" customWidth="1"/>
    <col min="1819" max="1819" width="10.6640625" style="1366" customWidth="1"/>
    <col min="1820" max="1820" width="8.5" style="1366" customWidth="1"/>
    <col min="1821" max="1821" width="10" style="1366" customWidth="1"/>
    <col min="1822" max="1823" width="8.5" style="1366" customWidth="1"/>
    <col min="1824" max="1824" width="10.83203125" style="1366" customWidth="1"/>
    <col min="1825" max="1825" width="9.5" style="1366" customWidth="1"/>
    <col min="1826" max="1826" width="9.33203125" style="1366" customWidth="1"/>
    <col min="1827" max="1827" width="13" style="1366" customWidth="1"/>
    <col min="1828" max="1828" width="14.5" style="1366" customWidth="1"/>
    <col min="1829" max="1829" width="12.6640625" style="1366" bestFit="1" customWidth="1"/>
    <col min="1830" max="1831" width="0" style="1366" hidden="1" customWidth="1"/>
    <col min="1832" max="1832" width="9.33203125" style="1366"/>
    <col min="1833" max="1833" width="14.5" style="1366" bestFit="1" customWidth="1"/>
    <col min="1834" max="2048" width="9.33203125" style="1366"/>
    <col min="2049" max="2049" width="12.1640625" style="1366" customWidth="1"/>
    <col min="2050" max="2050" width="30.83203125" style="1366" customWidth="1"/>
    <col min="2051" max="2051" width="13.83203125" style="1366" customWidth="1"/>
    <col min="2052" max="2052" width="14" style="1366" customWidth="1"/>
    <col min="2053" max="2053" width="13" style="1366" customWidth="1"/>
    <col min="2054" max="2054" width="14.6640625" style="1366" customWidth="1"/>
    <col min="2055" max="2055" width="11.83203125" style="1366" customWidth="1"/>
    <col min="2056" max="2056" width="11.6640625" style="1366" customWidth="1"/>
    <col min="2057" max="2057" width="12.5" style="1366" customWidth="1"/>
    <col min="2058" max="2058" width="11.33203125" style="1366" customWidth="1"/>
    <col min="2059" max="2059" width="17" style="1366" customWidth="1"/>
    <col min="2060" max="2060" width="12.1640625" style="1366" customWidth="1"/>
    <col min="2061" max="2066" width="13" style="1366" customWidth="1"/>
    <col min="2067" max="2067" width="13.1640625" style="1366" customWidth="1"/>
    <col min="2068" max="2068" width="15" style="1366" customWidth="1"/>
    <col min="2069" max="2069" width="12.5" style="1366" customWidth="1"/>
    <col min="2070" max="2070" width="11.6640625" style="1366" customWidth="1"/>
    <col min="2071" max="2071" width="14.1640625" style="1366" customWidth="1"/>
    <col min="2072" max="2072" width="12" style="1366" customWidth="1"/>
    <col min="2073" max="2073" width="8.5" style="1366" customWidth="1"/>
    <col min="2074" max="2074" width="10.1640625" style="1366" customWidth="1"/>
    <col min="2075" max="2075" width="10.6640625" style="1366" customWidth="1"/>
    <col min="2076" max="2076" width="8.5" style="1366" customWidth="1"/>
    <col min="2077" max="2077" width="10" style="1366" customWidth="1"/>
    <col min="2078" max="2079" width="8.5" style="1366" customWidth="1"/>
    <col min="2080" max="2080" width="10.83203125" style="1366" customWidth="1"/>
    <col min="2081" max="2081" width="9.5" style="1366" customWidth="1"/>
    <col min="2082" max="2082" width="9.33203125" style="1366" customWidth="1"/>
    <col min="2083" max="2083" width="13" style="1366" customWidth="1"/>
    <col min="2084" max="2084" width="14.5" style="1366" customWidth="1"/>
    <col min="2085" max="2085" width="12.6640625" style="1366" bestFit="1" customWidth="1"/>
    <col min="2086" max="2087" width="0" style="1366" hidden="1" customWidth="1"/>
    <col min="2088" max="2088" width="9.33203125" style="1366"/>
    <col min="2089" max="2089" width="14.5" style="1366" bestFit="1" customWidth="1"/>
    <col min="2090" max="2304" width="9.33203125" style="1366"/>
    <col min="2305" max="2305" width="12.1640625" style="1366" customWidth="1"/>
    <col min="2306" max="2306" width="30.83203125" style="1366" customWidth="1"/>
    <col min="2307" max="2307" width="13.83203125" style="1366" customWidth="1"/>
    <col min="2308" max="2308" width="14" style="1366" customWidth="1"/>
    <col min="2309" max="2309" width="13" style="1366" customWidth="1"/>
    <col min="2310" max="2310" width="14.6640625" style="1366" customWidth="1"/>
    <col min="2311" max="2311" width="11.83203125" style="1366" customWidth="1"/>
    <col min="2312" max="2312" width="11.6640625" style="1366" customWidth="1"/>
    <col min="2313" max="2313" width="12.5" style="1366" customWidth="1"/>
    <col min="2314" max="2314" width="11.33203125" style="1366" customWidth="1"/>
    <col min="2315" max="2315" width="17" style="1366" customWidth="1"/>
    <col min="2316" max="2316" width="12.1640625" style="1366" customWidth="1"/>
    <col min="2317" max="2322" width="13" style="1366" customWidth="1"/>
    <col min="2323" max="2323" width="13.1640625" style="1366" customWidth="1"/>
    <col min="2324" max="2324" width="15" style="1366" customWidth="1"/>
    <col min="2325" max="2325" width="12.5" style="1366" customWidth="1"/>
    <col min="2326" max="2326" width="11.6640625" style="1366" customWidth="1"/>
    <col min="2327" max="2327" width="14.1640625" style="1366" customWidth="1"/>
    <col min="2328" max="2328" width="12" style="1366" customWidth="1"/>
    <col min="2329" max="2329" width="8.5" style="1366" customWidth="1"/>
    <col min="2330" max="2330" width="10.1640625" style="1366" customWidth="1"/>
    <col min="2331" max="2331" width="10.6640625" style="1366" customWidth="1"/>
    <col min="2332" max="2332" width="8.5" style="1366" customWidth="1"/>
    <col min="2333" max="2333" width="10" style="1366" customWidth="1"/>
    <col min="2334" max="2335" width="8.5" style="1366" customWidth="1"/>
    <col min="2336" max="2336" width="10.83203125" style="1366" customWidth="1"/>
    <col min="2337" max="2337" width="9.5" style="1366" customWidth="1"/>
    <col min="2338" max="2338" width="9.33203125" style="1366" customWidth="1"/>
    <col min="2339" max="2339" width="13" style="1366" customWidth="1"/>
    <col min="2340" max="2340" width="14.5" style="1366" customWidth="1"/>
    <col min="2341" max="2341" width="12.6640625" style="1366" bestFit="1" customWidth="1"/>
    <col min="2342" max="2343" width="0" style="1366" hidden="1" customWidth="1"/>
    <col min="2344" max="2344" width="9.33203125" style="1366"/>
    <col min="2345" max="2345" width="14.5" style="1366" bestFit="1" customWidth="1"/>
    <col min="2346" max="2560" width="9.33203125" style="1366"/>
    <col min="2561" max="2561" width="12.1640625" style="1366" customWidth="1"/>
    <col min="2562" max="2562" width="30.83203125" style="1366" customWidth="1"/>
    <col min="2563" max="2563" width="13.83203125" style="1366" customWidth="1"/>
    <col min="2564" max="2564" width="14" style="1366" customWidth="1"/>
    <col min="2565" max="2565" width="13" style="1366" customWidth="1"/>
    <col min="2566" max="2566" width="14.6640625" style="1366" customWidth="1"/>
    <col min="2567" max="2567" width="11.83203125" style="1366" customWidth="1"/>
    <col min="2568" max="2568" width="11.6640625" style="1366" customWidth="1"/>
    <col min="2569" max="2569" width="12.5" style="1366" customWidth="1"/>
    <col min="2570" max="2570" width="11.33203125" style="1366" customWidth="1"/>
    <col min="2571" max="2571" width="17" style="1366" customWidth="1"/>
    <col min="2572" max="2572" width="12.1640625" style="1366" customWidth="1"/>
    <col min="2573" max="2578" width="13" style="1366" customWidth="1"/>
    <col min="2579" max="2579" width="13.1640625" style="1366" customWidth="1"/>
    <col min="2580" max="2580" width="15" style="1366" customWidth="1"/>
    <col min="2581" max="2581" width="12.5" style="1366" customWidth="1"/>
    <col min="2582" max="2582" width="11.6640625" style="1366" customWidth="1"/>
    <col min="2583" max="2583" width="14.1640625" style="1366" customWidth="1"/>
    <col min="2584" max="2584" width="12" style="1366" customWidth="1"/>
    <col min="2585" max="2585" width="8.5" style="1366" customWidth="1"/>
    <col min="2586" max="2586" width="10.1640625" style="1366" customWidth="1"/>
    <col min="2587" max="2587" width="10.6640625" style="1366" customWidth="1"/>
    <col min="2588" max="2588" width="8.5" style="1366" customWidth="1"/>
    <col min="2589" max="2589" width="10" style="1366" customWidth="1"/>
    <col min="2590" max="2591" width="8.5" style="1366" customWidth="1"/>
    <col min="2592" max="2592" width="10.83203125" style="1366" customWidth="1"/>
    <col min="2593" max="2593" width="9.5" style="1366" customWidth="1"/>
    <col min="2594" max="2594" width="9.33203125" style="1366" customWidth="1"/>
    <col min="2595" max="2595" width="13" style="1366" customWidth="1"/>
    <col min="2596" max="2596" width="14.5" style="1366" customWidth="1"/>
    <col min="2597" max="2597" width="12.6640625" style="1366" bestFit="1" customWidth="1"/>
    <col min="2598" max="2599" width="0" style="1366" hidden="1" customWidth="1"/>
    <col min="2600" max="2600" width="9.33203125" style="1366"/>
    <col min="2601" max="2601" width="14.5" style="1366" bestFit="1" customWidth="1"/>
    <col min="2602" max="2816" width="9.33203125" style="1366"/>
    <col min="2817" max="2817" width="12.1640625" style="1366" customWidth="1"/>
    <col min="2818" max="2818" width="30.83203125" style="1366" customWidth="1"/>
    <col min="2819" max="2819" width="13.83203125" style="1366" customWidth="1"/>
    <col min="2820" max="2820" width="14" style="1366" customWidth="1"/>
    <col min="2821" max="2821" width="13" style="1366" customWidth="1"/>
    <col min="2822" max="2822" width="14.6640625" style="1366" customWidth="1"/>
    <col min="2823" max="2823" width="11.83203125" style="1366" customWidth="1"/>
    <col min="2824" max="2824" width="11.6640625" style="1366" customWidth="1"/>
    <col min="2825" max="2825" width="12.5" style="1366" customWidth="1"/>
    <col min="2826" max="2826" width="11.33203125" style="1366" customWidth="1"/>
    <col min="2827" max="2827" width="17" style="1366" customWidth="1"/>
    <col min="2828" max="2828" width="12.1640625" style="1366" customWidth="1"/>
    <col min="2829" max="2834" width="13" style="1366" customWidth="1"/>
    <col min="2835" max="2835" width="13.1640625" style="1366" customWidth="1"/>
    <col min="2836" max="2836" width="15" style="1366" customWidth="1"/>
    <col min="2837" max="2837" width="12.5" style="1366" customWidth="1"/>
    <col min="2838" max="2838" width="11.6640625" style="1366" customWidth="1"/>
    <col min="2839" max="2839" width="14.1640625" style="1366" customWidth="1"/>
    <col min="2840" max="2840" width="12" style="1366" customWidth="1"/>
    <col min="2841" max="2841" width="8.5" style="1366" customWidth="1"/>
    <col min="2842" max="2842" width="10.1640625" style="1366" customWidth="1"/>
    <col min="2843" max="2843" width="10.6640625" style="1366" customWidth="1"/>
    <col min="2844" max="2844" width="8.5" style="1366" customWidth="1"/>
    <col min="2845" max="2845" width="10" style="1366" customWidth="1"/>
    <col min="2846" max="2847" width="8.5" style="1366" customWidth="1"/>
    <col min="2848" max="2848" width="10.83203125" style="1366" customWidth="1"/>
    <col min="2849" max="2849" width="9.5" style="1366" customWidth="1"/>
    <col min="2850" max="2850" width="9.33203125" style="1366" customWidth="1"/>
    <col min="2851" max="2851" width="13" style="1366" customWidth="1"/>
    <col min="2852" max="2852" width="14.5" style="1366" customWidth="1"/>
    <col min="2853" max="2853" width="12.6640625" style="1366" bestFit="1" customWidth="1"/>
    <col min="2854" max="2855" width="0" style="1366" hidden="1" customWidth="1"/>
    <col min="2856" max="2856" width="9.33203125" style="1366"/>
    <col min="2857" max="2857" width="14.5" style="1366" bestFit="1" customWidth="1"/>
    <col min="2858" max="3072" width="9.33203125" style="1366"/>
    <col min="3073" max="3073" width="12.1640625" style="1366" customWidth="1"/>
    <col min="3074" max="3074" width="30.83203125" style="1366" customWidth="1"/>
    <col min="3075" max="3075" width="13.83203125" style="1366" customWidth="1"/>
    <col min="3076" max="3076" width="14" style="1366" customWidth="1"/>
    <col min="3077" max="3077" width="13" style="1366" customWidth="1"/>
    <col min="3078" max="3078" width="14.6640625" style="1366" customWidth="1"/>
    <col min="3079" max="3079" width="11.83203125" style="1366" customWidth="1"/>
    <col min="3080" max="3080" width="11.6640625" style="1366" customWidth="1"/>
    <col min="3081" max="3081" width="12.5" style="1366" customWidth="1"/>
    <col min="3082" max="3082" width="11.33203125" style="1366" customWidth="1"/>
    <col min="3083" max="3083" width="17" style="1366" customWidth="1"/>
    <col min="3084" max="3084" width="12.1640625" style="1366" customWidth="1"/>
    <col min="3085" max="3090" width="13" style="1366" customWidth="1"/>
    <col min="3091" max="3091" width="13.1640625" style="1366" customWidth="1"/>
    <col min="3092" max="3092" width="15" style="1366" customWidth="1"/>
    <col min="3093" max="3093" width="12.5" style="1366" customWidth="1"/>
    <col min="3094" max="3094" width="11.6640625" style="1366" customWidth="1"/>
    <col min="3095" max="3095" width="14.1640625" style="1366" customWidth="1"/>
    <col min="3096" max="3096" width="12" style="1366" customWidth="1"/>
    <col min="3097" max="3097" width="8.5" style="1366" customWidth="1"/>
    <col min="3098" max="3098" width="10.1640625" style="1366" customWidth="1"/>
    <col min="3099" max="3099" width="10.6640625" style="1366" customWidth="1"/>
    <col min="3100" max="3100" width="8.5" style="1366" customWidth="1"/>
    <col min="3101" max="3101" width="10" style="1366" customWidth="1"/>
    <col min="3102" max="3103" width="8.5" style="1366" customWidth="1"/>
    <col min="3104" max="3104" width="10.83203125" style="1366" customWidth="1"/>
    <col min="3105" max="3105" width="9.5" style="1366" customWidth="1"/>
    <col min="3106" max="3106" width="9.33203125" style="1366" customWidth="1"/>
    <col min="3107" max="3107" width="13" style="1366" customWidth="1"/>
    <col min="3108" max="3108" width="14.5" style="1366" customWidth="1"/>
    <col min="3109" max="3109" width="12.6640625" style="1366" bestFit="1" customWidth="1"/>
    <col min="3110" max="3111" width="0" style="1366" hidden="1" customWidth="1"/>
    <col min="3112" max="3112" width="9.33203125" style="1366"/>
    <col min="3113" max="3113" width="14.5" style="1366" bestFit="1" customWidth="1"/>
    <col min="3114" max="3328" width="9.33203125" style="1366"/>
    <col min="3329" max="3329" width="12.1640625" style="1366" customWidth="1"/>
    <col min="3330" max="3330" width="30.83203125" style="1366" customWidth="1"/>
    <col min="3331" max="3331" width="13.83203125" style="1366" customWidth="1"/>
    <col min="3332" max="3332" width="14" style="1366" customWidth="1"/>
    <col min="3333" max="3333" width="13" style="1366" customWidth="1"/>
    <col min="3334" max="3334" width="14.6640625" style="1366" customWidth="1"/>
    <col min="3335" max="3335" width="11.83203125" style="1366" customWidth="1"/>
    <col min="3336" max="3336" width="11.6640625" style="1366" customWidth="1"/>
    <col min="3337" max="3337" width="12.5" style="1366" customWidth="1"/>
    <col min="3338" max="3338" width="11.33203125" style="1366" customWidth="1"/>
    <col min="3339" max="3339" width="17" style="1366" customWidth="1"/>
    <col min="3340" max="3340" width="12.1640625" style="1366" customWidth="1"/>
    <col min="3341" max="3346" width="13" style="1366" customWidth="1"/>
    <col min="3347" max="3347" width="13.1640625" style="1366" customWidth="1"/>
    <col min="3348" max="3348" width="15" style="1366" customWidth="1"/>
    <col min="3349" max="3349" width="12.5" style="1366" customWidth="1"/>
    <col min="3350" max="3350" width="11.6640625" style="1366" customWidth="1"/>
    <col min="3351" max="3351" width="14.1640625" style="1366" customWidth="1"/>
    <col min="3352" max="3352" width="12" style="1366" customWidth="1"/>
    <col min="3353" max="3353" width="8.5" style="1366" customWidth="1"/>
    <col min="3354" max="3354" width="10.1640625" style="1366" customWidth="1"/>
    <col min="3355" max="3355" width="10.6640625" style="1366" customWidth="1"/>
    <col min="3356" max="3356" width="8.5" style="1366" customWidth="1"/>
    <col min="3357" max="3357" width="10" style="1366" customWidth="1"/>
    <col min="3358" max="3359" width="8.5" style="1366" customWidth="1"/>
    <col min="3360" max="3360" width="10.83203125" style="1366" customWidth="1"/>
    <col min="3361" max="3361" width="9.5" style="1366" customWidth="1"/>
    <col min="3362" max="3362" width="9.33203125" style="1366" customWidth="1"/>
    <col min="3363" max="3363" width="13" style="1366" customWidth="1"/>
    <col min="3364" max="3364" width="14.5" style="1366" customWidth="1"/>
    <col min="3365" max="3365" width="12.6640625" style="1366" bestFit="1" customWidth="1"/>
    <col min="3366" max="3367" width="0" style="1366" hidden="1" customWidth="1"/>
    <col min="3368" max="3368" width="9.33203125" style="1366"/>
    <col min="3369" max="3369" width="14.5" style="1366" bestFit="1" customWidth="1"/>
    <col min="3370" max="3584" width="9.33203125" style="1366"/>
    <col min="3585" max="3585" width="12.1640625" style="1366" customWidth="1"/>
    <col min="3586" max="3586" width="30.83203125" style="1366" customWidth="1"/>
    <col min="3587" max="3587" width="13.83203125" style="1366" customWidth="1"/>
    <col min="3588" max="3588" width="14" style="1366" customWidth="1"/>
    <col min="3589" max="3589" width="13" style="1366" customWidth="1"/>
    <col min="3590" max="3590" width="14.6640625" style="1366" customWidth="1"/>
    <col min="3591" max="3591" width="11.83203125" style="1366" customWidth="1"/>
    <col min="3592" max="3592" width="11.6640625" style="1366" customWidth="1"/>
    <col min="3593" max="3593" width="12.5" style="1366" customWidth="1"/>
    <col min="3594" max="3594" width="11.33203125" style="1366" customWidth="1"/>
    <col min="3595" max="3595" width="17" style="1366" customWidth="1"/>
    <col min="3596" max="3596" width="12.1640625" style="1366" customWidth="1"/>
    <col min="3597" max="3602" width="13" style="1366" customWidth="1"/>
    <col min="3603" max="3603" width="13.1640625" style="1366" customWidth="1"/>
    <col min="3604" max="3604" width="15" style="1366" customWidth="1"/>
    <col min="3605" max="3605" width="12.5" style="1366" customWidth="1"/>
    <col min="3606" max="3606" width="11.6640625" style="1366" customWidth="1"/>
    <col min="3607" max="3607" width="14.1640625" style="1366" customWidth="1"/>
    <col min="3608" max="3608" width="12" style="1366" customWidth="1"/>
    <col min="3609" max="3609" width="8.5" style="1366" customWidth="1"/>
    <col min="3610" max="3610" width="10.1640625" style="1366" customWidth="1"/>
    <col min="3611" max="3611" width="10.6640625" style="1366" customWidth="1"/>
    <col min="3612" max="3612" width="8.5" style="1366" customWidth="1"/>
    <col min="3613" max="3613" width="10" style="1366" customWidth="1"/>
    <col min="3614" max="3615" width="8.5" style="1366" customWidth="1"/>
    <col min="3616" max="3616" width="10.83203125" style="1366" customWidth="1"/>
    <col min="3617" max="3617" width="9.5" style="1366" customWidth="1"/>
    <col min="3618" max="3618" width="9.33203125" style="1366" customWidth="1"/>
    <col min="3619" max="3619" width="13" style="1366" customWidth="1"/>
    <col min="3620" max="3620" width="14.5" style="1366" customWidth="1"/>
    <col min="3621" max="3621" width="12.6640625" style="1366" bestFit="1" customWidth="1"/>
    <col min="3622" max="3623" width="0" style="1366" hidden="1" customWidth="1"/>
    <col min="3624" max="3624" width="9.33203125" style="1366"/>
    <col min="3625" max="3625" width="14.5" style="1366" bestFit="1" customWidth="1"/>
    <col min="3626" max="3840" width="9.33203125" style="1366"/>
    <col min="3841" max="3841" width="12.1640625" style="1366" customWidth="1"/>
    <col min="3842" max="3842" width="30.83203125" style="1366" customWidth="1"/>
    <col min="3843" max="3843" width="13.83203125" style="1366" customWidth="1"/>
    <col min="3844" max="3844" width="14" style="1366" customWidth="1"/>
    <col min="3845" max="3845" width="13" style="1366" customWidth="1"/>
    <col min="3846" max="3846" width="14.6640625" style="1366" customWidth="1"/>
    <col min="3847" max="3847" width="11.83203125" style="1366" customWidth="1"/>
    <col min="3848" max="3848" width="11.6640625" style="1366" customWidth="1"/>
    <col min="3849" max="3849" width="12.5" style="1366" customWidth="1"/>
    <col min="3850" max="3850" width="11.33203125" style="1366" customWidth="1"/>
    <col min="3851" max="3851" width="17" style="1366" customWidth="1"/>
    <col min="3852" max="3852" width="12.1640625" style="1366" customWidth="1"/>
    <col min="3853" max="3858" width="13" style="1366" customWidth="1"/>
    <col min="3859" max="3859" width="13.1640625" style="1366" customWidth="1"/>
    <col min="3860" max="3860" width="15" style="1366" customWidth="1"/>
    <col min="3861" max="3861" width="12.5" style="1366" customWidth="1"/>
    <col min="3862" max="3862" width="11.6640625" style="1366" customWidth="1"/>
    <col min="3863" max="3863" width="14.1640625" style="1366" customWidth="1"/>
    <col min="3864" max="3864" width="12" style="1366" customWidth="1"/>
    <col min="3865" max="3865" width="8.5" style="1366" customWidth="1"/>
    <col min="3866" max="3866" width="10.1640625" style="1366" customWidth="1"/>
    <col min="3867" max="3867" width="10.6640625" style="1366" customWidth="1"/>
    <col min="3868" max="3868" width="8.5" style="1366" customWidth="1"/>
    <col min="3869" max="3869" width="10" style="1366" customWidth="1"/>
    <col min="3870" max="3871" width="8.5" style="1366" customWidth="1"/>
    <col min="3872" max="3872" width="10.83203125" style="1366" customWidth="1"/>
    <col min="3873" max="3873" width="9.5" style="1366" customWidth="1"/>
    <col min="3874" max="3874" width="9.33203125" style="1366" customWidth="1"/>
    <col min="3875" max="3875" width="13" style="1366" customWidth="1"/>
    <col min="3876" max="3876" width="14.5" style="1366" customWidth="1"/>
    <col min="3877" max="3877" width="12.6640625" style="1366" bestFit="1" customWidth="1"/>
    <col min="3878" max="3879" width="0" style="1366" hidden="1" customWidth="1"/>
    <col min="3880" max="3880" width="9.33203125" style="1366"/>
    <col min="3881" max="3881" width="14.5" style="1366" bestFit="1" customWidth="1"/>
    <col min="3882" max="4096" width="9.33203125" style="1366"/>
    <col min="4097" max="4097" width="12.1640625" style="1366" customWidth="1"/>
    <col min="4098" max="4098" width="30.83203125" style="1366" customWidth="1"/>
    <col min="4099" max="4099" width="13.83203125" style="1366" customWidth="1"/>
    <col min="4100" max="4100" width="14" style="1366" customWidth="1"/>
    <col min="4101" max="4101" width="13" style="1366" customWidth="1"/>
    <col min="4102" max="4102" width="14.6640625" style="1366" customWidth="1"/>
    <col min="4103" max="4103" width="11.83203125" style="1366" customWidth="1"/>
    <col min="4104" max="4104" width="11.6640625" style="1366" customWidth="1"/>
    <col min="4105" max="4105" width="12.5" style="1366" customWidth="1"/>
    <col min="4106" max="4106" width="11.33203125" style="1366" customWidth="1"/>
    <col min="4107" max="4107" width="17" style="1366" customWidth="1"/>
    <col min="4108" max="4108" width="12.1640625" style="1366" customWidth="1"/>
    <col min="4109" max="4114" width="13" style="1366" customWidth="1"/>
    <col min="4115" max="4115" width="13.1640625" style="1366" customWidth="1"/>
    <col min="4116" max="4116" width="15" style="1366" customWidth="1"/>
    <col min="4117" max="4117" width="12.5" style="1366" customWidth="1"/>
    <col min="4118" max="4118" width="11.6640625" style="1366" customWidth="1"/>
    <col min="4119" max="4119" width="14.1640625" style="1366" customWidth="1"/>
    <col min="4120" max="4120" width="12" style="1366" customWidth="1"/>
    <col min="4121" max="4121" width="8.5" style="1366" customWidth="1"/>
    <col min="4122" max="4122" width="10.1640625" style="1366" customWidth="1"/>
    <col min="4123" max="4123" width="10.6640625" style="1366" customWidth="1"/>
    <col min="4124" max="4124" width="8.5" style="1366" customWidth="1"/>
    <col min="4125" max="4125" width="10" style="1366" customWidth="1"/>
    <col min="4126" max="4127" width="8.5" style="1366" customWidth="1"/>
    <col min="4128" max="4128" width="10.83203125" style="1366" customWidth="1"/>
    <col min="4129" max="4129" width="9.5" style="1366" customWidth="1"/>
    <col min="4130" max="4130" width="9.33203125" style="1366" customWidth="1"/>
    <col min="4131" max="4131" width="13" style="1366" customWidth="1"/>
    <col min="4132" max="4132" width="14.5" style="1366" customWidth="1"/>
    <col min="4133" max="4133" width="12.6640625" style="1366" bestFit="1" customWidth="1"/>
    <col min="4134" max="4135" width="0" style="1366" hidden="1" customWidth="1"/>
    <col min="4136" max="4136" width="9.33203125" style="1366"/>
    <col min="4137" max="4137" width="14.5" style="1366" bestFit="1" customWidth="1"/>
    <col min="4138" max="4352" width="9.33203125" style="1366"/>
    <col min="4353" max="4353" width="12.1640625" style="1366" customWidth="1"/>
    <col min="4354" max="4354" width="30.83203125" style="1366" customWidth="1"/>
    <col min="4355" max="4355" width="13.83203125" style="1366" customWidth="1"/>
    <col min="4356" max="4356" width="14" style="1366" customWidth="1"/>
    <col min="4357" max="4357" width="13" style="1366" customWidth="1"/>
    <col min="4358" max="4358" width="14.6640625" style="1366" customWidth="1"/>
    <col min="4359" max="4359" width="11.83203125" style="1366" customWidth="1"/>
    <col min="4360" max="4360" width="11.6640625" style="1366" customWidth="1"/>
    <col min="4361" max="4361" width="12.5" style="1366" customWidth="1"/>
    <col min="4362" max="4362" width="11.33203125" style="1366" customWidth="1"/>
    <col min="4363" max="4363" width="17" style="1366" customWidth="1"/>
    <col min="4364" max="4364" width="12.1640625" style="1366" customWidth="1"/>
    <col min="4365" max="4370" width="13" style="1366" customWidth="1"/>
    <col min="4371" max="4371" width="13.1640625" style="1366" customWidth="1"/>
    <col min="4372" max="4372" width="15" style="1366" customWidth="1"/>
    <col min="4373" max="4373" width="12.5" style="1366" customWidth="1"/>
    <col min="4374" max="4374" width="11.6640625" style="1366" customWidth="1"/>
    <col min="4375" max="4375" width="14.1640625" style="1366" customWidth="1"/>
    <col min="4376" max="4376" width="12" style="1366" customWidth="1"/>
    <col min="4377" max="4377" width="8.5" style="1366" customWidth="1"/>
    <col min="4378" max="4378" width="10.1640625" style="1366" customWidth="1"/>
    <col min="4379" max="4379" width="10.6640625" style="1366" customWidth="1"/>
    <col min="4380" max="4380" width="8.5" style="1366" customWidth="1"/>
    <col min="4381" max="4381" width="10" style="1366" customWidth="1"/>
    <col min="4382" max="4383" width="8.5" style="1366" customWidth="1"/>
    <col min="4384" max="4384" width="10.83203125" style="1366" customWidth="1"/>
    <col min="4385" max="4385" width="9.5" style="1366" customWidth="1"/>
    <col min="4386" max="4386" width="9.33203125" style="1366" customWidth="1"/>
    <col min="4387" max="4387" width="13" style="1366" customWidth="1"/>
    <col min="4388" max="4388" width="14.5" style="1366" customWidth="1"/>
    <col min="4389" max="4389" width="12.6640625" style="1366" bestFit="1" customWidth="1"/>
    <col min="4390" max="4391" width="0" style="1366" hidden="1" customWidth="1"/>
    <col min="4392" max="4392" width="9.33203125" style="1366"/>
    <col min="4393" max="4393" width="14.5" style="1366" bestFit="1" customWidth="1"/>
    <col min="4394" max="4608" width="9.33203125" style="1366"/>
    <col min="4609" max="4609" width="12.1640625" style="1366" customWidth="1"/>
    <col min="4610" max="4610" width="30.83203125" style="1366" customWidth="1"/>
    <col min="4611" max="4611" width="13.83203125" style="1366" customWidth="1"/>
    <col min="4612" max="4612" width="14" style="1366" customWidth="1"/>
    <col min="4613" max="4613" width="13" style="1366" customWidth="1"/>
    <col min="4614" max="4614" width="14.6640625" style="1366" customWidth="1"/>
    <col min="4615" max="4615" width="11.83203125" style="1366" customWidth="1"/>
    <col min="4616" max="4616" width="11.6640625" style="1366" customWidth="1"/>
    <col min="4617" max="4617" width="12.5" style="1366" customWidth="1"/>
    <col min="4618" max="4618" width="11.33203125" style="1366" customWidth="1"/>
    <col min="4619" max="4619" width="17" style="1366" customWidth="1"/>
    <col min="4620" max="4620" width="12.1640625" style="1366" customWidth="1"/>
    <col min="4621" max="4626" width="13" style="1366" customWidth="1"/>
    <col min="4627" max="4627" width="13.1640625" style="1366" customWidth="1"/>
    <col min="4628" max="4628" width="15" style="1366" customWidth="1"/>
    <col min="4629" max="4629" width="12.5" style="1366" customWidth="1"/>
    <col min="4630" max="4630" width="11.6640625" style="1366" customWidth="1"/>
    <col min="4631" max="4631" width="14.1640625" style="1366" customWidth="1"/>
    <col min="4632" max="4632" width="12" style="1366" customWidth="1"/>
    <col min="4633" max="4633" width="8.5" style="1366" customWidth="1"/>
    <col min="4634" max="4634" width="10.1640625" style="1366" customWidth="1"/>
    <col min="4635" max="4635" width="10.6640625" style="1366" customWidth="1"/>
    <col min="4636" max="4636" width="8.5" style="1366" customWidth="1"/>
    <col min="4637" max="4637" width="10" style="1366" customWidth="1"/>
    <col min="4638" max="4639" width="8.5" style="1366" customWidth="1"/>
    <col min="4640" max="4640" width="10.83203125" style="1366" customWidth="1"/>
    <col min="4641" max="4641" width="9.5" style="1366" customWidth="1"/>
    <col min="4642" max="4642" width="9.33203125" style="1366" customWidth="1"/>
    <col min="4643" max="4643" width="13" style="1366" customWidth="1"/>
    <col min="4644" max="4644" width="14.5" style="1366" customWidth="1"/>
    <col min="4645" max="4645" width="12.6640625" style="1366" bestFit="1" customWidth="1"/>
    <col min="4646" max="4647" width="0" style="1366" hidden="1" customWidth="1"/>
    <col min="4648" max="4648" width="9.33203125" style="1366"/>
    <col min="4649" max="4649" width="14.5" style="1366" bestFit="1" customWidth="1"/>
    <col min="4650" max="4864" width="9.33203125" style="1366"/>
    <col min="4865" max="4865" width="12.1640625" style="1366" customWidth="1"/>
    <col min="4866" max="4866" width="30.83203125" style="1366" customWidth="1"/>
    <col min="4867" max="4867" width="13.83203125" style="1366" customWidth="1"/>
    <col min="4868" max="4868" width="14" style="1366" customWidth="1"/>
    <col min="4869" max="4869" width="13" style="1366" customWidth="1"/>
    <col min="4870" max="4870" width="14.6640625" style="1366" customWidth="1"/>
    <col min="4871" max="4871" width="11.83203125" style="1366" customWidth="1"/>
    <col min="4872" max="4872" width="11.6640625" style="1366" customWidth="1"/>
    <col min="4873" max="4873" width="12.5" style="1366" customWidth="1"/>
    <col min="4874" max="4874" width="11.33203125" style="1366" customWidth="1"/>
    <col min="4875" max="4875" width="17" style="1366" customWidth="1"/>
    <col min="4876" max="4876" width="12.1640625" style="1366" customWidth="1"/>
    <col min="4877" max="4882" width="13" style="1366" customWidth="1"/>
    <col min="4883" max="4883" width="13.1640625" style="1366" customWidth="1"/>
    <col min="4884" max="4884" width="15" style="1366" customWidth="1"/>
    <col min="4885" max="4885" width="12.5" style="1366" customWidth="1"/>
    <col min="4886" max="4886" width="11.6640625" style="1366" customWidth="1"/>
    <col min="4887" max="4887" width="14.1640625" style="1366" customWidth="1"/>
    <col min="4888" max="4888" width="12" style="1366" customWidth="1"/>
    <col min="4889" max="4889" width="8.5" style="1366" customWidth="1"/>
    <col min="4890" max="4890" width="10.1640625" style="1366" customWidth="1"/>
    <col min="4891" max="4891" width="10.6640625" style="1366" customWidth="1"/>
    <col min="4892" max="4892" width="8.5" style="1366" customWidth="1"/>
    <col min="4893" max="4893" width="10" style="1366" customWidth="1"/>
    <col min="4894" max="4895" width="8.5" style="1366" customWidth="1"/>
    <col min="4896" max="4896" width="10.83203125" style="1366" customWidth="1"/>
    <col min="4897" max="4897" width="9.5" style="1366" customWidth="1"/>
    <col min="4898" max="4898" width="9.33203125" style="1366" customWidth="1"/>
    <col min="4899" max="4899" width="13" style="1366" customWidth="1"/>
    <col min="4900" max="4900" width="14.5" style="1366" customWidth="1"/>
    <col min="4901" max="4901" width="12.6640625" style="1366" bestFit="1" customWidth="1"/>
    <col min="4902" max="4903" width="0" style="1366" hidden="1" customWidth="1"/>
    <col min="4904" max="4904" width="9.33203125" style="1366"/>
    <col min="4905" max="4905" width="14.5" style="1366" bestFit="1" customWidth="1"/>
    <col min="4906" max="5120" width="9.33203125" style="1366"/>
    <col min="5121" max="5121" width="12.1640625" style="1366" customWidth="1"/>
    <col min="5122" max="5122" width="30.83203125" style="1366" customWidth="1"/>
    <col min="5123" max="5123" width="13.83203125" style="1366" customWidth="1"/>
    <col min="5124" max="5124" width="14" style="1366" customWidth="1"/>
    <col min="5125" max="5125" width="13" style="1366" customWidth="1"/>
    <col min="5126" max="5126" width="14.6640625" style="1366" customWidth="1"/>
    <col min="5127" max="5127" width="11.83203125" style="1366" customWidth="1"/>
    <col min="5128" max="5128" width="11.6640625" style="1366" customWidth="1"/>
    <col min="5129" max="5129" width="12.5" style="1366" customWidth="1"/>
    <col min="5130" max="5130" width="11.33203125" style="1366" customWidth="1"/>
    <col min="5131" max="5131" width="17" style="1366" customWidth="1"/>
    <col min="5132" max="5132" width="12.1640625" style="1366" customWidth="1"/>
    <col min="5133" max="5138" width="13" style="1366" customWidth="1"/>
    <col min="5139" max="5139" width="13.1640625" style="1366" customWidth="1"/>
    <col min="5140" max="5140" width="15" style="1366" customWidth="1"/>
    <col min="5141" max="5141" width="12.5" style="1366" customWidth="1"/>
    <col min="5142" max="5142" width="11.6640625" style="1366" customWidth="1"/>
    <col min="5143" max="5143" width="14.1640625" style="1366" customWidth="1"/>
    <col min="5144" max="5144" width="12" style="1366" customWidth="1"/>
    <col min="5145" max="5145" width="8.5" style="1366" customWidth="1"/>
    <col min="5146" max="5146" width="10.1640625" style="1366" customWidth="1"/>
    <col min="5147" max="5147" width="10.6640625" style="1366" customWidth="1"/>
    <col min="5148" max="5148" width="8.5" style="1366" customWidth="1"/>
    <col min="5149" max="5149" width="10" style="1366" customWidth="1"/>
    <col min="5150" max="5151" width="8.5" style="1366" customWidth="1"/>
    <col min="5152" max="5152" width="10.83203125" style="1366" customWidth="1"/>
    <col min="5153" max="5153" width="9.5" style="1366" customWidth="1"/>
    <col min="5154" max="5154" width="9.33203125" style="1366" customWidth="1"/>
    <col min="5155" max="5155" width="13" style="1366" customWidth="1"/>
    <col min="5156" max="5156" width="14.5" style="1366" customWidth="1"/>
    <col min="5157" max="5157" width="12.6640625" style="1366" bestFit="1" customWidth="1"/>
    <col min="5158" max="5159" width="0" style="1366" hidden="1" customWidth="1"/>
    <col min="5160" max="5160" width="9.33203125" style="1366"/>
    <col min="5161" max="5161" width="14.5" style="1366" bestFit="1" customWidth="1"/>
    <col min="5162" max="5376" width="9.33203125" style="1366"/>
    <col min="5377" max="5377" width="12.1640625" style="1366" customWidth="1"/>
    <col min="5378" max="5378" width="30.83203125" style="1366" customWidth="1"/>
    <col min="5379" max="5379" width="13.83203125" style="1366" customWidth="1"/>
    <col min="5380" max="5380" width="14" style="1366" customWidth="1"/>
    <col min="5381" max="5381" width="13" style="1366" customWidth="1"/>
    <col min="5382" max="5382" width="14.6640625" style="1366" customWidth="1"/>
    <col min="5383" max="5383" width="11.83203125" style="1366" customWidth="1"/>
    <col min="5384" max="5384" width="11.6640625" style="1366" customWidth="1"/>
    <col min="5385" max="5385" width="12.5" style="1366" customWidth="1"/>
    <col min="5386" max="5386" width="11.33203125" style="1366" customWidth="1"/>
    <col min="5387" max="5387" width="17" style="1366" customWidth="1"/>
    <col min="5388" max="5388" width="12.1640625" style="1366" customWidth="1"/>
    <col min="5389" max="5394" width="13" style="1366" customWidth="1"/>
    <col min="5395" max="5395" width="13.1640625" style="1366" customWidth="1"/>
    <col min="5396" max="5396" width="15" style="1366" customWidth="1"/>
    <col min="5397" max="5397" width="12.5" style="1366" customWidth="1"/>
    <col min="5398" max="5398" width="11.6640625" style="1366" customWidth="1"/>
    <col min="5399" max="5399" width="14.1640625" style="1366" customWidth="1"/>
    <col min="5400" max="5400" width="12" style="1366" customWidth="1"/>
    <col min="5401" max="5401" width="8.5" style="1366" customWidth="1"/>
    <col min="5402" max="5402" width="10.1640625" style="1366" customWidth="1"/>
    <col min="5403" max="5403" width="10.6640625" style="1366" customWidth="1"/>
    <col min="5404" max="5404" width="8.5" style="1366" customWidth="1"/>
    <col min="5405" max="5405" width="10" style="1366" customWidth="1"/>
    <col min="5406" max="5407" width="8.5" style="1366" customWidth="1"/>
    <col min="5408" max="5408" width="10.83203125" style="1366" customWidth="1"/>
    <col min="5409" max="5409" width="9.5" style="1366" customWidth="1"/>
    <col min="5410" max="5410" width="9.33203125" style="1366" customWidth="1"/>
    <col min="5411" max="5411" width="13" style="1366" customWidth="1"/>
    <col min="5412" max="5412" width="14.5" style="1366" customWidth="1"/>
    <col min="5413" max="5413" width="12.6640625" style="1366" bestFit="1" customWidth="1"/>
    <col min="5414" max="5415" width="0" style="1366" hidden="1" customWidth="1"/>
    <col min="5416" max="5416" width="9.33203125" style="1366"/>
    <col min="5417" max="5417" width="14.5" style="1366" bestFit="1" customWidth="1"/>
    <col min="5418" max="5632" width="9.33203125" style="1366"/>
    <col min="5633" max="5633" width="12.1640625" style="1366" customWidth="1"/>
    <col min="5634" max="5634" width="30.83203125" style="1366" customWidth="1"/>
    <col min="5635" max="5635" width="13.83203125" style="1366" customWidth="1"/>
    <col min="5636" max="5636" width="14" style="1366" customWidth="1"/>
    <col min="5637" max="5637" width="13" style="1366" customWidth="1"/>
    <col min="5638" max="5638" width="14.6640625" style="1366" customWidth="1"/>
    <col min="5639" max="5639" width="11.83203125" style="1366" customWidth="1"/>
    <col min="5640" max="5640" width="11.6640625" style="1366" customWidth="1"/>
    <col min="5641" max="5641" width="12.5" style="1366" customWidth="1"/>
    <col min="5642" max="5642" width="11.33203125" style="1366" customWidth="1"/>
    <col min="5643" max="5643" width="17" style="1366" customWidth="1"/>
    <col min="5644" max="5644" width="12.1640625" style="1366" customWidth="1"/>
    <col min="5645" max="5650" width="13" style="1366" customWidth="1"/>
    <col min="5651" max="5651" width="13.1640625" style="1366" customWidth="1"/>
    <col min="5652" max="5652" width="15" style="1366" customWidth="1"/>
    <col min="5653" max="5653" width="12.5" style="1366" customWidth="1"/>
    <col min="5654" max="5654" width="11.6640625" style="1366" customWidth="1"/>
    <col min="5655" max="5655" width="14.1640625" style="1366" customWidth="1"/>
    <col min="5656" max="5656" width="12" style="1366" customWidth="1"/>
    <col min="5657" max="5657" width="8.5" style="1366" customWidth="1"/>
    <col min="5658" max="5658" width="10.1640625" style="1366" customWidth="1"/>
    <col min="5659" max="5659" width="10.6640625" style="1366" customWidth="1"/>
    <col min="5660" max="5660" width="8.5" style="1366" customWidth="1"/>
    <col min="5661" max="5661" width="10" style="1366" customWidth="1"/>
    <col min="5662" max="5663" width="8.5" style="1366" customWidth="1"/>
    <col min="5664" max="5664" width="10.83203125" style="1366" customWidth="1"/>
    <col min="5665" max="5665" width="9.5" style="1366" customWidth="1"/>
    <col min="5666" max="5666" width="9.33203125" style="1366" customWidth="1"/>
    <col min="5667" max="5667" width="13" style="1366" customWidth="1"/>
    <col min="5668" max="5668" width="14.5" style="1366" customWidth="1"/>
    <col min="5669" max="5669" width="12.6640625" style="1366" bestFit="1" customWidth="1"/>
    <col min="5670" max="5671" width="0" style="1366" hidden="1" customWidth="1"/>
    <col min="5672" max="5672" width="9.33203125" style="1366"/>
    <col min="5673" max="5673" width="14.5" style="1366" bestFit="1" customWidth="1"/>
    <col min="5674" max="5888" width="9.33203125" style="1366"/>
    <col min="5889" max="5889" width="12.1640625" style="1366" customWidth="1"/>
    <col min="5890" max="5890" width="30.83203125" style="1366" customWidth="1"/>
    <col min="5891" max="5891" width="13.83203125" style="1366" customWidth="1"/>
    <col min="5892" max="5892" width="14" style="1366" customWidth="1"/>
    <col min="5893" max="5893" width="13" style="1366" customWidth="1"/>
    <col min="5894" max="5894" width="14.6640625" style="1366" customWidth="1"/>
    <col min="5895" max="5895" width="11.83203125" style="1366" customWidth="1"/>
    <col min="5896" max="5896" width="11.6640625" style="1366" customWidth="1"/>
    <col min="5897" max="5897" width="12.5" style="1366" customWidth="1"/>
    <col min="5898" max="5898" width="11.33203125" style="1366" customWidth="1"/>
    <col min="5899" max="5899" width="17" style="1366" customWidth="1"/>
    <col min="5900" max="5900" width="12.1640625" style="1366" customWidth="1"/>
    <col min="5901" max="5906" width="13" style="1366" customWidth="1"/>
    <col min="5907" max="5907" width="13.1640625" style="1366" customWidth="1"/>
    <col min="5908" max="5908" width="15" style="1366" customWidth="1"/>
    <col min="5909" max="5909" width="12.5" style="1366" customWidth="1"/>
    <col min="5910" max="5910" width="11.6640625" style="1366" customWidth="1"/>
    <col min="5911" max="5911" width="14.1640625" style="1366" customWidth="1"/>
    <col min="5912" max="5912" width="12" style="1366" customWidth="1"/>
    <col min="5913" max="5913" width="8.5" style="1366" customWidth="1"/>
    <col min="5914" max="5914" width="10.1640625" style="1366" customWidth="1"/>
    <col min="5915" max="5915" width="10.6640625" style="1366" customWidth="1"/>
    <col min="5916" max="5916" width="8.5" style="1366" customWidth="1"/>
    <col min="5917" max="5917" width="10" style="1366" customWidth="1"/>
    <col min="5918" max="5919" width="8.5" style="1366" customWidth="1"/>
    <col min="5920" max="5920" width="10.83203125" style="1366" customWidth="1"/>
    <col min="5921" max="5921" width="9.5" style="1366" customWidth="1"/>
    <col min="5922" max="5922" width="9.33203125" style="1366" customWidth="1"/>
    <col min="5923" max="5923" width="13" style="1366" customWidth="1"/>
    <col min="5924" max="5924" width="14.5" style="1366" customWidth="1"/>
    <col min="5925" max="5925" width="12.6640625" style="1366" bestFit="1" customWidth="1"/>
    <col min="5926" max="5927" width="0" style="1366" hidden="1" customWidth="1"/>
    <col min="5928" max="5928" width="9.33203125" style="1366"/>
    <col min="5929" max="5929" width="14.5" style="1366" bestFit="1" customWidth="1"/>
    <col min="5930" max="6144" width="9.33203125" style="1366"/>
    <col min="6145" max="6145" width="12.1640625" style="1366" customWidth="1"/>
    <col min="6146" max="6146" width="30.83203125" style="1366" customWidth="1"/>
    <col min="6147" max="6147" width="13.83203125" style="1366" customWidth="1"/>
    <col min="6148" max="6148" width="14" style="1366" customWidth="1"/>
    <col min="6149" max="6149" width="13" style="1366" customWidth="1"/>
    <col min="6150" max="6150" width="14.6640625" style="1366" customWidth="1"/>
    <col min="6151" max="6151" width="11.83203125" style="1366" customWidth="1"/>
    <col min="6152" max="6152" width="11.6640625" style="1366" customWidth="1"/>
    <col min="6153" max="6153" width="12.5" style="1366" customWidth="1"/>
    <col min="6154" max="6154" width="11.33203125" style="1366" customWidth="1"/>
    <col min="6155" max="6155" width="17" style="1366" customWidth="1"/>
    <col min="6156" max="6156" width="12.1640625" style="1366" customWidth="1"/>
    <col min="6157" max="6162" width="13" style="1366" customWidth="1"/>
    <col min="6163" max="6163" width="13.1640625" style="1366" customWidth="1"/>
    <col min="6164" max="6164" width="15" style="1366" customWidth="1"/>
    <col min="6165" max="6165" width="12.5" style="1366" customWidth="1"/>
    <col min="6166" max="6166" width="11.6640625" style="1366" customWidth="1"/>
    <col min="6167" max="6167" width="14.1640625" style="1366" customWidth="1"/>
    <col min="6168" max="6168" width="12" style="1366" customWidth="1"/>
    <col min="6169" max="6169" width="8.5" style="1366" customWidth="1"/>
    <col min="6170" max="6170" width="10.1640625" style="1366" customWidth="1"/>
    <col min="6171" max="6171" width="10.6640625" style="1366" customWidth="1"/>
    <col min="6172" max="6172" width="8.5" style="1366" customWidth="1"/>
    <col min="6173" max="6173" width="10" style="1366" customWidth="1"/>
    <col min="6174" max="6175" width="8.5" style="1366" customWidth="1"/>
    <col min="6176" max="6176" width="10.83203125" style="1366" customWidth="1"/>
    <col min="6177" max="6177" width="9.5" style="1366" customWidth="1"/>
    <col min="6178" max="6178" width="9.33203125" style="1366" customWidth="1"/>
    <col min="6179" max="6179" width="13" style="1366" customWidth="1"/>
    <col min="6180" max="6180" width="14.5" style="1366" customWidth="1"/>
    <col min="6181" max="6181" width="12.6640625" style="1366" bestFit="1" customWidth="1"/>
    <col min="6182" max="6183" width="0" style="1366" hidden="1" customWidth="1"/>
    <col min="6184" max="6184" width="9.33203125" style="1366"/>
    <col min="6185" max="6185" width="14.5" style="1366" bestFit="1" customWidth="1"/>
    <col min="6186" max="6400" width="9.33203125" style="1366"/>
    <col min="6401" max="6401" width="12.1640625" style="1366" customWidth="1"/>
    <col min="6402" max="6402" width="30.83203125" style="1366" customWidth="1"/>
    <col min="6403" max="6403" width="13.83203125" style="1366" customWidth="1"/>
    <col min="6404" max="6404" width="14" style="1366" customWidth="1"/>
    <col min="6405" max="6405" width="13" style="1366" customWidth="1"/>
    <col min="6406" max="6406" width="14.6640625" style="1366" customWidth="1"/>
    <col min="6407" max="6407" width="11.83203125" style="1366" customWidth="1"/>
    <col min="6408" max="6408" width="11.6640625" style="1366" customWidth="1"/>
    <col min="6409" max="6409" width="12.5" style="1366" customWidth="1"/>
    <col min="6410" max="6410" width="11.33203125" style="1366" customWidth="1"/>
    <col min="6411" max="6411" width="17" style="1366" customWidth="1"/>
    <col min="6412" max="6412" width="12.1640625" style="1366" customWidth="1"/>
    <col min="6413" max="6418" width="13" style="1366" customWidth="1"/>
    <col min="6419" max="6419" width="13.1640625" style="1366" customWidth="1"/>
    <col min="6420" max="6420" width="15" style="1366" customWidth="1"/>
    <col min="6421" max="6421" width="12.5" style="1366" customWidth="1"/>
    <col min="6422" max="6422" width="11.6640625" style="1366" customWidth="1"/>
    <col min="6423" max="6423" width="14.1640625" style="1366" customWidth="1"/>
    <col min="6424" max="6424" width="12" style="1366" customWidth="1"/>
    <col min="6425" max="6425" width="8.5" style="1366" customWidth="1"/>
    <col min="6426" max="6426" width="10.1640625" style="1366" customWidth="1"/>
    <col min="6427" max="6427" width="10.6640625" style="1366" customWidth="1"/>
    <col min="6428" max="6428" width="8.5" style="1366" customWidth="1"/>
    <col min="6429" max="6429" width="10" style="1366" customWidth="1"/>
    <col min="6430" max="6431" width="8.5" style="1366" customWidth="1"/>
    <col min="6432" max="6432" width="10.83203125" style="1366" customWidth="1"/>
    <col min="6433" max="6433" width="9.5" style="1366" customWidth="1"/>
    <col min="6434" max="6434" width="9.33203125" style="1366" customWidth="1"/>
    <col min="6435" max="6435" width="13" style="1366" customWidth="1"/>
    <col min="6436" max="6436" width="14.5" style="1366" customWidth="1"/>
    <col min="6437" max="6437" width="12.6640625" style="1366" bestFit="1" customWidth="1"/>
    <col min="6438" max="6439" width="0" style="1366" hidden="1" customWidth="1"/>
    <col min="6440" max="6440" width="9.33203125" style="1366"/>
    <col min="6441" max="6441" width="14.5" style="1366" bestFit="1" customWidth="1"/>
    <col min="6442" max="6656" width="9.33203125" style="1366"/>
    <col min="6657" max="6657" width="12.1640625" style="1366" customWidth="1"/>
    <col min="6658" max="6658" width="30.83203125" style="1366" customWidth="1"/>
    <col min="6659" max="6659" width="13.83203125" style="1366" customWidth="1"/>
    <col min="6660" max="6660" width="14" style="1366" customWidth="1"/>
    <col min="6661" max="6661" width="13" style="1366" customWidth="1"/>
    <col min="6662" max="6662" width="14.6640625" style="1366" customWidth="1"/>
    <col min="6663" max="6663" width="11.83203125" style="1366" customWidth="1"/>
    <col min="6664" max="6664" width="11.6640625" style="1366" customWidth="1"/>
    <col min="6665" max="6665" width="12.5" style="1366" customWidth="1"/>
    <col min="6666" max="6666" width="11.33203125" style="1366" customWidth="1"/>
    <col min="6667" max="6667" width="17" style="1366" customWidth="1"/>
    <col min="6668" max="6668" width="12.1640625" style="1366" customWidth="1"/>
    <col min="6669" max="6674" width="13" style="1366" customWidth="1"/>
    <col min="6675" max="6675" width="13.1640625" style="1366" customWidth="1"/>
    <col min="6676" max="6676" width="15" style="1366" customWidth="1"/>
    <col min="6677" max="6677" width="12.5" style="1366" customWidth="1"/>
    <col min="6678" max="6678" width="11.6640625" style="1366" customWidth="1"/>
    <col min="6679" max="6679" width="14.1640625" style="1366" customWidth="1"/>
    <col min="6680" max="6680" width="12" style="1366" customWidth="1"/>
    <col min="6681" max="6681" width="8.5" style="1366" customWidth="1"/>
    <col min="6682" max="6682" width="10.1640625" style="1366" customWidth="1"/>
    <col min="6683" max="6683" width="10.6640625" style="1366" customWidth="1"/>
    <col min="6684" max="6684" width="8.5" style="1366" customWidth="1"/>
    <col min="6685" max="6685" width="10" style="1366" customWidth="1"/>
    <col min="6686" max="6687" width="8.5" style="1366" customWidth="1"/>
    <col min="6688" max="6688" width="10.83203125" style="1366" customWidth="1"/>
    <col min="6689" max="6689" width="9.5" style="1366" customWidth="1"/>
    <col min="6690" max="6690" width="9.33203125" style="1366" customWidth="1"/>
    <col min="6691" max="6691" width="13" style="1366" customWidth="1"/>
    <col min="6692" max="6692" width="14.5" style="1366" customWidth="1"/>
    <col min="6693" max="6693" width="12.6640625" style="1366" bestFit="1" customWidth="1"/>
    <col min="6694" max="6695" width="0" style="1366" hidden="1" customWidth="1"/>
    <col min="6696" max="6696" width="9.33203125" style="1366"/>
    <col min="6697" max="6697" width="14.5" style="1366" bestFit="1" customWidth="1"/>
    <col min="6698" max="6912" width="9.33203125" style="1366"/>
    <col min="6913" max="6913" width="12.1640625" style="1366" customWidth="1"/>
    <col min="6914" max="6914" width="30.83203125" style="1366" customWidth="1"/>
    <col min="6915" max="6915" width="13.83203125" style="1366" customWidth="1"/>
    <col min="6916" max="6916" width="14" style="1366" customWidth="1"/>
    <col min="6917" max="6917" width="13" style="1366" customWidth="1"/>
    <col min="6918" max="6918" width="14.6640625" style="1366" customWidth="1"/>
    <col min="6919" max="6919" width="11.83203125" style="1366" customWidth="1"/>
    <col min="6920" max="6920" width="11.6640625" style="1366" customWidth="1"/>
    <col min="6921" max="6921" width="12.5" style="1366" customWidth="1"/>
    <col min="6922" max="6922" width="11.33203125" style="1366" customWidth="1"/>
    <col min="6923" max="6923" width="17" style="1366" customWidth="1"/>
    <col min="6924" max="6924" width="12.1640625" style="1366" customWidth="1"/>
    <col min="6925" max="6930" width="13" style="1366" customWidth="1"/>
    <col min="6931" max="6931" width="13.1640625" style="1366" customWidth="1"/>
    <col min="6932" max="6932" width="15" style="1366" customWidth="1"/>
    <col min="6933" max="6933" width="12.5" style="1366" customWidth="1"/>
    <col min="6934" max="6934" width="11.6640625" style="1366" customWidth="1"/>
    <col min="6935" max="6935" width="14.1640625" style="1366" customWidth="1"/>
    <col min="6936" max="6936" width="12" style="1366" customWidth="1"/>
    <col min="6937" max="6937" width="8.5" style="1366" customWidth="1"/>
    <col min="6938" max="6938" width="10.1640625" style="1366" customWidth="1"/>
    <col min="6939" max="6939" width="10.6640625" style="1366" customWidth="1"/>
    <col min="6940" max="6940" width="8.5" style="1366" customWidth="1"/>
    <col min="6941" max="6941" width="10" style="1366" customWidth="1"/>
    <col min="6942" max="6943" width="8.5" style="1366" customWidth="1"/>
    <col min="6944" max="6944" width="10.83203125" style="1366" customWidth="1"/>
    <col min="6945" max="6945" width="9.5" style="1366" customWidth="1"/>
    <col min="6946" max="6946" width="9.33203125" style="1366" customWidth="1"/>
    <col min="6947" max="6947" width="13" style="1366" customWidth="1"/>
    <col min="6948" max="6948" width="14.5" style="1366" customWidth="1"/>
    <col min="6949" max="6949" width="12.6640625" style="1366" bestFit="1" customWidth="1"/>
    <col min="6950" max="6951" width="0" style="1366" hidden="1" customWidth="1"/>
    <col min="6952" max="6952" width="9.33203125" style="1366"/>
    <col min="6953" max="6953" width="14.5" style="1366" bestFit="1" customWidth="1"/>
    <col min="6954" max="7168" width="9.33203125" style="1366"/>
    <col min="7169" max="7169" width="12.1640625" style="1366" customWidth="1"/>
    <col min="7170" max="7170" width="30.83203125" style="1366" customWidth="1"/>
    <col min="7171" max="7171" width="13.83203125" style="1366" customWidth="1"/>
    <col min="7172" max="7172" width="14" style="1366" customWidth="1"/>
    <col min="7173" max="7173" width="13" style="1366" customWidth="1"/>
    <col min="7174" max="7174" width="14.6640625" style="1366" customWidth="1"/>
    <col min="7175" max="7175" width="11.83203125" style="1366" customWidth="1"/>
    <col min="7176" max="7176" width="11.6640625" style="1366" customWidth="1"/>
    <col min="7177" max="7177" width="12.5" style="1366" customWidth="1"/>
    <col min="7178" max="7178" width="11.33203125" style="1366" customWidth="1"/>
    <col min="7179" max="7179" width="17" style="1366" customWidth="1"/>
    <col min="7180" max="7180" width="12.1640625" style="1366" customWidth="1"/>
    <col min="7181" max="7186" width="13" style="1366" customWidth="1"/>
    <col min="7187" max="7187" width="13.1640625" style="1366" customWidth="1"/>
    <col min="7188" max="7188" width="15" style="1366" customWidth="1"/>
    <col min="7189" max="7189" width="12.5" style="1366" customWidth="1"/>
    <col min="7190" max="7190" width="11.6640625" style="1366" customWidth="1"/>
    <col min="7191" max="7191" width="14.1640625" style="1366" customWidth="1"/>
    <col min="7192" max="7192" width="12" style="1366" customWidth="1"/>
    <col min="7193" max="7193" width="8.5" style="1366" customWidth="1"/>
    <col min="7194" max="7194" width="10.1640625" style="1366" customWidth="1"/>
    <col min="7195" max="7195" width="10.6640625" style="1366" customWidth="1"/>
    <col min="7196" max="7196" width="8.5" style="1366" customWidth="1"/>
    <col min="7197" max="7197" width="10" style="1366" customWidth="1"/>
    <col min="7198" max="7199" width="8.5" style="1366" customWidth="1"/>
    <col min="7200" max="7200" width="10.83203125" style="1366" customWidth="1"/>
    <col min="7201" max="7201" width="9.5" style="1366" customWidth="1"/>
    <col min="7202" max="7202" width="9.33203125" style="1366" customWidth="1"/>
    <col min="7203" max="7203" width="13" style="1366" customWidth="1"/>
    <col min="7204" max="7204" width="14.5" style="1366" customWidth="1"/>
    <col min="7205" max="7205" width="12.6640625" style="1366" bestFit="1" customWidth="1"/>
    <col min="7206" max="7207" width="0" style="1366" hidden="1" customWidth="1"/>
    <col min="7208" max="7208" width="9.33203125" style="1366"/>
    <col min="7209" max="7209" width="14.5" style="1366" bestFit="1" customWidth="1"/>
    <col min="7210" max="7424" width="9.33203125" style="1366"/>
    <col min="7425" max="7425" width="12.1640625" style="1366" customWidth="1"/>
    <col min="7426" max="7426" width="30.83203125" style="1366" customWidth="1"/>
    <col min="7427" max="7427" width="13.83203125" style="1366" customWidth="1"/>
    <col min="7428" max="7428" width="14" style="1366" customWidth="1"/>
    <col min="7429" max="7429" width="13" style="1366" customWidth="1"/>
    <col min="7430" max="7430" width="14.6640625" style="1366" customWidth="1"/>
    <col min="7431" max="7431" width="11.83203125" style="1366" customWidth="1"/>
    <col min="7432" max="7432" width="11.6640625" style="1366" customWidth="1"/>
    <col min="7433" max="7433" width="12.5" style="1366" customWidth="1"/>
    <col min="7434" max="7434" width="11.33203125" style="1366" customWidth="1"/>
    <col min="7435" max="7435" width="17" style="1366" customWidth="1"/>
    <col min="7436" max="7436" width="12.1640625" style="1366" customWidth="1"/>
    <col min="7437" max="7442" width="13" style="1366" customWidth="1"/>
    <col min="7443" max="7443" width="13.1640625" style="1366" customWidth="1"/>
    <col min="7444" max="7444" width="15" style="1366" customWidth="1"/>
    <col min="7445" max="7445" width="12.5" style="1366" customWidth="1"/>
    <col min="7446" max="7446" width="11.6640625" style="1366" customWidth="1"/>
    <col min="7447" max="7447" width="14.1640625" style="1366" customWidth="1"/>
    <col min="7448" max="7448" width="12" style="1366" customWidth="1"/>
    <col min="7449" max="7449" width="8.5" style="1366" customWidth="1"/>
    <col min="7450" max="7450" width="10.1640625" style="1366" customWidth="1"/>
    <col min="7451" max="7451" width="10.6640625" style="1366" customWidth="1"/>
    <col min="7452" max="7452" width="8.5" style="1366" customWidth="1"/>
    <col min="7453" max="7453" width="10" style="1366" customWidth="1"/>
    <col min="7454" max="7455" width="8.5" style="1366" customWidth="1"/>
    <col min="7456" max="7456" width="10.83203125" style="1366" customWidth="1"/>
    <col min="7457" max="7457" width="9.5" style="1366" customWidth="1"/>
    <col min="7458" max="7458" width="9.33203125" style="1366" customWidth="1"/>
    <col min="7459" max="7459" width="13" style="1366" customWidth="1"/>
    <col min="7460" max="7460" width="14.5" style="1366" customWidth="1"/>
    <col min="7461" max="7461" width="12.6640625" style="1366" bestFit="1" customWidth="1"/>
    <col min="7462" max="7463" width="0" style="1366" hidden="1" customWidth="1"/>
    <col min="7464" max="7464" width="9.33203125" style="1366"/>
    <col min="7465" max="7465" width="14.5" style="1366" bestFit="1" customWidth="1"/>
    <col min="7466" max="7680" width="9.33203125" style="1366"/>
    <col min="7681" max="7681" width="12.1640625" style="1366" customWidth="1"/>
    <col min="7682" max="7682" width="30.83203125" style="1366" customWidth="1"/>
    <col min="7683" max="7683" width="13.83203125" style="1366" customWidth="1"/>
    <col min="7684" max="7684" width="14" style="1366" customWidth="1"/>
    <col min="7685" max="7685" width="13" style="1366" customWidth="1"/>
    <col min="7686" max="7686" width="14.6640625" style="1366" customWidth="1"/>
    <col min="7687" max="7687" width="11.83203125" style="1366" customWidth="1"/>
    <col min="7688" max="7688" width="11.6640625" style="1366" customWidth="1"/>
    <col min="7689" max="7689" width="12.5" style="1366" customWidth="1"/>
    <col min="7690" max="7690" width="11.33203125" style="1366" customWidth="1"/>
    <col min="7691" max="7691" width="17" style="1366" customWidth="1"/>
    <col min="7692" max="7692" width="12.1640625" style="1366" customWidth="1"/>
    <col min="7693" max="7698" width="13" style="1366" customWidth="1"/>
    <col min="7699" max="7699" width="13.1640625" style="1366" customWidth="1"/>
    <col min="7700" max="7700" width="15" style="1366" customWidth="1"/>
    <col min="7701" max="7701" width="12.5" style="1366" customWidth="1"/>
    <col min="7702" max="7702" width="11.6640625" style="1366" customWidth="1"/>
    <col min="7703" max="7703" width="14.1640625" style="1366" customWidth="1"/>
    <col min="7704" max="7704" width="12" style="1366" customWidth="1"/>
    <col min="7705" max="7705" width="8.5" style="1366" customWidth="1"/>
    <col min="7706" max="7706" width="10.1640625" style="1366" customWidth="1"/>
    <col min="7707" max="7707" width="10.6640625" style="1366" customWidth="1"/>
    <col min="7708" max="7708" width="8.5" style="1366" customWidth="1"/>
    <col min="7709" max="7709" width="10" style="1366" customWidth="1"/>
    <col min="7710" max="7711" width="8.5" style="1366" customWidth="1"/>
    <col min="7712" max="7712" width="10.83203125" style="1366" customWidth="1"/>
    <col min="7713" max="7713" width="9.5" style="1366" customWidth="1"/>
    <col min="7714" max="7714" width="9.33203125" style="1366" customWidth="1"/>
    <col min="7715" max="7715" width="13" style="1366" customWidth="1"/>
    <col min="7716" max="7716" width="14.5" style="1366" customWidth="1"/>
    <col min="7717" max="7717" width="12.6640625" style="1366" bestFit="1" customWidth="1"/>
    <col min="7718" max="7719" width="0" style="1366" hidden="1" customWidth="1"/>
    <col min="7720" max="7720" width="9.33203125" style="1366"/>
    <col min="7721" max="7721" width="14.5" style="1366" bestFit="1" customWidth="1"/>
    <col min="7722" max="7936" width="9.33203125" style="1366"/>
    <col min="7937" max="7937" width="12.1640625" style="1366" customWidth="1"/>
    <col min="7938" max="7938" width="30.83203125" style="1366" customWidth="1"/>
    <col min="7939" max="7939" width="13.83203125" style="1366" customWidth="1"/>
    <col min="7940" max="7940" width="14" style="1366" customWidth="1"/>
    <col min="7941" max="7941" width="13" style="1366" customWidth="1"/>
    <col min="7942" max="7942" width="14.6640625" style="1366" customWidth="1"/>
    <col min="7943" max="7943" width="11.83203125" style="1366" customWidth="1"/>
    <col min="7944" max="7944" width="11.6640625" style="1366" customWidth="1"/>
    <col min="7945" max="7945" width="12.5" style="1366" customWidth="1"/>
    <col min="7946" max="7946" width="11.33203125" style="1366" customWidth="1"/>
    <col min="7947" max="7947" width="17" style="1366" customWidth="1"/>
    <col min="7948" max="7948" width="12.1640625" style="1366" customWidth="1"/>
    <col min="7949" max="7954" width="13" style="1366" customWidth="1"/>
    <col min="7955" max="7955" width="13.1640625" style="1366" customWidth="1"/>
    <col min="7956" max="7956" width="15" style="1366" customWidth="1"/>
    <col min="7957" max="7957" width="12.5" style="1366" customWidth="1"/>
    <col min="7958" max="7958" width="11.6640625" style="1366" customWidth="1"/>
    <col min="7959" max="7959" width="14.1640625" style="1366" customWidth="1"/>
    <col min="7960" max="7960" width="12" style="1366" customWidth="1"/>
    <col min="7961" max="7961" width="8.5" style="1366" customWidth="1"/>
    <col min="7962" max="7962" width="10.1640625" style="1366" customWidth="1"/>
    <col min="7963" max="7963" width="10.6640625" style="1366" customWidth="1"/>
    <col min="7964" max="7964" width="8.5" style="1366" customWidth="1"/>
    <col min="7965" max="7965" width="10" style="1366" customWidth="1"/>
    <col min="7966" max="7967" width="8.5" style="1366" customWidth="1"/>
    <col min="7968" max="7968" width="10.83203125" style="1366" customWidth="1"/>
    <col min="7969" max="7969" width="9.5" style="1366" customWidth="1"/>
    <col min="7970" max="7970" width="9.33203125" style="1366" customWidth="1"/>
    <col min="7971" max="7971" width="13" style="1366" customWidth="1"/>
    <col min="7972" max="7972" width="14.5" style="1366" customWidth="1"/>
    <col min="7973" max="7973" width="12.6640625" style="1366" bestFit="1" customWidth="1"/>
    <col min="7974" max="7975" width="0" style="1366" hidden="1" customWidth="1"/>
    <col min="7976" max="7976" width="9.33203125" style="1366"/>
    <col min="7977" max="7977" width="14.5" style="1366" bestFit="1" customWidth="1"/>
    <col min="7978" max="8192" width="9.33203125" style="1366"/>
    <col min="8193" max="8193" width="12.1640625" style="1366" customWidth="1"/>
    <col min="8194" max="8194" width="30.83203125" style="1366" customWidth="1"/>
    <col min="8195" max="8195" width="13.83203125" style="1366" customWidth="1"/>
    <col min="8196" max="8196" width="14" style="1366" customWidth="1"/>
    <col min="8197" max="8197" width="13" style="1366" customWidth="1"/>
    <col min="8198" max="8198" width="14.6640625" style="1366" customWidth="1"/>
    <col min="8199" max="8199" width="11.83203125" style="1366" customWidth="1"/>
    <col min="8200" max="8200" width="11.6640625" style="1366" customWidth="1"/>
    <col min="8201" max="8201" width="12.5" style="1366" customWidth="1"/>
    <col min="8202" max="8202" width="11.33203125" style="1366" customWidth="1"/>
    <col min="8203" max="8203" width="17" style="1366" customWidth="1"/>
    <col min="8204" max="8204" width="12.1640625" style="1366" customWidth="1"/>
    <col min="8205" max="8210" width="13" style="1366" customWidth="1"/>
    <col min="8211" max="8211" width="13.1640625" style="1366" customWidth="1"/>
    <col min="8212" max="8212" width="15" style="1366" customWidth="1"/>
    <col min="8213" max="8213" width="12.5" style="1366" customWidth="1"/>
    <col min="8214" max="8214" width="11.6640625" style="1366" customWidth="1"/>
    <col min="8215" max="8215" width="14.1640625" style="1366" customWidth="1"/>
    <col min="8216" max="8216" width="12" style="1366" customWidth="1"/>
    <col min="8217" max="8217" width="8.5" style="1366" customWidth="1"/>
    <col min="8218" max="8218" width="10.1640625" style="1366" customWidth="1"/>
    <col min="8219" max="8219" width="10.6640625" style="1366" customWidth="1"/>
    <col min="8220" max="8220" width="8.5" style="1366" customWidth="1"/>
    <col min="8221" max="8221" width="10" style="1366" customWidth="1"/>
    <col min="8222" max="8223" width="8.5" style="1366" customWidth="1"/>
    <col min="8224" max="8224" width="10.83203125" style="1366" customWidth="1"/>
    <col min="8225" max="8225" width="9.5" style="1366" customWidth="1"/>
    <col min="8226" max="8226" width="9.33203125" style="1366" customWidth="1"/>
    <col min="8227" max="8227" width="13" style="1366" customWidth="1"/>
    <col min="8228" max="8228" width="14.5" style="1366" customWidth="1"/>
    <col min="8229" max="8229" width="12.6640625" style="1366" bestFit="1" customWidth="1"/>
    <col min="8230" max="8231" width="0" style="1366" hidden="1" customWidth="1"/>
    <col min="8232" max="8232" width="9.33203125" style="1366"/>
    <col min="8233" max="8233" width="14.5" style="1366" bestFit="1" customWidth="1"/>
    <col min="8234" max="8448" width="9.33203125" style="1366"/>
    <col min="8449" max="8449" width="12.1640625" style="1366" customWidth="1"/>
    <col min="8450" max="8450" width="30.83203125" style="1366" customWidth="1"/>
    <col min="8451" max="8451" width="13.83203125" style="1366" customWidth="1"/>
    <col min="8452" max="8452" width="14" style="1366" customWidth="1"/>
    <col min="8453" max="8453" width="13" style="1366" customWidth="1"/>
    <col min="8454" max="8454" width="14.6640625" style="1366" customWidth="1"/>
    <col min="8455" max="8455" width="11.83203125" style="1366" customWidth="1"/>
    <col min="8456" max="8456" width="11.6640625" style="1366" customWidth="1"/>
    <col min="8457" max="8457" width="12.5" style="1366" customWidth="1"/>
    <col min="8458" max="8458" width="11.33203125" style="1366" customWidth="1"/>
    <col min="8459" max="8459" width="17" style="1366" customWidth="1"/>
    <col min="8460" max="8460" width="12.1640625" style="1366" customWidth="1"/>
    <col min="8461" max="8466" width="13" style="1366" customWidth="1"/>
    <col min="8467" max="8467" width="13.1640625" style="1366" customWidth="1"/>
    <col min="8468" max="8468" width="15" style="1366" customWidth="1"/>
    <col min="8469" max="8469" width="12.5" style="1366" customWidth="1"/>
    <col min="8470" max="8470" width="11.6640625" style="1366" customWidth="1"/>
    <col min="8471" max="8471" width="14.1640625" style="1366" customWidth="1"/>
    <col min="8472" max="8472" width="12" style="1366" customWidth="1"/>
    <col min="8473" max="8473" width="8.5" style="1366" customWidth="1"/>
    <col min="8474" max="8474" width="10.1640625" style="1366" customWidth="1"/>
    <col min="8475" max="8475" width="10.6640625" style="1366" customWidth="1"/>
    <col min="8476" max="8476" width="8.5" style="1366" customWidth="1"/>
    <col min="8477" max="8477" width="10" style="1366" customWidth="1"/>
    <col min="8478" max="8479" width="8.5" style="1366" customWidth="1"/>
    <col min="8480" max="8480" width="10.83203125" style="1366" customWidth="1"/>
    <col min="8481" max="8481" width="9.5" style="1366" customWidth="1"/>
    <col min="8482" max="8482" width="9.33203125" style="1366" customWidth="1"/>
    <col min="8483" max="8483" width="13" style="1366" customWidth="1"/>
    <col min="8484" max="8484" width="14.5" style="1366" customWidth="1"/>
    <col min="8485" max="8485" width="12.6640625" style="1366" bestFit="1" customWidth="1"/>
    <col min="8486" max="8487" width="0" style="1366" hidden="1" customWidth="1"/>
    <col min="8488" max="8488" width="9.33203125" style="1366"/>
    <col min="8489" max="8489" width="14.5" style="1366" bestFit="1" customWidth="1"/>
    <col min="8490" max="8704" width="9.33203125" style="1366"/>
    <col min="8705" max="8705" width="12.1640625" style="1366" customWidth="1"/>
    <col min="8706" max="8706" width="30.83203125" style="1366" customWidth="1"/>
    <col min="8707" max="8707" width="13.83203125" style="1366" customWidth="1"/>
    <col min="8708" max="8708" width="14" style="1366" customWidth="1"/>
    <col min="8709" max="8709" width="13" style="1366" customWidth="1"/>
    <col min="8710" max="8710" width="14.6640625" style="1366" customWidth="1"/>
    <col min="8711" max="8711" width="11.83203125" style="1366" customWidth="1"/>
    <col min="8712" max="8712" width="11.6640625" style="1366" customWidth="1"/>
    <col min="8713" max="8713" width="12.5" style="1366" customWidth="1"/>
    <col min="8714" max="8714" width="11.33203125" style="1366" customWidth="1"/>
    <col min="8715" max="8715" width="17" style="1366" customWidth="1"/>
    <col min="8716" max="8716" width="12.1640625" style="1366" customWidth="1"/>
    <col min="8717" max="8722" width="13" style="1366" customWidth="1"/>
    <col min="8723" max="8723" width="13.1640625" style="1366" customWidth="1"/>
    <col min="8724" max="8724" width="15" style="1366" customWidth="1"/>
    <col min="8725" max="8725" width="12.5" style="1366" customWidth="1"/>
    <col min="8726" max="8726" width="11.6640625" style="1366" customWidth="1"/>
    <col min="8727" max="8727" width="14.1640625" style="1366" customWidth="1"/>
    <col min="8728" max="8728" width="12" style="1366" customWidth="1"/>
    <col min="8729" max="8729" width="8.5" style="1366" customWidth="1"/>
    <col min="8730" max="8730" width="10.1640625" style="1366" customWidth="1"/>
    <col min="8731" max="8731" width="10.6640625" style="1366" customWidth="1"/>
    <col min="8732" max="8732" width="8.5" style="1366" customWidth="1"/>
    <col min="8733" max="8733" width="10" style="1366" customWidth="1"/>
    <col min="8734" max="8735" width="8.5" style="1366" customWidth="1"/>
    <col min="8736" max="8736" width="10.83203125" style="1366" customWidth="1"/>
    <col min="8737" max="8737" width="9.5" style="1366" customWidth="1"/>
    <col min="8738" max="8738" width="9.33203125" style="1366" customWidth="1"/>
    <col min="8739" max="8739" width="13" style="1366" customWidth="1"/>
    <col min="8740" max="8740" width="14.5" style="1366" customWidth="1"/>
    <col min="8741" max="8741" width="12.6640625" style="1366" bestFit="1" customWidth="1"/>
    <col min="8742" max="8743" width="0" style="1366" hidden="1" customWidth="1"/>
    <col min="8744" max="8744" width="9.33203125" style="1366"/>
    <col min="8745" max="8745" width="14.5" style="1366" bestFit="1" customWidth="1"/>
    <col min="8746" max="8960" width="9.33203125" style="1366"/>
    <col min="8961" max="8961" width="12.1640625" style="1366" customWidth="1"/>
    <col min="8962" max="8962" width="30.83203125" style="1366" customWidth="1"/>
    <col min="8963" max="8963" width="13.83203125" style="1366" customWidth="1"/>
    <col min="8964" max="8964" width="14" style="1366" customWidth="1"/>
    <col min="8965" max="8965" width="13" style="1366" customWidth="1"/>
    <col min="8966" max="8966" width="14.6640625" style="1366" customWidth="1"/>
    <col min="8967" max="8967" width="11.83203125" style="1366" customWidth="1"/>
    <col min="8968" max="8968" width="11.6640625" style="1366" customWidth="1"/>
    <col min="8969" max="8969" width="12.5" style="1366" customWidth="1"/>
    <col min="8970" max="8970" width="11.33203125" style="1366" customWidth="1"/>
    <col min="8971" max="8971" width="17" style="1366" customWidth="1"/>
    <col min="8972" max="8972" width="12.1640625" style="1366" customWidth="1"/>
    <col min="8973" max="8978" width="13" style="1366" customWidth="1"/>
    <col min="8979" max="8979" width="13.1640625" style="1366" customWidth="1"/>
    <col min="8980" max="8980" width="15" style="1366" customWidth="1"/>
    <col min="8981" max="8981" width="12.5" style="1366" customWidth="1"/>
    <col min="8982" max="8982" width="11.6640625" style="1366" customWidth="1"/>
    <col min="8983" max="8983" width="14.1640625" style="1366" customWidth="1"/>
    <col min="8984" max="8984" width="12" style="1366" customWidth="1"/>
    <col min="8985" max="8985" width="8.5" style="1366" customWidth="1"/>
    <col min="8986" max="8986" width="10.1640625" style="1366" customWidth="1"/>
    <col min="8987" max="8987" width="10.6640625" style="1366" customWidth="1"/>
    <col min="8988" max="8988" width="8.5" style="1366" customWidth="1"/>
    <col min="8989" max="8989" width="10" style="1366" customWidth="1"/>
    <col min="8990" max="8991" width="8.5" style="1366" customWidth="1"/>
    <col min="8992" max="8992" width="10.83203125" style="1366" customWidth="1"/>
    <col min="8993" max="8993" width="9.5" style="1366" customWidth="1"/>
    <col min="8994" max="8994" width="9.33203125" style="1366" customWidth="1"/>
    <col min="8995" max="8995" width="13" style="1366" customWidth="1"/>
    <col min="8996" max="8996" width="14.5" style="1366" customWidth="1"/>
    <col min="8997" max="8997" width="12.6640625" style="1366" bestFit="1" customWidth="1"/>
    <col min="8998" max="8999" width="0" style="1366" hidden="1" customWidth="1"/>
    <col min="9000" max="9000" width="9.33203125" style="1366"/>
    <col min="9001" max="9001" width="14.5" style="1366" bestFit="1" customWidth="1"/>
    <col min="9002" max="9216" width="9.33203125" style="1366"/>
    <col min="9217" max="9217" width="12.1640625" style="1366" customWidth="1"/>
    <col min="9218" max="9218" width="30.83203125" style="1366" customWidth="1"/>
    <col min="9219" max="9219" width="13.83203125" style="1366" customWidth="1"/>
    <col min="9220" max="9220" width="14" style="1366" customWidth="1"/>
    <col min="9221" max="9221" width="13" style="1366" customWidth="1"/>
    <col min="9222" max="9222" width="14.6640625" style="1366" customWidth="1"/>
    <col min="9223" max="9223" width="11.83203125" style="1366" customWidth="1"/>
    <col min="9224" max="9224" width="11.6640625" style="1366" customWidth="1"/>
    <col min="9225" max="9225" width="12.5" style="1366" customWidth="1"/>
    <col min="9226" max="9226" width="11.33203125" style="1366" customWidth="1"/>
    <col min="9227" max="9227" width="17" style="1366" customWidth="1"/>
    <col min="9228" max="9228" width="12.1640625" style="1366" customWidth="1"/>
    <col min="9229" max="9234" width="13" style="1366" customWidth="1"/>
    <col min="9235" max="9235" width="13.1640625" style="1366" customWidth="1"/>
    <col min="9236" max="9236" width="15" style="1366" customWidth="1"/>
    <col min="9237" max="9237" width="12.5" style="1366" customWidth="1"/>
    <col min="9238" max="9238" width="11.6640625" style="1366" customWidth="1"/>
    <col min="9239" max="9239" width="14.1640625" style="1366" customWidth="1"/>
    <col min="9240" max="9240" width="12" style="1366" customWidth="1"/>
    <col min="9241" max="9241" width="8.5" style="1366" customWidth="1"/>
    <col min="9242" max="9242" width="10.1640625" style="1366" customWidth="1"/>
    <col min="9243" max="9243" width="10.6640625" style="1366" customWidth="1"/>
    <col min="9244" max="9244" width="8.5" style="1366" customWidth="1"/>
    <col min="9245" max="9245" width="10" style="1366" customWidth="1"/>
    <col min="9246" max="9247" width="8.5" style="1366" customWidth="1"/>
    <col min="9248" max="9248" width="10.83203125" style="1366" customWidth="1"/>
    <col min="9249" max="9249" width="9.5" style="1366" customWidth="1"/>
    <col min="9250" max="9250" width="9.33203125" style="1366" customWidth="1"/>
    <col min="9251" max="9251" width="13" style="1366" customWidth="1"/>
    <col min="9252" max="9252" width="14.5" style="1366" customWidth="1"/>
    <col min="9253" max="9253" width="12.6640625" style="1366" bestFit="1" customWidth="1"/>
    <col min="9254" max="9255" width="0" style="1366" hidden="1" customWidth="1"/>
    <col min="9256" max="9256" width="9.33203125" style="1366"/>
    <col min="9257" max="9257" width="14.5" style="1366" bestFit="1" customWidth="1"/>
    <col min="9258" max="9472" width="9.33203125" style="1366"/>
    <col min="9473" max="9473" width="12.1640625" style="1366" customWidth="1"/>
    <col min="9474" max="9474" width="30.83203125" style="1366" customWidth="1"/>
    <col min="9475" max="9475" width="13.83203125" style="1366" customWidth="1"/>
    <col min="9476" max="9476" width="14" style="1366" customWidth="1"/>
    <col min="9477" max="9477" width="13" style="1366" customWidth="1"/>
    <col min="9478" max="9478" width="14.6640625" style="1366" customWidth="1"/>
    <col min="9479" max="9479" width="11.83203125" style="1366" customWidth="1"/>
    <col min="9480" max="9480" width="11.6640625" style="1366" customWidth="1"/>
    <col min="9481" max="9481" width="12.5" style="1366" customWidth="1"/>
    <col min="9482" max="9482" width="11.33203125" style="1366" customWidth="1"/>
    <col min="9483" max="9483" width="17" style="1366" customWidth="1"/>
    <col min="9484" max="9484" width="12.1640625" style="1366" customWidth="1"/>
    <col min="9485" max="9490" width="13" style="1366" customWidth="1"/>
    <col min="9491" max="9491" width="13.1640625" style="1366" customWidth="1"/>
    <col min="9492" max="9492" width="15" style="1366" customWidth="1"/>
    <col min="9493" max="9493" width="12.5" style="1366" customWidth="1"/>
    <col min="9494" max="9494" width="11.6640625" style="1366" customWidth="1"/>
    <col min="9495" max="9495" width="14.1640625" style="1366" customWidth="1"/>
    <col min="9496" max="9496" width="12" style="1366" customWidth="1"/>
    <col min="9497" max="9497" width="8.5" style="1366" customWidth="1"/>
    <col min="9498" max="9498" width="10.1640625" style="1366" customWidth="1"/>
    <col min="9499" max="9499" width="10.6640625" style="1366" customWidth="1"/>
    <col min="9500" max="9500" width="8.5" style="1366" customWidth="1"/>
    <col min="9501" max="9501" width="10" style="1366" customWidth="1"/>
    <col min="9502" max="9503" width="8.5" style="1366" customWidth="1"/>
    <col min="9504" max="9504" width="10.83203125" style="1366" customWidth="1"/>
    <col min="9505" max="9505" width="9.5" style="1366" customWidth="1"/>
    <col min="9506" max="9506" width="9.33203125" style="1366" customWidth="1"/>
    <col min="9507" max="9507" width="13" style="1366" customWidth="1"/>
    <col min="9508" max="9508" width="14.5" style="1366" customWidth="1"/>
    <col min="9509" max="9509" width="12.6640625" style="1366" bestFit="1" customWidth="1"/>
    <col min="9510" max="9511" width="0" style="1366" hidden="1" customWidth="1"/>
    <col min="9512" max="9512" width="9.33203125" style="1366"/>
    <col min="9513" max="9513" width="14.5" style="1366" bestFit="1" customWidth="1"/>
    <col min="9514" max="9728" width="9.33203125" style="1366"/>
    <col min="9729" max="9729" width="12.1640625" style="1366" customWidth="1"/>
    <col min="9730" max="9730" width="30.83203125" style="1366" customWidth="1"/>
    <col min="9731" max="9731" width="13.83203125" style="1366" customWidth="1"/>
    <col min="9732" max="9732" width="14" style="1366" customWidth="1"/>
    <col min="9733" max="9733" width="13" style="1366" customWidth="1"/>
    <col min="9734" max="9734" width="14.6640625" style="1366" customWidth="1"/>
    <col min="9735" max="9735" width="11.83203125" style="1366" customWidth="1"/>
    <col min="9736" max="9736" width="11.6640625" style="1366" customWidth="1"/>
    <col min="9737" max="9737" width="12.5" style="1366" customWidth="1"/>
    <col min="9738" max="9738" width="11.33203125" style="1366" customWidth="1"/>
    <col min="9739" max="9739" width="17" style="1366" customWidth="1"/>
    <col min="9740" max="9740" width="12.1640625" style="1366" customWidth="1"/>
    <col min="9741" max="9746" width="13" style="1366" customWidth="1"/>
    <col min="9747" max="9747" width="13.1640625" style="1366" customWidth="1"/>
    <col min="9748" max="9748" width="15" style="1366" customWidth="1"/>
    <col min="9749" max="9749" width="12.5" style="1366" customWidth="1"/>
    <col min="9750" max="9750" width="11.6640625" style="1366" customWidth="1"/>
    <col min="9751" max="9751" width="14.1640625" style="1366" customWidth="1"/>
    <col min="9752" max="9752" width="12" style="1366" customWidth="1"/>
    <col min="9753" max="9753" width="8.5" style="1366" customWidth="1"/>
    <col min="9754" max="9754" width="10.1640625" style="1366" customWidth="1"/>
    <col min="9755" max="9755" width="10.6640625" style="1366" customWidth="1"/>
    <col min="9756" max="9756" width="8.5" style="1366" customWidth="1"/>
    <col min="9757" max="9757" width="10" style="1366" customWidth="1"/>
    <col min="9758" max="9759" width="8.5" style="1366" customWidth="1"/>
    <col min="9760" max="9760" width="10.83203125" style="1366" customWidth="1"/>
    <col min="9761" max="9761" width="9.5" style="1366" customWidth="1"/>
    <col min="9762" max="9762" width="9.33203125" style="1366" customWidth="1"/>
    <col min="9763" max="9763" width="13" style="1366" customWidth="1"/>
    <col min="9764" max="9764" width="14.5" style="1366" customWidth="1"/>
    <col min="9765" max="9765" width="12.6640625" style="1366" bestFit="1" customWidth="1"/>
    <col min="9766" max="9767" width="0" style="1366" hidden="1" customWidth="1"/>
    <col min="9768" max="9768" width="9.33203125" style="1366"/>
    <col min="9769" max="9769" width="14.5" style="1366" bestFit="1" customWidth="1"/>
    <col min="9770" max="9984" width="9.33203125" style="1366"/>
    <col min="9985" max="9985" width="12.1640625" style="1366" customWidth="1"/>
    <col min="9986" max="9986" width="30.83203125" style="1366" customWidth="1"/>
    <col min="9987" max="9987" width="13.83203125" style="1366" customWidth="1"/>
    <col min="9988" max="9988" width="14" style="1366" customWidth="1"/>
    <col min="9989" max="9989" width="13" style="1366" customWidth="1"/>
    <col min="9990" max="9990" width="14.6640625" style="1366" customWidth="1"/>
    <col min="9991" max="9991" width="11.83203125" style="1366" customWidth="1"/>
    <col min="9992" max="9992" width="11.6640625" style="1366" customWidth="1"/>
    <col min="9993" max="9993" width="12.5" style="1366" customWidth="1"/>
    <col min="9994" max="9994" width="11.33203125" style="1366" customWidth="1"/>
    <col min="9995" max="9995" width="17" style="1366" customWidth="1"/>
    <col min="9996" max="9996" width="12.1640625" style="1366" customWidth="1"/>
    <col min="9997" max="10002" width="13" style="1366" customWidth="1"/>
    <col min="10003" max="10003" width="13.1640625" style="1366" customWidth="1"/>
    <col min="10004" max="10004" width="15" style="1366" customWidth="1"/>
    <col min="10005" max="10005" width="12.5" style="1366" customWidth="1"/>
    <col min="10006" max="10006" width="11.6640625" style="1366" customWidth="1"/>
    <col min="10007" max="10007" width="14.1640625" style="1366" customWidth="1"/>
    <col min="10008" max="10008" width="12" style="1366" customWidth="1"/>
    <col min="10009" max="10009" width="8.5" style="1366" customWidth="1"/>
    <col min="10010" max="10010" width="10.1640625" style="1366" customWidth="1"/>
    <col min="10011" max="10011" width="10.6640625" style="1366" customWidth="1"/>
    <col min="10012" max="10012" width="8.5" style="1366" customWidth="1"/>
    <col min="10013" max="10013" width="10" style="1366" customWidth="1"/>
    <col min="10014" max="10015" width="8.5" style="1366" customWidth="1"/>
    <col min="10016" max="10016" width="10.83203125" style="1366" customWidth="1"/>
    <col min="10017" max="10017" width="9.5" style="1366" customWidth="1"/>
    <col min="10018" max="10018" width="9.33203125" style="1366" customWidth="1"/>
    <col min="10019" max="10019" width="13" style="1366" customWidth="1"/>
    <col min="10020" max="10020" width="14.5" style="1366" customWidth="1"/>
    <col min="10021" max="10021" width="12.6640625" style="1366" bestFit="1" customWidth="1"/>
    <col min="10022" max="10023" width="0" style="1366" hidden="1" customWidth="1"/>
    <col min="10024" max="10024" width="9.33203125" style="1366"/>
    <col min="10025" max="10025" width="14.5" style="1366" bestFit="1" customWidth="1"/>
    <col min="10026" max="10240" width="9.33203125" style="1366"/>
    <col min="10241" max="10241" width="12.1640625" style="1366" customWidth="1"/>
    <col min="10242" max="10242" width="30.83203125" style="1366" customWidth="1"/>
    <col min="10243" max="10243" width="13.83203125" style="1366" customWidth="1"/>
    <col min="10244" max="10244" width="14" style="1366" customWidth="1"/>
    <col min="10245" max="10245" width="13" style="1366" customWidth="1"/>
    <col min="10246" max="10246" width="14.6640625" style="1366" customWidth="1"/>
    <col min="10247" max="10247" width="11.83203125" style="1366" customWidth="1"/>
    <col min="10248" max="10248" width="11.6640625" style="1366" customWidth="1"/>
    <col min="10249" max="10249" width="12.5" style="1366" customWidth="1"/>
    <col min="10250" max="10250" width="11.33203125" style="1366" customWidth="1"/>
    <col min="10251" max="10251" width="17" style="1366" customWidth="1"/>
    <col min="10252" max="10252" width="12.1640625" style="1366" customWidth="1"/>
    <col min="10253" max="10258" width="13" style="1366" customWidth="1"/>
    <col min="10259" max="10259" width="13.1640625" style="1366" customWidth="1"/>
    <col min="10260" max="10260" width="15" style="1366" customWidth="1"/>
    <col min="10261" max="10261" width="12.5" style="1366" customWidth="1"/>
    <col min="10262" max="10262" width="11.6640625" style="1366" customWidth="1"/>
    <col min="10263" max="10263" width="14.1640625" style="1366" customWidth="1"/>
    <col min="10264" max="10264" width="12" style="1366" customWidth="1"/>
    <col min="10265" max="10265" width="8.5" style="1366" customWidth="1"/>
    <col min="10266" max="10266" width="10.1640625" style="1366" customWidth="1"/>
    <col min="10267" max="10267" width="10.6640625" style="1366" customWidth="1"/>
    <col min="10268" max="10268" width="8.5" style="1366" customWidth="1"/>
    <col min="10269" max="10269" width="10" style="1366" customWidth="1"/>
    <col min="10270" max="10271" width="8.5" style="1366" customWidth="1"/>
    <col min="10272" max="10272" width="10.83203125" style="1366" customWidth="1"/>
    <col min="10273" max="10273" width="9.5" style="1366" customWidth="1"/>
    <col min="10274" max="10274" width="9.33203125" style="1366" customWidth="1"/>
    <col min="10275" max="10275" width="13" style="1366" customWidth="1"/>
    <col min="10276" max="10276" width="14.5" style="1366" customWidth="1"/>
    <col min="10277" max="10277" width="12.6640625" style="1366" bestFit="1" customWidth="1"/>
    <col min="10278" max="10279" width="0" style="1366" hidden="1" customWidth="1"/>
    <col min="10280" max="10280" width="9.33203125" style="1366"/>
    <col min="10281" max="10281" width="14.5" style="1366" bestFit="1" customWidth="1"/>
    <col min="10282" max="10496" width="9.33203125" style="1366"/>
    <col min="10497" max="10497" width="12.1640625" style="1366" customWidth="1"/>
    <col min="10498" max="10498" width="30.83203125" style="1366" customWidth="1"/>
    <col min="10499" max="10499" width="13.83203125" style="1366" customWidth="1"/>
    <col min="10500" max="10500" width="14" style="1366" customWidth="1"/>
    <col min="10501" max="10501" width="13" style="1366" customWidth="1"/>
    <col min="10502" max="10502" width="14.6640625" style="1366" customWidth="1"/>
    <col min="10503" max="10503" width="11.83203125" style="1366" customWidth="1"/>
    <col min="10504" max="10504" width="11.6640625" style="1366" customWidth="1"/>
    <col min="10505" max="10505" width="12.5" style="1366" customWidth="1"/>
    <col min="10506" max="10506" width="11.33203125" style="1366" customWidth="1"/>
    <col min="10507" max="10507" width="17" style="1366" customWidth="1"/>
    <col min="10508" max="10508" width="12.1640625" style="1366" customWidth="1"/>
    <col min="10509" max="10514" width="13" style="1366" customWidth="1"/>
    <col min="10515" max="10515" width="13.1640625" style="1366" customWidth="1"/>
    <col min="10516" max="10516" width="15" style="1366" customWidth="1"/>
    <col min="10517" max="10517" width="12.5" style="1366" customWidth="1"/>
    <col min="10518" max="10518" width="11.6640625" style="1366" customWidth="1"/>
    <col min="10519" max="10519" width="14.1640625" style="1366" customWidth="1"/>
    <col min="10520" max="10520" width="12" style="1366" customWidth="1"/>
    <col min="10521" max="10521" width="8.5" style="1366" customWidth="1"/>
    <col min="10522" max="10522" width="10.1640625" style="1366" customWidth="1"/>
    <col min="10523" max="10523" width="10.6640625" style="1366" customWidth="1"/>
    <col min="10524" max="10524" width="8.5" style="1366" customWidth="1"/>
    <col min="10525" max="10525" width="10" style="1366" customWidth="1"/>
    <col min="10526" max="10527" width="8.5" style="1366" customWidth="1"/>
    <col min="10528" max="10528" width="10.83203125" style="1366" customWidth="1"/>
    <col min="10529" max="10529" width="9.5" style="1366" customWidth="1"/>
    <col min="10530" max="10530" width="9.33203125" style="1366" customWidth="1"/>
    <col min="10531" max="10531" width="13" style="1366" customWidth="1"/>
    <col min="10532" max="10532" width="14.5" style="1366" customWidth="1"/>
    <col min="10533" max="10533" width="12.6640625" style="1366" bestFit="1" customWidth="1"/>
    <col min="10534" max="10535" width="0" style="1366" hidden="1" customWidth="1"/>
    <col min="10536" max="10536" width="9.33203125" style="1366"/>
    <col min="10537" max="10537" width="14.5" style="1366" bestFit="1" customWidth="1"/>
    <col min="10538" max="10752" width="9.33203125" style="1366"/>
    <col min="10753" max="10753" width="12.1640625" style="1366" customWidth="1"/>
    <col min="10754" max="10754" width="30.83203125" style="1366" customWidth="1"/>
    <col min="10755" max="10755" width="13.83203125" style="1366" customWidth="1"/>
    <col min="10756" max="10756" width="14" style="1366" customWidth="1"/>
    <col min="10757" max="10757" width="13" style="1366" customWidth="1"/>
    <col min="10758" max="10758" width="14.6640625" style="1366" customWidth="1"/>
    <col min="10759" max="10759" width="11.83203125" style="1366" customWidth="1"/>
    <col min="10760" max="10760" width="11.6640625" style="1366" customWidth="1"/>
    <col min="10761" max="10761" width="12.5" style="1366" customWidth="1"/>
    <col min="10762" max="10762" width="11.33203125" style="1366" customWidth="1"/>
    <col min="10763" max="10763" width="17" style="1366" customWidth="1"/>
    <col min="10764" max="10764" width="12.1640625" style="1366" customWidth="1"/>
    <col min="10765" max="10770" width="13" style="1366" customWidth="1"/>
    <col min="10771" max="10771" width="13.1640625" style="1366" customWidth="1"/>
    <col min="10772" max="10772" width="15" style="1366" customWidth="1"/>
    <col min="10773" max="10773" width="12.5" style="1366" customWidth="1"/>
    <col min="10774" max="10774" width="11.6640625" style="1366" customWidth="1"/>
    <col min="10775" max="10775" width="14.1640625" style="1366" customWidth="1"/>
    <col min="10776" max="10776" width="12" style="1366" customWidth="1"/>
    <col min="10777" max="10777" width="8.5" style="1366" customWidth="1"/>
    <col min="10778" max="10778" width="10.1640625" style="1366" customWidth="1"/>
    <col min="10779" max="10779" width="10.6640625" style="1366" customWidth="1"/>
    <col min="10780" max="10780" width="8.5" style="1366" customWidth="1"/>
    <col min="10781" max="10781" width="10" style="1366" customWidth="1"/>
    <col min="10782" max="10783" width="8.5" style="1366" customWidth="1"/>
    <col min="10784" max="10784" width="10.83203125" style="1366" customWidth="1"/>
    <col min="10785" max="10785" width="9.5" style="1366" customWidth="1"/>
    <col min="10786" max="10786" width="9.33203125" style="1366" customWidth="1"/>
    <col min="10787" max="10787" width="13" style="1366" customWidth="1"/>
    <col min="10788" max="10788" width="14.5" style="1366" customWidth="1"/>
    <col min="10789" max="10789" width="12.6640625" style="1366" bestFit="1" customWidth="1"/>
    <col min="10790" max="10791" width="0" style="1366" hidden="1" customWidth="1"/>
    <col min="10792" max="10792" width="9.33203125" style="1366"/>
    <col min="10793" max="10793" width="14.5" style="1366" bestFit="1" customWidth="1"/>
    <col min="10794" max="11008" width="9.33203125" style="1366"/>
    <col min="11009" max="11009" width="12.1640625" style="1366" customWidth="1"/>
    <col min="11010" max="11010" width="30.83203125" style="1366" customWidth="1"/>
    <col min="11011" max="11011" width="13.83203125" style="1366" customWidth="1"/>
    <col min="11012" max="11012" width="14" style="1366" customWidth="1"/>
    <col min="11013" max="11013" width="13" style="1366" customWidth="1"/>
    <col min="11014" max="11014" width="14.6640625" style="1366" customWidth="1"/>
    <col min="11015" max="11015" width="11.83203125" style="1366" customWidth="1"/>
    <col min="11016" max="11016" width="11.6640625" style="1366" customWidth="1"/>
    <col min="11017" max="11017" width="12.5" style="1366" customWidth="1"/>
    <col min="11018" max="11018" width="11.33203125" style="1366" customWidth="1"/>
    <col min="11019" max="11019" width="17" style="1366" customWidth="1"/>
    <col min="11020" max="11020" width="12.1640625" style="1366" customWidth="1"/>
    <col min="11021" max="11026" width="13" style="1366" customWidth="1"/>
    <col min="11027" max="11027" width="13.1640625" style="1366" customWidth="1"/>
    <col min="11028" max="11028" width="15" style="1366" customWidth="1"/>
    <col min="11029" max="11029" width="12.5" style="1366" customWidth="1"/>
    <col min="11030" max="11030" width="11.6640625" style="1366" customWidth="1"/>
    <col min="11031" max="11031" width="14.1640625" style="1366" customWidth="1"/>
    <col min="11032" max="11032" width="12" style="1366" customWidth="1"/>
    <col min="11033" max="11033" width="8.5" style="1366" customWidth="1"/>
    <col min="11034" max="11034" width="10.1640625" style="1366" customWidth="1"/>
    <col min="11035" max="11035" width="10.6640625" style="1366" customWidth="1"/>
    <col min="11036" max="11036" width="8.5" style="1366" customWidth="1"/>
    <col min="11037" max="11037" width="10" style="1366" customWidth="1"/>
    <col min="11038" max="11039" width="8.5" style="1366" customWidth="1"/>
    <col min="11040" max="11040" width="10.83203125" style="1366" customWidth="1"/>
    <col min="11041" max="11041" width="9.5" style="1366" customWidth="1"/>
    <col min="11042" max="11042" width="9.33203125" style="1366" customWidth="1"/>
    <col min="11043" max="11043" width="13" style="1366" customWidth="1"/>
    <col min="11044" max="11044" width="14.5" style="1366" customWidth="1"/>
    <col min="11045" max="11045" width="12.6640625" style="1366" bestFit="1" customWidth="1"/>
    <col min="11046" max="11047" width="0" style="1366" hidden="1" customWidth="1"/>
    <col min="11048" max="11048" width="9.33203125" style="1366"/>
    <col min="11049" max="11049" width="14.5" style="1366" bestFit="1" customWidth="1"/>
    <col min="11050" max="11264" width="9.33203125" style="1366"/>
    <col min="11265" max="11265" width="12.1640625" style="1366" customWidth="1"/>
    <col min="11266" max="11266" width="30.83203125" style="1366" customWidth="1"/>
    <col min="11267" max="11267" width="13.83203125" style="1366" customWidth="1"/>
    <col min="11268" max="11268" width="14" style="1366" customWidth="1"/>
    <col min="11269" max="11269" width="13" style="1366" customWidth="1"/>
    <col min="11270" max="11270" width="14.6640625" style="1366" customWidth="1"/>
    <col min="11271" max="11271" width="11.83203125" style="1366" customWidth="1"/>
    <col min="11272" max="11272" width="11.6640625" style="1366" customWidth="1"/>
    <col min="11273" max="11273" width="12.5" style="1366" customWidth="1"/>
    <col min="11274" max="11274" width="11.33203125" style="1366" customWidth="1"/>
    <col min="11275" max="11275" width="17" style="1366" customWidth="1"/>
    <col min="11276" max="11276" width="12.1640625" style="1366" customWidth="1"/>
    <col min="11277" max="11282" width="13" style="1366" customWidth="1"/>
    <col min="11283" max="11283" width="13.1640625" style="1366" customWidth="1"/>
    <col min="11284" max="11284" width="15" style="1366" customWidth="1"/>
    <col min="11285" max="11285" width="12.5" style="1366" customWidth="1"/>
    <col min="11286" max="11286" width="11.6640625" style="1366" customWidth="1"/>
    <col min="11287" max="11287" width="14.1640625" style="1366" customWidth="1"/>
    <col min="11288" max="11288" width="12" style="1366" customWidth="1"/>
    <col min="11289" max="11289" width="8.5" style="1366" customWidth="1"/>
    <col min="11290" max="11290" width="10.1640625" style="1366" customWidth="1"/>
    <col min="11291" max="11291" width="10.6640625" style="1366" customWidth="1"/>
    <col min="11292" max="11292" width="8.5" style="1366" customWidth="1"/>
    <col min="11293" max="11293" width="10" style="1366" customWidth="1"/>
    <col min="11294" max="11295" width="8.5" style="1366" customWidth="1"/>
    <col min="11296" max="11296" width="10.83203125" style="1366" customWidth="1"/>
    <col min="11297" max="11297" width="9.5" style="1366" customWidth="1"/>
    <col min="11298" max="11298" width="9.33203125" style="1366" customWidth="1"/>
    <col min="11299" max="11299" width="13" style="1366" customWidth="1"/>
    <col min="11300" max="11300" width="14.5" style="1366" customWidth="1"/>
    <col min="11301" max="11301" width="12.6640625" style="1366" bestFit="1" customWidth="1"/>
    <col min="11302" max="11303" width="0" style="1366" hidden="1" customWidth="1"/>
    <col min="11304" max="11304" width="9.33203125" style="1366"/>
    <col min="11305" max="11305" width="14.5" style="1366" bestFit="1" customWidth="1"/>
    <col min="11306" max="11520" width="9.33203125" style="1366"/>
    <col min="11521" max="11521" width="12.1640625" style="1366" customWidth="1"/>
    <col min="11522" max="11522" width="30.83203125" style="1366" customWidth="1"/>
    <col min="11523" max="11523" width="13.83203125" style="1366" customWidth="1"/>
    <col min="11524" max="11524" width="14" style="1366" customWidth="1"/>
    <col min="11525" max="11525" width="13" style="1366" customWidth="1"/>
    <col min="11526" max="11526" width="14.6640625" style="1366" customWidth="1"/>
    <col min="11527" max="11527" width="11.83203125" style="1366" customWidth="1"/>
    <col min="11528" max="11528" width="11.6640625" style="1366" customWidth="1"/>
    <col min="11529" max="11529" width="12.5" style="1366" customWidth="1"/>
    <col min="11530" max="11530" width="11.33203125" style="1366" customWidth="1"/>
    <col min="11531" max="11531" width="17" style="1366" customWidth="1"/>
    <col min="11532" max="11532" width="12.1640625" style="1366" customWidth="1"/>
    <col min="11533" max="11538" width="13" style="1366" customWidth="1"/>
    <col min="11539" max="11539" width="13.1640625" style="1366" customWidth="1"/>
    <col min="11540" max="11540" width="15" style="1366" customWidth="1"/>
    <col min="11541" max="11541" width="12.5" style="1366" customWidth="1"/>
    <col min="11542" max="11542" width="11.6640625" style="1366" customWidth="1"/>
    <col min="11543" max="11543" width="14.1640625" style="1366" customWidth="1"/>
    <col min="11544" max="11544" width="12" style="1366" customWidth="1"/>
    <col min="11545" max="11545" width="8.5" style="1366" customWidth="1"/>
    <col min="11546" max="11546" width="10.1640625" style="1366" customWidth="1"/>
    <col min="11547" max="11547" width="10.6640625" style="1366" customWidth="1"/>
    <col min="11548" max="11548" width="8.5" style="1366" customWidth="1"/>
    <col min="11549" max="11549" width="10" style="1366" customWidth="1"/>
    <col min="11550" max="11551" width="8.5" style="1366" customWidth="1"/>
    <col min="11552" max="11552" width="10.83203125" style="1366" customWidth="1"/>
    <col min="11553" max="11553" width="9.5" style="1366" customWidth="1"/>
    <col min="11554" max="11554" width="9.33203125" style="1366" customWidth="1"/>
    <col min="11555" max="11555" width="13" style="1366" customWidth="1"/>
    <col min="11556" max="11556" width="14.5" style="1366" customWidth="1"/>
    <col min="11557" max="11557" width="12.6640625" style="1366" bestFit="1" customWidth="1"/>
    <col min="11558" max="11559" width="0" style="1366" hidden="1" customWidth="1"/>
    <col min="11560" max="11560" width="9.33203125" style="1366"/>
    <col min="11561" max="11561" width="14.5" style="1366" bestFit="1" customWidth="1"/>
    <col min="11562" max="11776" width="9.33203125" style="1366"/>
    <col min="11777" max="11777" width="12.1640625" style="1366" customWidth="1"/>
    <col min="11778" max="11778" width="30.83203125" style="1366" customWidth="1"/>
    <col min="11779" max="11779" width="13.83203125" style="1366" customWidth="1"/>
    <col min="11780" max="11780" width="14" style="1366" customWidth="1"/>
    <col min="11781" max="11781" width="13" style="1366" customWidth="1"/>
    <col min="11782" max="11782" width="14.6640625" style="1366" customWidth="1"/>
    <col min="11783" max="11783" width="11.83203125" style="1366" customWidth="1"/>
    <col min="11784" max="11784" width="11.6640625" style="1366" customWidth="1"/>
    <col min="11785" max="11785" width="12.5" style="1366" customWidth="1"/>
    <col min="11786" max="11786" width="11.33203125" style="1366" customWidth="1"/>
    <col min="11787" max="11787" width="17" style="1366" customWidth="1"/>
    <col min="11788" max="11788" width="12.1640625" style="1366" customWidth="1"/>
    <col min="11789" max="11794" width="13" style="1366" customWidth="1"/>
    <col min="11795" max="11795" width="13.1640625" style="1366" customWidth="1"/>
    <col min="11796" max="11796" width="15" style="1366" customWidth="1"/>
    <col min="11797" max="11797" width="12.5" style="1366" customWidth="1"/>
    <col min="11798" max="11798" width="11.6640625" style="1366" customWidth="1"/>
    <col min="11799" max="11799" width="14.1640625" style="1366" customWidth="1"/>
    <col min="11800" max="11800" width="12" style="1366" customWidth="1"/>
    <col min="11801" max="11801" width="8.5" style="1366" customWidth="1"/>
    <col min="11802" max="11802" width="10.1640625" style="1366" customWidth="1"/>
    <col min="11803" max="11803" width="10.6640625" style="1366" customWidth="1"/>
    <col min="11804" max="11804" width="8.5" style="1366" customWidth="1"/>
    <col min="11805" max="11805" width="10" style="1366" customWidth="1"/>
    <col min="11806" max="11807" width="8.5" style="1366" customWidth="1"/>
    <col min="11808" max="11808" width="10.83203125" style="1366" customWidth="1"/>
    <col min="11809" max="11809" width="9.5" style="1366" customWidth="1"/>
    <col min="11810" max="11810" width="9.33203125" style="1366" customWidth="1"/>
    <col min="11811" max="11811" width="13" style="1366" customWidth="1"/>
    <col min="11812" max="11812" width="14.5" style="1366" customWidth="1"/>
    <col min="11813" max="11813" width="12.6640625" style="1366" bestFit="1" customWidth="1"/>
    <col min="11814" max="11815" width="0" style="1366" hidden="1" customWidth="1"/>
    <col min="11816" max="11816" width="9.33203125" style="1366"/>
    <col min="11817" max="11817" width="14.5" style="1366" bestFit="1" customWidth="1"/>
    <col min="11818" max="12032" width="9.33203125" style="1366"/>
    <col min="12033" max="12033" width="12.1640625" style="1366" customWidth="1"/>
    <col min="12034" max="12034" width="30.83203125" style="1366" customWidth="1"/>
    <col min="12035" max="12035" width="13.83203125" style="1366" customWidth="1"/>
    <col min="12036" max="12036" width="14" style="1366" customWidth="1"/>
    <col min="12037" max="12037" width="13" style="1366" customWidth="1"/>
    <col min="12038" max="12038" width="14.6640625" style="1366" customWidth="1"/>
    <col min="12039" max="12039" width="11.83203125" style="1366" customWidth="1"/>
    <col min="12040" max="12040" width="11.6640625" style="1366" customWidth="1"/>
    <col min="12041" max="12041" width="12.5" style="1366" customWidth="1"/>
    <col min="12042" max="12042" width="11.33203125" style="1366" customWidth="1"/>
    <col min="12043" max="12043" width="17" style="1366" customWidth="1"/>
    <col min="12044" max="12044" width="12.1640625" style="1366" customWidth="1"/>
    <col min="12045" max="12050" width="13" style="1366" customWidth="1"/>
    <col min="12051" max="12051" width="13.1640625" style="1366" customWidth="1"/>
    <col min="12052" max="12052" width="15" style="1366" customWidth="1"/>
    <col min="12053" max="12053" width="12.5" style="1366" customWidth="1"/>
    <col min="12054" max="12054" width="11.6640625" style="1366" customWidth="1"/>
    <col min="12055" max="12055" width="14.1640625" style="1366" customWidth="1"/>
    <col min="12056" max="12056" width="12" style="1366" customWidth="1"/>
    <col min="12057" max="12057" width="8.5" style="1366" customWidth="1"/>
    <col min="12058" max="12058" width="10.1640625" style="1366" customWidth="1"/>
    <col min="12059" max="12059" width="10.6640625" style="1366" customWidth="1"/>
    <col min="12060" max="12060" width="8.5" style="1366" customWidth="1"/>
    <col min="12061" max="12061" width="10" style="1366" customWidth="1"/>
    <col min="12062" max="12063" width="8.5" style="1366" customWidth="1"/>
    <col min="12064" max="12064" width="10.83203125" style="1366" customWidth="1"/>
    <col min="12065" max="12065" width="9.5" style="1366" customWidth="1"/>
    <col min="12066" max="12066" width="9.33203125" style="1366" customWidth="1"/>
    <col min="12067" max="12067" width="13" style="1366" customWidth="1"/>
    <col min="12068" max="12068" width="14.5" style="1366" customWidth="1"/>
    <col min="12069" max="12069" width="12.6640625" style="1366" bestFit="1" customWidth="1"/>
    <col min="12070" max="12071" width="0" style="1366" hidden="1" customWidth="1"/>
    <col min="12072" max="12072" width="9.33203125" style="1366"/>
    <col min="12073" max="12073" width="14.5" style="1366" bestFit="1" customWidth="1"/>
    <col min="12074" max="12288" width="9.33203125" style="1366"/>
    <col min="12289" max="12289" width="12.1640625" style="1366" customWidth="1"/>
    <col min="12290" max="12290" width="30.83203125" style="1366" customWidth="1"/>
    <col min="12291" max="12291" width="13.83203125" style="1366" customWidth="1"/>
    <col min="12292" max="12292" width="14" style="1366" customWidth="1"/>
    <col min="12293" max="12293" width="13" style="1366" customWidth="1"/>
    <col min="12294" max="12294" width="14.6640625" style="1366" customWidth="1"/>
    <col min="12295" max="12295" width="11.83203125" style="1366" customWidth="1"/>
    <col min="12296" max="12296" width="11.6640625" style="1366" customWidth="1"/>
    <col min="12297" max="12297" width="12.5" style="1366" customWidth="1"/>
    <col min="12298" max="12298" width="11.33203125" style="1366" customWidth="1"/>
    <col min="12299" max="12299" width="17" style="1366" customWidth="1"/>
    <col min="12300" max="12300" width="12.1640625" style="1366" customWidth="1"/>
    <col min="12301" max="12306" width="13" style="1366" customWidth="1"/>
    <col min="12307" max="12307" width="13.1640625" style="1366" customWidth="1"/>
    <col min="12308" max="12308" width="15" style="1366" customWidth="1"/>
    <col min="12309" max="12309" width="12.5" style="1366" customWidth="1"/>
    <col min="12310" max="12310" width="11.6640625" style="1366" customWidth="1"/>
    <col min="12311" max="12311" width="14.1640625" style="1366" customWidth="1"/>
    <col min="12312" max="12312" width="12" style="1366" customWidth="1"/>
    <col min="12313" max="12313" width="8.5" style="1366" customWidth="1"/>
    <col min="12314" max="12314" width="10.1640625" style="1366" customWidth="1"/>
    <col min="12315" max="12315" width="10.6640625" style="1366" customWidth="1"/>
    <col min="12316" max="12316" width="8.5" style="1366" customWidth="1"/>
    <col min="12317" max="12317" width="10" style="1366" customWidth="1"/>
    <col min="12318" max="12319" width="8.5" style="1366" customWidth="1"/>
    <col min="12320" max="12320" width="10.83203125" style="1366" customWidth="1"/>
    <col min="12321" max="12321" width="9.5" style="1366" customWidth="1"/>
    <col min="12322" max="12322" width="9.33203125" style="1366" customWidth="1"/>
    <col min="12323" max="12323" width="13" style="1366" customWidth="1"/>
    <col min="12324" max="12324" width="14.5" style="1366" customWidth="1"/>
    <col min="12325" max="12325" width="12.6640625" style="1366" bestFit="1" customWidth="1"/>
    <col min="12326" max="12327" width="0" style="1366" hidden="1" customWidth="1"/>
    <col min="12328" max="12328" width="9.33203125" style="1366"/>
    <col min="12329" max="12329" width="14.5" style="1366" bestFit="1" customWidth="1"/>
    <col min="12330" max="12544" width="9.33203125" style="1366"/>
    <col min="12545" max="12545" width="12.1640625" style="1366" customWidth="1"/>
    <col min="12546" max="12546" width="30.83203125" style="1366" customWidth="1"/>
    <col min="12547" max="12547" width="13.83203125" style="1366" customWidth="1"/>
    <col min="12548" max="12548" width="14" style="1366" customWidth="1"/>
    <col min="12549" max="12549" width="13" style="1366" customWidth="1"/>
    <col min="12550" max="12550" width="14.6640625" style="1366" customWidth="1"/>
    <col min="12551" max="12551" width="11.83203125" style="1366" customWidth="1"/>
    <col min="12552" max="12552" width="11.6640625" style="1366" customWidth="1"/>
    <col min="12553" max="12553" width="12.5" style="1366" customWidth="1"/>
    <col min="12554" max="12554" width="11.33203125" style="1366" customWidth="1"/>
    <col min="12555" max="12555" width="17" style="1366" customWidth="1"/>
    <col min="12556" max="12556" width="12.1640625" style="1366" customWidth="1"/>
    <col min="12557" max="12562" width="13" style="1366" customWidth="1"/>
    <col min="12563" max="12563" width="13.1640625" style="1366" customWidth="1"/>
    <col min="12564" max="12564" width="15" style="1366" customWidth="1"/>
    <col min="12565" max="12565" width="12.5" style="1366" customWidth="1"/>
    <col min="12566" max="12566" width="11.6640625" style="1366" customWidth="1"/>
    <col min="12567" max="12567" width="14.1640625" style="1366" customWidth="1"/>
    <col min="12568" max="12568" width="12" style="1366" customWidth="1"/>
    <col min="12569" max="12569" width="8.5" style="1366" customWidth="1"/>
    <col min="12570" max="12570" width="10.1640625" style="1366" customWidth="1"/>
    <col min="12571" max="12571" width="10.6640625" style="1366" customWidth="1"/>
    <col min="12572" max="12572" width="8.5" style="1366" customWidth="1"/>
    <col min="12573" max="12573" width="10" style="1366" customWidth="1"/>
    <col min="12574" max="12575" width="8.5" style="1366" customWidth="1"/>
    <col min="12576" max="12576" width="10.83203125" style="1366" customWidth="1"/>
    <col min="12577" max="12577" width="9.5" style="1366" customWidth="1"/>
    <col min="12578" max="12578" width="9.33203125" style="1366" customWidth="1"/>
    <col min="12579" max="12579" width="13" style="1366" customWidth="1"/>
    <col min="12580" max="12580" width="14.5" style="1366" customWidth="1"/>
    <col min="12581" max="12581" width="12.6640625" style="1366" bestFit="1" customWidth="1"/>
    <col min="12582" max="12583" width="0" style="1366" hidden="1" customWidth="1"/>
    <col min="12584" max="12584" width="9.33203125" style="1366"/>
    <col min="12585" max="12585" width="14.5" style="1366" bestFit="1" customWidth="1"/>
    <col min="12586" max="12800" width="9.33203125" style="1366"/>
    <col min="12801" max="12801" width="12.1640625" style="1366" customWidth="1"/>
    <col min="12802" max="12802" width="30.83203125" style="1366" customWidth="1"/>
    <col min="12803" max="12803" width="13.83203125" style="1366" customWidth="1"/>
    <col min="12804" max="12804" width="14" style="1366" customWidth="1"/>
    <col min="12805" max="12805" width="13" style="1366" customWidth="1"/>
    <col min="12806" max="12806" width="14.6640625" style="1366" customWidth="1"/>
    <col min="12807" max="12807" width="11.83203125" style="1366" customWidth="1"/>
    <col min="12808" max="12808" width="11.6640625" style="1366" customWidth="1"/>
    <col min="12809" max="12809" width="12.5" style="1366" customWidth="1"/>
    <col min="12810" max="12810" width="11.33203125" style="1366" customWidth="1"/>
    <col min="12811" max="12811" width="17" style="1366" customWidth="1"/>
    <col min="12812" max="12812" width="12.1640625" style="1366" customWidth="1"/>
    <col min="12813" max="12818" width="13" style="1366" customWidth="1"/>
    <col min="12819" max="12819" width="13.1640625" style="1366" customWidth="1"/>
    <col min="12820" max="12820" width="15" style="1366" customWidth="1"/>
    <col min="12821" max="12821" width="12.5" style="1366" customWidth="1"/>
    <col min="12822" max="12822" width="11.6640625" style="1366" customWidth="1"/>
    <col min="12823" max="12823" width="14.1640625" style="1366" customWidth="1"/>
    <col min="12824" max="12824" width="12" style="1366" customWidth="1"/>
    <col min="12825" max="12825" width="8.5" style="1366" customWidth="1"/>
    <col min="12826" max="12826" width="10.1640625" style="1366" customWidth="1"/>
    <col min="12827" max="12827" width="10.6640625" style="1366" customWidth="1"/>
    <col min="12828" max="12828" width="8.5" style="1366" customWidth="1"/>
    <col min="12829" max="12829" width="10" style="1366" customWidth="1"/>
    <col min="12830" max="12831" width="8.5" style="1366" customWidth="1"/>
    <col min="12832" max="12832" width="10.83203125" style="1366" customWidth="1"/>
    <col min="12833" max="12833" width="9.5" style="1366" customWidth="1"/>
    <col min="12834" max="12834" width="9.33203125" style="1366" customWidth="1"/>
    <col min="12835" max="12835" width="13" style="1366" customWidth="1"/>
    <col min="12836" max="12836" width="14.5" style="1366" customWidth="1"/>
    <col min="12837" max="12837" width="12.6640625" style="1366" bestFit="1" customWidth="1"/>
    <col min="12838" max="12839" width="0" style="1366" hidden="1" customWidth="1"/>
    <col min="12840" max="12840" width="9.33203125" style="1366"/>
    <col min="12841" max="12841" width="14.5" style="1366" bestFit="1" customWidth="1"/>
    <col min="12842" max="13056" width="9.33203125" style="1366"/>
    <col min="13057" max="13057" width="12.1640625" style="1366" customWidth="1"/>
    <col min="13058" max="13058" width="30.83203125" style="1366" customWidth="1"/>
    <col min="13059" max="13059" width="13.83203125" style="1366" customWidth="1"/>
    <col min="13060" max="13060" width="14" style="1366" customWidth="1"/>
    <col min="13061" max="13061" width="13" style="1366" customWidth="1"/>
    <col min="13062" max="13062" width="14.6640625" style="1366" customWidth="1"/>
    <col min="13063" max="13063" width="11.83203125" style="1366" customWidth="1"/>
    <col min="13064" max="13064" width="11.6640625" style="1366" customWidth="1"/>
    <col min="13065" max="13065" width="12.5" style="1366" customWidth="1"/>
    <col min="13066" max="13066" width="11.33203125" style="1366" customWidth="1"/>
    <col min="13067" max="13067" width="17" style="1366" customWidth="1"/>
    <col min="13068" max="13068" width="12.1640625" style="1366" customWidth="1"/>
    <col min="13069" max="13074" width="13" style="1366" customWidth="1"/>
    <col min="13075" max="13075" width="13.1640625" style="1366" customWidth="1"/>
    <col min="13076" max="13076" width="15" style="1366" customWidth="1"/>
    <col min="13077" max="13077" width="12.5" style="1366" customWidth="1"/>
    <col min="13078" max="13078" width="11.6640625" style="1366" customWidth="1"/>
    <col min="13079" max="13079" width="14.1640625" style="1366" customWidth="1"/>
    <col min="13080" max="13080" width="12" style="1366" customWidth="1"/>
    <col min="13081" max="13081" width="8.5" style="1366" customWidth="1"/>
    <col min="13082" max="13082" width="10.1640625" style="1366" customWidth="1"/>
    <col min="13083" max="13083" width="10.6640625" style="1366" customWidth="1"/>
    <col min="13084" max="13084" width="8.5" style="1366" customWidth="1"/>
    <col min="13085" max="13085" width="10" style="1366" customWidth="1"/>
    <col min="13086" max="13087" width="8.5" style="1366" customWidth="1"/>
    <col min="13088" max="13088" width="10.83203125" style="1366" customWidth="1"/>
    <col min="13089" max="13089" width="9.5" style="1366" customWidth="1"/>
    <col min="13090" max="13090" width="9.33203125" style="1366" customWidth="1"/>
    <col min="13091" max="13091" width="13" style="1366" customWidth="1"/>
    <col min="13092" max="13092" width="14.5" style="1366" customWidth="1"/>
    <col min="13093" max="13093" width="12.6640625" style="1366" bestFit="1" customWidth="1"/>
    <col min="13094" max="13095" width="0" style="1366" hidden="1" customWidth="1"/>
    <col min="13096" max="13096" width="9.33203125" style="1366"/>
    <col min="13097" max="13097" width="14.5" style="1366" bestFit="1" customWidth="1"/>
    <col min="13098" max="13312" width="9.33203125" style="1366"/>
    <col min="13313" max="13313" width="12.1640625" style="1366" customWidth="1"/>
    <col min="13314" max="13314" width="30.83203125" style="1366" customWidth="1"/>
    <col min="13315" max="13315" width="13.83203125" style="1366" customWidth="1"/>
    <col min="13316" max="13316" width="14" style="1366" customWidth="1"/>
    <col min="13317" max="13317" width="13" style="1366" customWidth="1"/>
    <col min="13318" max="13318" width="14.6640625" style="1366" customWidth="1"/>
    <col min="13319" max="13319" width="11.83203125" style="1366" customWidth="1"/>
    <col min="13320" max="13320" width="11.6640625" style="1366" customWidth="1"/>
    <col min="13321" max="13321" width="12.5" style="1366" customWidth="1"/>
    <col min="13322" max="13322" width="11.33203125" style="1366" customWidth="1"/>
    <col min="13323" max="13323" width="17" style="1366" customWidth="1"/>
    <col min="13324" max="13324" width="12.1640625" style="1366" customWidth="1"/>
    <col min="13325" max="13330" width="13" style="1366" customWidth="1"/>
    <col min="13331" max="13331" width="13.1640625" style="1366" customWidth="1"/>
    <col min="13332" max="13332" width="15" style="1366" customWidth="1"/>
    <col min="13333" max="13333" width="12.5" style="1366" customWidth="1"/>
    <col min="13334" max="13334" width="11.6640625" style="1366" customWidth="1"/>
    <col min="13335" max="13335" width="14.1640625" style="1366" customWidth="1"/>
    <col min="13336" max="13336" width="12" style="1366" customWidth="1"/>
    <col min="13337" max="13337" width="8.5" style="1366" customWidth="1"/>
    <col min="13338" max="13338" width="10.1640625" style="1366" customWidth="1"/>
    <col min="13339" max="13339" width="10.6640625" style="1366" customWidth="1"/>
    <col min="13340" max="13340" width="8.5" style="1366" customWidth="1"/>
    <col min="13341" max="13341" width="10" style="1366" customWidth="1"/>
    <col min="13342" max="13343" width="8.5" style="1366" customWidth="1"/>
    <col min="13344" max="13344" width="10.83203125" style="1366" customWidth="1"/>
    <col min="13345" max="13345" width="9.5" style="1366" customWidth="1"/>
    <col min="13346" max="13346" width="9.33203125" style="1366" customWidth="1"/>
    <col min="13347" max="13347" width="13" style="1366" customWidth="1"/>
    <col min="13348" max="13348" width="14.5" style="1366" customWidth="1"/>
    <col min="13349" max="13349" width="12.6640625" style="1366" bestFit="1" customWidth="1"/>
    <col min="13350" max="13351" width="0" style="1366" hidden="1" customWidth="1"/>
    <col min="13352" max="13352" width="9.33203125" style="1366"/>
    <col min="13353" max="13353" width="14.5" style="1366" bestFit="1" customWidth="1"/>
    <col min="13354" max="13568" width="9.33203125" style="1366"/>
    <col min="13569" max="13569" width="12.1640625" style="1366" customWidth="1"/>
    <col min="13570" max="13570" width="30.83203125" style="1366" customWidth="1"/>
    <col min="13571" max="13571" width="13.83203125" style="1366" customWidth="1"/>
    <col min="13572" max="13572" width="14" style="1366" customWidth="1"/>
    <col min="13573" max="13573" width="13" style="1366" customWidth="1"/>
    <col min="13574" max="13574" width="14.6640625" style="1366" customWidth="1"/>
    <col min="13575" max="13575" width="11.83203125" style="1366" customWidth="1"/>
    <col min="13576" max="13576" width="11.6640625" style="1366" customWidth="1"/>
    <col min="13577" max="13577" width="12.5" style="1366" customWidth="1"/>
    <col min="13578" max="13578" width="11.33203125" style="1366" customWidth="1"/>
    <col min="13579" max="13579" width="17" style="1366" customWidth="1"/>
    <col min="13580" max="13580" width="12.1640625" style="1366" customWidth="1"/>
    <col min="13581" max="13586" width="13" style="1366" customWidth="1"/>
    <col min="13587" max="13587" width="13.1640625" style="1366" customWidth="1"/>
    <col min="13588" max="13588" width="15" style="1366" customWidth="1"/>
    <col min="13589" max="13589" width="12.5" style="1366" customWidth="1"/>
    <col min="13590" max="13590" width="11.6640625" style="1366" customWidth="1"/>
    <col min="13591" max="13591" width="14.1640625" style="1366" customWidth="1"/>
    <col min="13592" max="13592" width="12" style="1366" customWidth="1"/>
    <col min="13593" max="13593" width="8.5" style="1366" customWidth="1"/>
    <col min="13594" max="13594" width="10.1640625" style="1366" customWidth="1"/>
    <col min="13595" max="13595" width="10.6640625" style="1366" customWidth="1"/>
    <col min="13596" max="13596" width="8.5" style="1366" customWidth="1"/>
    <col min="13597" max="13597" width="10" style="1366" customWidth="1"/>
    <col min="13598" max="13599" width="8.5" style="1366" customWidth="1"/>
    <col min="13600" max="13600" width="10.83203125" style="1366" customWidth="1"/>
    <col min="13601" max="13601" width="9.5" style="1366" customWidth="1"/>
    <col min="13602" max="13602" width="9.33203125" style="1366" customWidth="1"/>
    <col min="13603" max="13603" width="13" style="1366" customWidth="1"/>
    <col min="13604" max="13604" width="14.5" style="1366" customWidth="1"/>
    <col min="13605" max="13605" width="12.6640625" style="1366" bestFit="1" customWidth="1"/>
    <col min="13606" max="13607" width="0" style="1366" hidden="1" customWidth="1"/>
    <col min="13608" max="13608" width="9.33203125" style="1366"/>
    <col min="13609" max="13609" width="14.5" style="1366" bestFit="1" customWidth="1"/>
    <col min="13610" max="13824" width="9.33203125" style="1366"/>
    <col min="13825" max="13825" width="12.1640625" style="1366" customWidth="1"/>
    <col min="13826" max="13826" width="30.83203125" style="1366" customWidth="1"/>
    <col min="13827" max="13827" width="13.83203125" style="1366" customWidth="1"/>
    <col min="13828" max="13828" width="14" style="1366" customWidth="1"/>
    <col min="13829" max="13829" width="13" style="1366" customWidth="1"/>
    <col min="13830" max="13830" width="14.6640625" style="1366" customWidth="1"/>
    <col min="13831" max="13831" width="11.83203125" style="1366" customWidth="1"/>
    <col min="13832" max="13832" width="11.6640625" style="1366" customWidth="1"/>
    <col min="13833" max="13833" width="12.5" style="1366" customWidth="1"/>
    <col min="13834" max="13834" width="11.33203125" style="1366" customWidth="1"/>
    <col min="13835" max="13835" width="17" style="1366" customWidth="1"/>
    <col min="13836" max="13836" width="12.1640625" style="1366" customWidth="1"/>
    <col min="13837" max="13842" width="13" style="1366" customWidth="1"/>
    <col min="13843" max="13843" width="13.1640625" style="1366" customWidth="1"/>
    <col min="13844" max="13844" width="15" style="1366" customWidth="1"/>
    <col min="13845" max="13845" width="12.5" style="1366" customWidth="1"/>
    <col min="13846" max="13846" width="11.6640625" style="1366" customWidth="1"/>
    <col min="13847" max="13847" width="14.1640625" style="1366" customWidth="1"/>
    <col min="13848" max="13848" width="12" style="1366" customWidth="1"/>
    <col min="13849" max="13849" width="8.5" style="1366" customWidth="1"/>
    <col min="13850" max="13850" width="10.1640625" style="1366" customWidth="1"/>
    <col min="13851" max="13851" width="10.6640625" style="1366" customWidth="1"/>
    <col min="13852" max="13852" width="8.5" style="1366" customWidth="1"/>
    <col min="13853" max="13853" width="10" style="1366" customWidth="1"/>
    <col min="13854" max="13855" width="8.5" style="1366" customWidth="1"/>
    <col min="13856" max="13856" width="10.83203125" style="1366" customWidth="1"/>
    <col min="13857" max="13857" width="9.5" style="1366" customWidth="1"/>
    <col min="13858" max="13858" width="9.33203125" style="1366" customWidth="1"/>
    <col min="13859" max="13859" width="13" style="1366" customWidth="1"/>
    <col min="13860" max="13860" width="14.5" style="1366" customWidth="1"/>
    <col min="13861" max="13861" width="12.6640625" style="1366" bestFit="1" customWidth="1"/>
    <col min="13862" max="13863" width="0" style="1366" hidden="1" customWidth="1"/>
    <col min="13864" max="13864" width="9.33203125" style="1366"/>
    <col min="13865" max="13865" width="14.5" style="1366" bestFit="1" customWidth="1"/>
    <col min="13866" max="14080" width="9.33203125" style="1366"/>
    <col min="14081" max="14081" width="12.1640625" style="1366" customWidth="1"/>
    <col min="14082" max="14082" width="30.83203125" style="1366" customWidth="1"/>
    <col min="14083" max="14083" width="13.83203125" style="1366" customWidth="1"/>
    <col min="14084" max="14084" width="14" style="1366" customWidth="1"/>
    <col min="14085" max="14085" width="13" style="1366" customWidth="1"/>
    <col min="14086" max="14086" width="14.6640625" style="1366" customWidth="1"/>
    <col min="14087" max="14087" width="11.83203125" style="1366" customWidth="1"/>
    <col min="14088" max="14088" width="11.6640625" style="1366" customWidth="1"/>
    <col min="14089" max="14089" width="12.5" style="1366" customWidth="1"/>
    <col min="14090" max="14090" width="11.33203125" style="1366" customWidth="1"/>
    <col min="14091" max="14091" width="17" style="1366" customWidth="1"/>
    <col min="14092" max="14092" width="12.1640625" style="1366" customWidth="1"/>
    <col min="14093" max="14098" width="13" style="1366" customWidth="1"/>
    <col min="14099" max="14099" width="13.1640625" style="1366" customWidth="1"/>
    <col min="14100" max="14100" width="15" style="1366" customWidth="1"/>
    <col min="14101" max="14101" width="12.5" style="1366" customWidth="1"/>
    <col min="14102" max="14102" width="11.6640625" style="1366" customWidth="1"/>
    <col min="14103" max="14103" width="14.1640625" style="1366" customWidth="1"/>
    <col min="14104" max="14104" width="12" style="1366" customWidth="1"/>
    <col min="14105" max="14105" width="8.5" style="1366" customWidth="1"/>
    <col min="14106" max="14106" width="10.1640625" style="1366" customWidth="1"/>
    <col min="14107" max="14107" width="10.6640625" style="1366" customWidth="1"/>
    <col min="14108" max="14108" width="8.5" style="1366" customWidth="1"/>
    <col min="14109" max="14109" width="10" style="1366" customWidth="1"/>
    <col min="14110" max="14111" width="8.5" style="1366" customWidth="1"/>
    <col min="14112" max="14112" width="10.83203125" style="1366" customWidth="1"/>
    <col min="14113" max="14113" width="9.5" style="1366" customWidth="1"/>
    <col min="14114" max="14114" width="9.33203125" style="1366" customWidth="1"/>
    <col min="14115" max="14115" width="13" style="1366" customWidth="1"/>
    <col min="14116" max="14116" width="14.5" style="1366" customWidth="1"/>
    <col min="14117" max="14117" width="12.6640625" style="1366" bestFit="1" customWidth="1"/>
    <col min="14118" max="14119" width="0" style="1366" hidden="1" customWidth="1"/>
    <col min="14120" max="14120" width="9.33203125" style="1366"/>
    <col min="14121" max="14121" width="14.5" style="1366" bestFit="1" customWidth="1"/>
    <col min="14122" max="14336" width="9.33203125" style="1366"/>
    <col min="14337" max="14337" width="12.1640625" style="1366" customWidth="1"/>
    <col min="14338" max="14338" width="30.83203125" style="1366" customWidth="1"/>
    <col min="14339" max="14339" width="13.83203125" style="1366" customWidth="1"/>
    <col min="14340" max="14340" width="14" style="1366" customWidth="1"/>
    <col min="14341" max="14341" width="13" style="1366" customWidth="1"/>
    <col min="14342" max="14342" width="14.6640625" style="1366" customWidth="1"/>
    <col min="14343" max="14343" width="11.83203125" style="1366" customWidth="1"/>
    <col min="14344" max="14344" width="11.6640625" style="1366" customWidth="1"/>
    <col min="14345" max="14345" width="12.5" style="1366" customWidth="1"/>
    <col min="14346" max="14346" width="11.33203125" style="1366" customWidth="1"/>
    <col min="14347" max="14347" width="17" style="1366" customWidth="1"/>
    <col min="14348" max="14348" width="12.1640625" style="1366" customWidth="1"/>
    <col min="14349" max="14354" width="13" style="1366" customWidth="1"/>
    <col min="14355" max="14355" width="13.1640625" style="1366" customWidth="1"/>
    <col min="14356" max="14356" width="15" style="1366" customWidth="1"/>
    <col min="14357" max="14357" width="12.5" style="1366" customWidth="1"/>
    <col min="14358" max="14358" width="11.6640625" style="1366" customWidth="1"/>
    <col min="14359" max="14359" width="14.1640625" style="1366" customWidth="1"/>
    <col min="14360" max="14360" width="12" style="1366" customWidth="1"/>
    <col min="14361" max="14361" width="8.5" style="1366" customWidth="1"/>
    <col min="14362" max="14362" width="10.1640625" style="1366" customWidth="1"/>
    <col min="14363" max="14363" width="10.6640625" style="1366" customWidth="1"/>
    <col min="14364" max="14364" width="8.5" style="1366" customWidth="1"/>
    <col min="14365" max="14365" width="10" style="1366" customWidth="1"/>
    <col min="14366" max="14367" width="8.5" style="1366" customWidth="1"/>
    <col min="14368" max="14368" width="10.83203125" style="1366" customWidth="1"/>
    <col min="14369" max="14369" width="9.5" style="1366" customWidth="1"/>
    <col min="14370" max="14370" width="9.33203125" style="1366" customWidth="1"/>
    <col min="14371" max="14371" width="13" style="1366" customWidth="1"/>
    <col min="14372" max="14372" width="14.5" style="1366" customWidth="1"/>
    <col min="14373" max="14373" width="12.6640625" style="1366" bestFit="1" customWidth="1"/>
    <col min="14374" max="14375" width="0" style="1366" hidden="1" customWidth="1"/>
    <col min="14376" max="14376" width="9.33203125" style="1366"/>
    <col min="14377" max="14377" width="14.5" style="1366" bestFit="1" customWidth="1"/>
    <col min="14378" max="14592" width="9.33203125" style="1366"/>
    <col min="14593" max="14593" width="12.1640625" style="1366" customWidth="1"/>
    <col min="14594" max="14594" width="30.83203125" style="1366" customWidth="1"/>
    <col min="14595" max="14595" width="13.83203125" style="1366" customWidth="1"/>
    <col min="14596" max="14596" width="14" style="1366" customWidth="1"/>
    <col min="14597" max="14597" width="13" style="1366" customWidth="1"/>
    <col min="14598" max="14598" width="14.6640625" style="1366" customWidth="1"/>
    <col min="14599" max="14599" width="11.83203125" style="1366" customWidth="1"/>
    <col min="14600" max="14600" width="11.6640625" style="1366" customWidth="1"/>
    <col min="14601" max="14601" width="12.5" style="1366" customWidth="1"/>
    <col min="14602" max="14602" width="11.33203125" style="1366" customWidth="1"/>
    <col min="14603" max="14603" width="17" style="1366" customWidth="1"/>
    <col min="14604" max="14604" width="12.1640625" style="1366" customWidth="1"/>
    <col min="14605" max="14610" width="13" style="1366" customWidth="1"/>
    <col min="14611" max="14611" width="13.1640625" style="1366" customWidth="1"/>
    <col min="14612" max="14612" width="15" style="1366" customWidth="1"/>
    <col min="14613" max="14613" width="12.5" style="1366" customWidth="1"/>
    <col min="14614" max="14614" width="11.6640625" style="1366" customWidth="1"/>
    <col min="14615" max="14615" width="14.1640625" style="1366" customWidth="1"/>
    <col min="14616" max="14616" width="12" style="1366" customWidth="1"/>
    <col min="14617" max="14617" width="8.5" style="1366" customWidth="1"/>
    <col min="14618" max="14618" width="10.1640625" style="1366" customWidth="1"/>
    <col min="14619" max="14619" width="10.6640625" style="1366" customWidth="1"/>
    <col min="14620" max="14620" width="8.5" style="1366" customWidth="1"/>
    <col min="14621" max="14621" width="10" style="1366" customWidth="1"/>
    <col min="14622" max="14623" width="8.5" style="1366" customWidth="1"/>
    <col min="14624" max="14624" width="10.83203125" style="1366" customWidth="1"/>
    <col min="14625" max="14625" width="9.5" style="1366" customWidth="1"/>
    <col min="14626" max="14626" width="9.33203125" style="1366" customWidth="1"/>
    <col min="14627" max="14627" width="13" style="1366" customWidth="1"/>
    <col min="14628" max="14628" width="14.5" style="1366" customWidth="1"/>
    <col min="14629" max="14629" width="12.6640625" style="1366" bestFit="1" customWidth="1"/>
    <col min="14630" max="14631" width="0" style="1366" hidden="1" customWidth="1"/>
    <col min="14632" max="14632" width="9.33203125" style="1366"/>
    <col min="14633" max="14633" width="14.5" style="1366" bestFit="1" customWidth="1"/>
    <col min="14634" max="14848" width="9.33203125" style="1366"/>
    <col min="14849" max="14849" width="12.1640625" style="1366" customWidth="1"/>
    <col min="14850" max="14850" width="30.83203125" style="1366" customWidth="1"/>
    <col min="14851" max="14851" width="13.83203125" style="1366" customWidth="1"/>
    <col min="14852" max="14852" width="14" style="1366" customWidth="1"/>
    <col min="14853" max="14853" width="13" style="1366" customWidth="1"/>
    <col min="14854" max="14854" width="14.6640625" style="1366" customWidth="1"/>
    <col min="14855" max="14855" width="11.83203125" style="1366" customWidth="1"/>
    <col min="14856" max="14856" width="11.6640625" style="1366" customWidth="1"/>
    <col min="14857" max="14857" width="12.5" style="1366" customWidth="1"/>
    <col min="14858" max="14858" width="11.33203125" style="1366" customWidth="1"/>
    <col min="14859" max="14859" width="17" style="1366" customWidth="1"/>
    <col min="14860" max="14860" width="12.1640625" style="1366" customWidth="1"/>
    <col min="14861" max="14866" width="13" style="1366" customWidth="1"/>
    <col min="14867" max="14867" width="13.1640625" style="1366" customWidth="1"/>
    <col min="14868" max="14868" width="15" style="1366" customWidth="1"/>
    <col min="14869" max="14869" width="12.5" style="1366" customWidth="1"/>
    <col min="14870" max="14870" width="11.6640625" style="1366" customWidth="1"/>
    <col min="14871" max="14871" width="14.1640625" style="1366" customWidth="1"/>
    <col min="14872" max="14872" width="12" style="1366" customWidth="1"/>
    <col min="14873" max="14873" width="8.5" style="1366" customWidth="1"/>
    <col min="14874" max="14874" width="10.1640625" style="1366" customWidth="1"/>
    <col min="14875" max="14875" width="10.6640625" style="1366" customWidth="1"/>
    <col min="14876" max="14876" width="8.5" style="1366" customWidth="1"/>
    <col min="14877" max="14877" width="10" style="1366" customWidth="1"/>
    <col min="14878" max="14879" width="8.5" style="1366" customWidth="1"/>
    <col min="14880" max="14880" width="10.83203125" style="1366" customWidth="1"/>
    <col min="14881" max="14881" width="9.5" style="1366" customWidth="1"/>
    <col min="14882" max="14882" width="9.33203125" style="1366" customWidth="1"/>
    <col min="14883" max="14883" width="13" style="1366" customWidth="1"/>
    <col min="14884" max="14884" width="14.5" style="1366" customWidth="1"/>
    <col min="14885" max="14885" width="12.6640625" style="1366" bestFit="1" customWidth="1"/>
    <col min="14886" max="14887" width="0" style="1366" hidden="1" customWidth="1"/>
    <col min="14888" max="14888" width="9.33203125" style="1366"/>
    <col min="14889" max="14889" width="14.5" style="1366" bestFit="1" customWidth="1"/>
    <col min="14890" max="15104" width="9.33203125" style="1366"/>
    <col min="15105" max="15105" width="12.1640625" style="1366" customWidth="1"/>
    <col min="15106" max="15106" width="30.83203125" style="1366" customWidth="1"/>
    <col min="15107" max="15107" width="13.83203125" style="1366" customWidth="1"/>
    <col min="15108" max="15108" width="14" style="1366" customWidth="1"/>
    <col min="15109" max="15109" width="13" style="1366" customWidth="1"/>
    <col min="15110" max="15110" width="14.6640625" style="1366" customWidth="1"/>
    <col min="15111" max="15111" width="11.83203125" style="1366" customWidth="1"/>
    <col min="15112" max="15112" width="11.6640625" style="1366" customWidth="1"/>
    <col min="15113" max="15113" width="12.5" style="1366" customWidth="1"/>
    <col min="15114" max="15114" width="11.33203125" style="1366" customWidth="1"/>
    <col min="15115" max="15115" width="17" style="1366" customWidth="1"/>
    <col min="15116" max="15116" width="12.1640625" style="1366" customWidth="1"/>
    <col min="15117" max="15122" width="13" style="1366" customWidth="1"/>
    <col min="15123" max="15123" width="13.1640625" style="1366" customWidth="1"/>
    <col min="15124" max="15124" width="15" style="1366" customWidth="1"/>
    <col min="15125" max="15125" width="12.5" style="1366" customWidth="1"/>
    <col min="15126" max="15126" width="11.6640625" style="1366" customWidth="1"/>
    <col min="15127" max="15127" width="14.1640625" style="1366" customWidth="1"/>
    <col min="15128" max="15128" width="12" style="1366" customWidth="1"/>
    <col min="15129" max="15129" width="8.5" style="1366" customWidth="1"/>
    <col min="15130" max="15130" width="10.1640625" style="1366" customWidth="1"/>
    <col min="15131" max="15131" width="10.6640625" style="1366" customWidth="1"/>
    <col min="15132" max="15132" width="8.5" style="1366" customWidth="1"/>
    <col min="15133" max="15133" width="10" style="1366" customWidth="1"/>
    <col min="15134" max="15135" width="8.5" style="1366" customWidth="1"/>
    <col min="15136" max="15136" width="10.83203125" style="1366" customWidth="1"/>
    <col min="15137" max="15137" width="9.5" style="1366" customWidth="1"/>
    <col min="15138" max="15138" width="9.33203125" style="1366" customWidth="1"/>
    <col min="15139" max="15139" width="13" style="1366" customWidth="1"/>
    <col min="15140" max="15140" width="14.5" style="1366" customWidth="1"/>
    <col min="15141" max="15141" width="12.6640625" style="1366" bestFit="1" customWidth="1"/>
    <col min="15142" max="15143" width="0" style="1366" hidden="1" customWidth="1"/>
    <col min="15144" max="15144" width="9.33203125" style="1366"/>
    <col min="15145" max="15145" width="14.5" style="1366" bestFit="1" customWidth="1"/>
    <col min="15146" max="15360" width="9.33203125" style="1366"/>
    <col min="15361" max="15361" width="12.1640625" style="1366" customWidth="1"/>
    <col min="15362" max="15362" width="30.83203125" style="1366" customWidth="1"/>
    <col min="15363" max="15363" width="13.83203125" style="1366" customWidth="1"/>
    <col min="15364" max="15364" width="14" style="1366" customWidth="1"/>
    <col min="15365" max="15365" width="13" style="1366" customWidth="1"/>
    <col min="15366" max="15366" width="14.6640625" style="1366" customWidth="1"/>
    <col min="15367" max="15367" width="11.83203125" style="1366" customWidth="1"/>
    <col min="15368" max="15368" width="11.6640625" style="1366" customWidth="1"/>
    <col min="15369" max="15369" width="12.5" style="1366" customWidth="1"/>
    <col min="15370" max="15370" width="11.33203125" style="1366" customWidth="1"/>
    <col min="15371" max="15371" width="17" style="1366" customWidth="1"/>
    <col min="15372" max="15372" width="12.1640625" style="1366" customWidth="1"/>
    <col min="15373" max="15378" width="13" style="1366" customWidth="1"/>
    <col min="15379" max="15379" width="13.1640625" style="1366" customWidth="1"/>
    <col min="15380" max="15380" width="15" style="1366" customWidth="1"/>
    <col min="15381" max="15381" width="12.5" style="1366" customWidth="1"/>
    <col min="15382" max="15382" width="11.6640625" style="1366" customWidth="1"/>
    <col min="15383" max="15383" width="14.1640625" style="1366" customWidth="1"/>
    <col min="15384" max="15384" width="12" style="1366" customWidth="1"/>
    <col min="15385" max="15385" width="8.5" style="1366" customWidth="1"/>
    <col min="15386" max="15386" width="10.1640625" style="1366" customWidth="1"/>
    <col min="15387" max="15387" width="10.6640625" style="1366" customWidth="1"/>
    <col min="15388" max="15388" width="8.5" style="1366" customWidth="1"/>
    <col min="15389" max="15389" width="10" style="1366" customWidth="1"/>
    <col min="15390" max="15391" width="8.5" style="1366" customWidth="1"/>
    <col min="15392" max="15392" width="10.83203125" style="1366" customWidth="1"/>
    <col min="15393" max="15393" width="9.5" style="1366" customWidth="1"/>
    <col min="15394" max="15394" width="9.33203125" style="1366" customWidth="1"/>
    <col min="15395" max="15395" width="13" style="1366" customWidth="1"/>
    <col min="15396" max="15396" width="14.5" style="1366" customWidth="1"/>
    <col min="15397" max="15397" width="12.6640625" style="1366" bestFit="1" customWidth="1"/>
    <col min="15398" max="15399" width="0" style="1366" hidden="1" customWidth="1"/>
    <col min="15400" max="15400" width="9.33203125" style="1366"/>
    <col min="15401" max="15401" width="14.5" style="1366" bestFit="1" customWidth="1"/>
    <col min="15402" max="15616" width="9.33203125" style="1366"/>
    <col min="15617" max="15617" width="12.1640625" style="1366" customWidth="1"/>
    <col min="15618" max="15618" width="30.83203125" style="1366" customWidth="1"/>
    <col min="15619" max="15619" width="13.83203125" style="1366" customWidth="1"/>
    <col min="15620" max="15620" width="14" style="1366" customWidth="1"/>
    <col min="15621" max="15621" width="13" style="1366" customWidth="1"/>
    <col min="15622" max="15622" width="14.6640625" style="1366" customWidth="1"/>
    <col min="15623" max="15623" width="11.83203125" style="1366" customWidth="1"/>
    <col min="15624" max="15624" width="11.6640625" style="1366" customWidth="1"/>
    <col min="15625" max="15625" width="12.5" style="1366" customWidth="1"/>
    <col min="15626" max="15626" width="11.33203125" style="1366" customWidth="1"/>
    <col min="15627" max="15627" width="17" style="1366" customWidth="1"/>
    <col min="15628" max="15628" width="12.1640625" style="1366" customWidth="1"/>
    <col min="15629" max="15634" width="13" style="1366" customWidth="1"/>
    <col min="15635" max="15635" width="13.1640625" style="1366" customWidth="1"/>
    <col min="15636" max="15636" width="15" style="1366" customWidth="1"/>
    <col min="15637" max="15637" width="12.5" style="1366" customWidth="1"/>
    <col min="15638" max="15638" width="11.6640625" style="1366" customWidth="1"/>
    <col min="15639" max="15639" width="14.1640625" style="1366" customWidth="1"/>
    <col min="15640" max="15640" width="12" style="1366" customWidth="1"/>
    <col min="15641" max="15641" width="8.5" style="1366" customWidth="1"/>
    <col min="15642" max="15642" width="10.1640625" style="1366" customWidth="1"/>
    <col min="15643" max="15643" width="10.6640625" style="1366" customWidth="1"/>
    <col min="15644" max="15644" width="8.5" style="1366" customWidth="1"/>
    <col min="15645" max="15645" width="10" style="1366" customWidth="1"/>
    <col min="15646" max="15647" width="8.5" style="1366" customWidth="1"/>
    <col min="15648" max="15648" width="10.83203125" style="1366" customWidth="1"/>
    <col min="15649" max="15649" width="9.5" style="1366" customWidth="1"/>
    <col min="15650" max="15650" width="9.33203125" style="1366" customWidth="1"/>
    <col min="15651" max="15651" width="13" style="1366" customWidth="1"/>
    <col min="15652" max="15652" width="14.5" style="1366" customWidth="1"/>
    <col min="15653" max="15653" width="12.6640625" style="1366" bestFit="1" customWidth="1"/>
    <col min="15654" max="15655" width="0" style="1366" hidden="1" customWidth="1"/>
    <col min="15656" max="15656" width="9.33203125" style="1366"/>
    <col min="15657" max="15657" width="14.5" style="1366" bestFit="1" customWidth="1"/>
    <col min="15658" max="15872" width="9.33203125" style="1366"/>
    <col min="15873" max="15873" width="12.1640625" style="1366" customWidth="1"/>
    <col min="15874" max="15874" width="30.83203125" style="1366" customWidth="1"/>
    <col min="15875" max="15875" width="13.83203125" style="1366" customWidth="1"/>
    <col min="15876" max="15876" width="14" style="1366" customWidth="1"/>
    <col min="15877" max="15877" width="13" style="1366" customWidth="1"/>
    <col min="15878" max="15878" width="14.6640625" style="1366" customWidth="1"/>
    <col min="15879" max="15879" width="11.83203125" style="1366" customWidth="1"/>
    <col min="15880" max="15880" width="11.6640625" style="1366" customWidth="1"/>
    <col min="15881" max="15881" width="12.5" style="1366" customWidth="1"/>
    <col min="15882" max="15882" width="11.33203125" style="1366" customWidth="1"/>
    <col min="15883" max="15883" width="17" style="1366" customWidth="1"/>
    <col min="15884" max="15884" width="12.1640625" style="1366" customWidth="1"/>
    <col min="15885" max="15890" width="13" style="1366" customWidth="1"/>
    <col min="15891" max="15891" width="13.1640625" style="1366" customWidth="1"/>
    <col min="15892" max="15892" width="15" style="1366" customWidth="1"/>
    <col min="15893" max="15893" width="12.5" style="1366" customWidth="1"/>
    <col min="15894" max="15894" width="11.6640625" style="1366" customWidth="1"/>
    <col min="15895" max="15895" width="14.1640625" style="1366" customWidth="1"/>
    <col min="15896" max="15896" width="12" style="1366" customWidth="1"/>
    <col min="15897" max="15897" width="8.5" style="1366" customWidth="1"/>
    <col min="15898" max="15898" width="10.1640625" style="1366" customWidth="1"/>
    <col min="15899" max="15899" width="10.6640625" style="1366" customWidth="1"/>
    <col min="15900" max="15900" width="8.5" style="1366" customWidth="1"/>
    <col min="15901" max="15901" width="10" style="1366" customWidth="1"/>
    <col min="15902" max="15903" width="8.5" style="1366" customWidth="1"/>
    <col min="15904" max="15904" width="10.83203125" style="1366" customWidth="1"/>
    <col min="15905" max="15905" width="9.5" style="1366" customWidth="1"/>
    <col min="15906" max="15906" width="9.33203125" style="1366" customWidth="1"/>
    <col min="15907" max="15907" width="13" style="1366" customWidth="1"/>
    <col min="15908" max="15908" width="14.5" style="1366" customWidth="1"/>
    <col min="15909" max="15909" width="12.6640625" style="1366" bestFit="1" customWidth="1"/>
    <col min="15910" max="15911" width="0" style="1366" hidden="1" customWidth="1"/>
    <col min="15912" max="15912" width="9.33203125" style="1366"/>
    <col min="15913" max="15913" width="14.5" style="1366" bestFit="1" customWidth="1"/>
    <col min="15914" max="16128" width="9.33203125" style="1366"/>
    <col min="16129" max="16129" width="12.1640625" style="1366" customWidth="1"/>
    <col min="16130" max="16130" width="30.83203125" style="1366" customWidth="1"/>
    <col min="16131" max="16131" width="13.83203125" style="1366" customWidth="1"/>
    <col min="16132" max="16132" width="14" style="1366" customWidth="1"/>
    <col min="16133" max="16133" width="13" style="1366" customWidth="1"/>
    <col min="16134" max="16134" width="14.6640625" style="1366" customWidth="1"/>
    <col min="16135" max="16135" width="11.83203125" style="1366" customWidth="1"/>
    <col min="16136" max="16136" width="11.6640625" style="1366" customWidth="1"/>
    <col min="16137" max="16137" width="12.5" style="1366" customWidth="1"/>
    <col min="16138" max="16138" width="11.33203125" style="1366" customWidth="1"/>
    <col min="16139" max="16139" width="17" style="1366" customWidth="1"/>
    <col min="16140" max="16140" width="12.1640625" style="1366" customWidth="1"/>
    <col min="16141" max="16146" width="13" style="1366" customWidth="1"/>
    <col min="16147" max="16147" width="13.1640625" style="1366" customWidth="1"/>
    <col min="16148" max="16148" width="15" style="1366" customWidth="1"/>
    <col min="16149" max="16149" width="12.5" style="1366" customWidth="1"/>
    <col min="16150" max="16150" width="11.6640625" style="1366" customWidth="1"/>
    <col min="16151" max="16151" width="14.1640625" style="1366" customWidth="1"/>
    <col min="16152" max="16152" width="12" style="1366" customWidth="1"/>
    <col min="16153" max="16153" width="8.5" style="1366" customWidth="1"/>
    <col min="16154" max="16154" width="10.1640625" style="1366" customWidth="1"/>
    <col min="16155" max="16155" width="10.6640625" style="1366" customWidth="1"/>
    <col min="16156" max="16156" width="8.5" style="1366" customWidth="1"/>
    <col min="16157" max="16157" width="10" style="1366" customWidth="1"/>
    <col min="16158" max="16159" width="8.5" style="1366" customWidth="1"/>
    <col min="16160" max="16160" width="10.83203125" style="1366" customWidth="1"/>
    <col min="16161" max="16161" width="9.5" style="1366" customWidth="1"/>
    <col min="16162" max="16162" width="9.33203125" style="1366" customWidth="1"/>
    <col min="16163" max="16163" width="13" style="1366" customWidth="1"/>
    <col min="16164" max="16164" width="14.5" style="1366" customWidth="1"/>
    <col min="16165" max="16165" width="12.6640625" style="1366" bestFit="1" customWidth="1"/>
    <col min="16166" max="16167" width="0" style="1366" hidden="1" customWidth="1"/>
    <col min="16168" max="16168" width="9.33203125" style="1366"/>
    <col min="16169" max="16169" width="14.5" style="1366" bestFit="1" customWidth="1"/>
    <col min="16170" max="16384" width="9.33203125" style="1366"/>
  </cols>
  <sheetData>
    <row r="1" spans="1:44" ht="21.75" customHeight="1" x14ac:dyDescent="0.2">
      <c r="AF1" s="2530"/>
      <c r="AG1" s="2530"/>
      <c r="AH1" s="2530"/>
      <c r="AI1" s="2530"/>
    </row>
    <row r="2" spans="1:44" ht="24" customHeight="1" x14ac:dyDescent="0.2">
      <c r="A2" s="2531" t="s">
        <v>1561</v>
      </c>
      <c r="B2" s="2531"/>
      <c r="C2" s="2531"/>
      <c r="D2" s="2531"/>
      <c r="E2" s="2531"/>
      <c r="F2" s="2531"/>
      <c r="G2" s="2531"/>
      <c r="H2" s="2531"/>
      <c r="I2" s="2531"/>
      <c r="J2" s="2531"/>
      <c r="K2" s="2531"/>
      <c r="L2" s="2531"/>
      <c r="M2" s="2531"/>
      <c r="N2" s="2531"/>
      <c r="O2" s="2531"/>
      <c r="P2" s="2531"/>
      <c r="Q2" s="2531"/>
      <c r="R2" s="2531"/>
      <c r="S2" s="2531"/>
      <c r="T2" s="2531"/>
      <c r="U2" s="2531"/>
      <c r="V2" s="2531"/>
      <c r="W2" s="2531"/>
      <c r="X2" s="2531"/>
      <c r="Y2" s="2531"/>
      <c r="Z2" s="2531"/>
      <c r="AA2" s="2531"/>
      <c r="AB2" s="2531"/>
      <c r="AC2" s="2531"/>
      <c r="AD2" s="2531"/>
      <c r="AE2" s="2531"/>
      <c r="AF2" s="2531"/>
      <c r="AG2" s="2531"/>
      <c r="AH2" s="2531"/>
      <c r="AI2" s="2531"/>
      <c r="AJ2" s="1367"/>
    </row>
    <row r="3" spans="1:44" ht="24.75" customHeight="1" x14ac:dyDescent="0.2">
      <c r="A3" s="1368"/>
      <c r="B3" s="1367"/>
      <c r="C3" s="1367"/>
      <c r="D3" s="1367"/>
      <c r="E3" s="1367"/>
      <c r="F3" s="1367"/>
      <c r="G3" s="1367"/>
      <c r="H3" s="1367"/>
      <c r="I3" s="1367"/>
      <c r="J3" s="1367"/>
      <c r="K3" s="1367"/>
      <c r="L3" s="1367"/>
      <c r="N3" s="1369"/>
      <c r="O3" s="1367"/>
      <c r="P3" s="1367"/>
      <c r="Q3" s="1367"/>
      <c r="R3" s="1367"/>
      <c r="S3" s="1367"/>
      <c r="T3" s="1367"/>
      <c r="U3" s="1367"/>
      <c r="V3" s="1367"/>
      <c r="W3" s="1370"/>
      <c r="X3" s="1367"/>
      <c r="Y3" s="1367"/>
      <c r="Z3" s="1367"/>
      <c r="AA3" s="1367"/>
      <c r="AB3" s="1367"/>
      <c r="AC3" s="1367"/>
      <c r="AD3" s="1367"/>
      <c r="AE3" s="1367"/>
      <c r="AF3" s="1367"/>
      <c r="AG3" s="1367"/>
      <c r="AH3" s="1367"/>
      <c r="AI3" s="1367"/>
      <c r="AJ3" s="1367"/>
    </row>
    <row r="4" spans="1:44" s="1491" customFormat="1" ht="15.75" x14ac:dyDescent="0.2">
      <c r="A4" s="1490"/>
      <c r="M4" s="1371">
        <v>0.29653000000000002</v>
      </c>
      <c r="N4" s="1499">
        <v>0.18303</v>
      </c>
      <c r="AI4" s="1494">
        <v>43829</v>
      </c>
    </row>
    <row r="5" spans="1:44" ht="38.25" customHeight="1" x14ac:dyDescent="0.2">
      <c r="A5" s="2519" t="s">
        <v>78</v>
      </c>
      <c r="B5" s="2519" t="s">
        <v>77</v>
      </c>
      <c r="C5" s="2519" t="s">
        <v>1536</v>
      </c>
      <c r="D5" s="2519" t="s">
        <v>3</v>
      </c>
      <c r="E5" s="2519"/>
      <c r="F5" s="2519"/>
      <c r="G5" s="2519"/>
      <c r="H5" s="2519"/>
      <c r="I5" s="2519"/>
      <c r="J5" s="2519"/>
      <c r="K5" s="2519"/>
      <c r="L5" s="2519"/>
      <c r="M5" s="2519"/>
      <c r="N5" s="2519"/>
      <c r="O5" s="2519"/>
      <c r="P5" s="2519"/>
      <c r="Q5" s="2519"/>
      <c r="R5" s="2519"/>
      <c r="S5" s="2519"/>
      <c r="T5" s="2519"/>
      <c r="U5" s="2519"/>
      <c r="V5" s="2519"/>
      <c r="W5" s="2519"/>
      <c r="X5" s="2519"/>
      <c r="Y5" s="2532" t="s">
        <v>4</v>
      </c>
      <c r="Z5" s="2533"/>
      <c r="AA5" s="2533"/>
      <c r="AB5" s="2533"/>
      <c r="AC5" s="2533"/>
      <c r="AD5" s="2533"/>
      <c r="AE5" s="2533"/>
      <c r="AF5" s="2533"/>
      <c r="AG5" s="2533"/>
      <c r="AH5" s="2533"/>
      <c r="AI5" s="2534"/>
    </row>
    <row r="6" spans="1:44" ht="60" customHeight="1" x14ac:dyDescent="0.2">
      <c r="A6" s="2519"/>
      <c r="B6" s="2519"/>
      <c r="C6" s="2519"/>
      <c r="D6" s="2518" t="s">
        <v>68</v>
      </c>
      <c r="E6" s="2518" t="s">
        <v>69</v>
      </c>
      <c r="F6" s="2518" t="s">
        <v>89</v>
      </c>
      <c r="G6" s="2518" t="s">
        <v>1</v>
      </c>
      <c r="H6" s="2518" t="s">
        <v>2</v>
      </c>
      <c r="I6" s="2518" t="s">
        <v>1537</v>
      </c>
      <c r="J6" s="2518" t="s">
        <v>70</v>
      </c>
      <c r="K6" s="2518" t="s">
        <v>61</v>
      </c>
      <c r="L6" s="2518" t="s">
        <v>27</v>
      </c>
      <c r="M6" s="2525" t="s">
        <v>65</v>
      </c>
      <c r="N6" s="2526" t="s">
        <v>86</v>
      </c>
      <c r="O6" s="2528" t="s">
        <v>1538</v>
      </c>
      <c r="P6" s="2529"/>
      <c r="Q6" s="2526" t="s">
        <v>88</v>
      </c>
      <c r="R6" s="2526" t="s">
        <v>82</v>
      </c>
      <c r="S6" s="2518" t="s">
        <v>83</v>
      </c>
      <c r="T6" s="2525" t="s">
        <v>87</v>
      </c>
      <c r="U6" s="2518" t="s">
        <v>84</v>
      </c>
      <c r="V6" s="2518" t="s">
        <v>9</v>
      </c>
      <c r="W6" s="2518" t="s">
        <v>7</v>
      </c>
      <c r="X6" s="2518" t="s">
        <v>85</v>
      </c>
      <c r="Y6" s="2519" t="s">
        <v>10</v>
      </c>
      <c r="Z6" s="2519"/>
      <c r="AA6" s="2519"/>
      <c r="AB6" s="2519" t="s">
        <v>11</v>
      </c>
      <c r="AC6" s="2519"/>
      <c r="AD6" s="2519"/>
      <c r="AE6" s="2519" t="s">
        <v>12</v>
      </c>
      <c r="AF6" s="2519"/>
      <c r="AG6" s="2519"/>
      <c r="AH6" s="2519" t="s">
        <v>13</v>
      </c>
      <c r="AI6" s="2519" t="s">
        <v>73</v>
      </c>
    </row>
    <row r="7" spans="1:44" ht="97.5" customHeight="1" x14ac:dyDescent="0.2">
      <c r="A7" s="2519"/>
      <c r="B7" s="2519"/>
      <c r="C7" s="2519"/>
      <c r="D7" s="2518"/>
      <c r="E7" s="2518"/>
      <c r="F7" s="2518"/>
      <c r="G7" s="2518"/>
      <c r="H7" s="2518"/>
      <c r="I7" s="2518"/>
      <c r="J7" s="2518"/>
      <c r="K7" s="2518"/>
      <c r="L7" s="2518"/>
      <c r="M7" s="2525" t="s">
        <v>66</v>
      </c>
      <c r="N7" s="2527"/>
      <c r="O7" s="1372" t="s">
        <v>80</v>
      </c>
      <c r="P7" s="1372" t="s">
        <v>81</v>
      </c>
      <c r="Q7" s="2527"/>
      <c r="R7" s="2527"/>
      <c r="S7" s="2518"/>
      <c r="T7" s="2525" t="s">
        <v>67</v>
      </c>
      <c r="U7" s="2518"/>
      <c r="V7" s="2518"/>
      <c r="W7" s="2518"/>
      <c r="X7" s="2518"/>
      <c r="Y7" s="1373" t="s">
        <v>5</v>
      </c>
      <c r="Z7" s="1373" t="s">
        <v>6</v>
      </c>
      <c r="AA7" s="1373" t="s">
        <v>74</v>
      </c>
      <c r="AB7" s="1373" t="s">
        <v>5</v>
      </c>
      <c r="AC7" s="1373" t="s">
        <v>6</v>
      </c>
      <c r="AD7" s="1373" t="s">
        <v>75</v>
      </c>
      <c r="AE7" s="1373" t="s">
        <v>5</v>
      </c>
      <c r="AF7" s="1373" t="s">
        <v>6</v>
      </c>
      <c r="AG7" s="1373" t="s">
        <v>76</v>
      </c>
      <c r="AH7" s="2519"/>
      <c r="AI7" s="2519"/>
      <c r="AK7" s="1366" t="s">
        <v>64</v>
      </c>
      <c r="AL7" s="1366" t="s">
        <v>62</v>
      </c>
      <c r="AM7" s="1366" t="s">
        <v>63</v>
      </c>
      <c r="AN7" s="1374" t="s">
        <v>116</v>
      </c>
      <c r="AO7" s="1374" t="s">
        <v>117</v>
      </c>
      <c r="AP7" s="1374" t="s">
        <v>118</v>
      </c>
      <c r="AQ7" s="1374" t="s">
        <v>119</v>
      </c>
    </row>
    <row r="8" spans="1:44" ht="15" x14ac:dyDescent="0.2">
      <c r="A8" s="1375">
        <v>1</v>
      </c>
      <c r="B8" s="1375">
        <v>2</v>
      </c>
      <c r="C8" s="1375">
        <v>3</v>
      </c>
      <c r="D8" s="1375">
        <v>4</v>
      </c>
      <c r="E8" s="1375">
        <v>5</v>
      </c>
      <c r="F8" s="1375">
        <v>6</v>
      </c>
      <c r="G8" s="1375">
        <v>7</v>
      </c>
      <c r="H8" s="1375">
        <v>8</v>
      </c>
      <c r="I8" s="1375">
        <v>9</v>
      </c>
      <c r="J8" s="1375">
        <v>10</v>
      </c>
      <c r="K8" s="1375">
        <v>11</v>
      </c>
      <c r="L8" s="1375">
        <v>12</v>
      </c>
      <c r="M8" s="1375">
        <v>13</v>
      </c>
      <c r="N8" s="1375">
        <v>14</v>
      </c>
      <c r="O8" s="1375">
        <v>15</v>
      </c>
      <c r="P8" s="1375">
        <v>16</v>
      </c>
      <c r="Q8" s="1375">
        <v>17</v>
      </c>
      <c r="R8" s="1375">
        <v>18</v>
      </c>
      <c r="S8" s="1375">
        <v>19</v>
      </c>
      <c r="T8" s="1375">
        <v>20</v>
      </c>
      <c r="U8" s="1375">
        <v>21</v>
      </c>
      <c r="V8" s="1375">
        <v>22</v>
      </c>
      <c r="W8" s="1375">
        <v>23</v>
      </c>
      <c r="X8" s="1375">
        <v>24</v>
      </c>
      <c r="Y8" s="1375">
        <v>25</v>
      </c>
      <c r="Z8" s="1375">
        <v>26</v>
      </c>
      <c r="AA8" s="1375">
        <v>27</v>
      </c>
      <c r="AB8" s="1375">
        <v>28</v>
      </c>
      <c r="AC8" s="1375">
        <v>29</v>
      </c>
      <c r="AD8" s="1375">
        <v>30</v>
      </c>
      <c r="AE8" s="1375">
        <v>31</v>
      </c>
      <c r="AF8" s="1375">
        <v>32</v>
      </c>
      <c r="AG8" s="1375">
        <v>33</v>
      </c>
      <c r="AH8" s="1375">
        <v>34</v>
      </c>
      <c r="AI8" s="1375">
        <v>35</v>
      </c>
      <c r="AJ8" s="1365">
        <f>W9/12/C9*1000</f>
        <v>116558.33333333299</v>
      </c>
      <c r="AK8" s="1365">
        <f>W9*1.043/C9</f>
        <v>1458.8441</v>
      </c>
      <c r="AL8" s="1365">
        <f>((979*0.302)+((AK8-979)*0.182))</f>
        <v>382.98962619999998</v>
      </c>
      <c r="AM8" s="1365">
        <f>AL8/AK8</f>
        <v>0.262529509630261</v>
      </c>
      <c r="AN8" s="1374">
        <f>1150*0.22+(AK8-1150)*0.1</f>
        <v>283.88</v>
      </c>
      <c r="AO8" s="1374">
        <f>865*0.029</f>
        <v>25.09</v>
      </c>
      <c r="AP8" s="1374">
        <f>AK8*0.053</f>
        <v>77.319999999999993</v>
      </c>
      <c r="AQ8" s="1374">
        <f>SUM(AN8:AP8)</f>
        <v>386.29</v>
      </c>
    </row>
    <row r="9" spans="1:44" s="1391" customFormat="1" ht="16.5" customHeight="1" x14ac:dyDescent="0.2">
      <c r="A9" s="1376">
        <v>1</v>
      </c>
      <c r="B9" s="1377" t="s">
        <v>14</v>
      </c>
      <c r="C9" s="1378">
        <v>1</v>
      </c>
      <c r="D9" s="1379">
        <v>20.442</v>
      </c>
      <c r="E9" s="1380">
        <f t="shared" ref="E9:E20" si="0">C9*D9</f>
        <v>20.440000000000001</v>
      </c>
      <c r="F9" s="1381">
        <f t="shared" ref="F9:F20" si="1">E9*12</f>
        <v>245.3</v>
      </c>
      <c r="G9" s="1382"/>
      <c r="H9" s="1382"/>
      <c r="I9" s="1382"/>
      <c r="J9" s="1382"/>
      <c r="K9" s="1382"/>
      <c r="L9" s="1382">
        <f>F9*0.3</f>
        <v>73.599999999999994</v>
      </c>
      <c r="M9" s="1382">
        <f>F9*$N$4+0.85</f>
        <v>45.7</v>
      </c>
      <c r="N9" s="1382">
        <f t="shared" ref="N9:N20" si="2">F9+G9+H9+I9+J9+K9+L9+M9</f>
        <v>364.6</v>
      </c>
      <c r="O9" s="1383">
        <v>0.43</v>
      </c>
      <c r="P9" s="1382">
        <f t="shared" ref="P9:P20" si="3">N9*O9</f>
        <v>156.80000000000001</v>
      </c>
      <c r="Q9" s="1382">
        <f t="shared" ref="Q9:Q20" si="4">N9+P9</f>
        <v>521.4</v>
      </c>
      <c r="R9" s="1382">
        <f t="shared" ref="R9:R20" si="5">Q9*0.8</f>
        <v>417.1</v>
      </c>
      <c r="S9" s="1382">
        <f t="shared" ref="S9:S20" si="6">Q9*0.8</f>
        <v>417.1</v>
      </c>
      <c r="T9" s="1382">
        <f t="shared" ref="T9:T20" si="7">(Q9+R9+S9)*0.032</f>
        <v>43.4</v>
      </c>
      <c r="U9" s="1382">
        <f>Q9+R9+S9+T9-0.3</f>
        <v>1398.7</v>
      </c>
      <c r="V9" s="2515">
        <v>1</v>
      </c>
      <c r="W9" s="1382">
        <f>U9*$V$9</f>
        <v>1398.7</v>
      </c>
      <c r="X9" s="1382">
        <f>AQ9</f>
        <v>377.1</v>
      </c>
      <c r="Y9" s="1376">
        <v>1</v>
      </c>
      <c r="Z9" s="1384">
        <v>30</v>
      </c>
      <c r="AA9" s="1378">
        <f t="shared" ref="AA9:AA20" si="8">Y9*Z9</f>
        <v>30</v>
      </c>
      <c r="AB9" s="1376"/>
      <c r="AC9" s="1384">
        <v>15</v>
      </c>
      <c r="AD9" s="1378">
        <f t="shared" ref="AD9:AD20" si="9">AB9*AC9</f>
        <v>0</v>
      </c>
      <c r="AE9" s="1376"/>
      <c r="AF9" s="1384">
        <v>30</v>
      </c>
      <c r="AG9" s="1378">
        <f t="shared" ref="AG9:AG20" si="10">AE9*AF9</f>
        <v>0</v>
      </c>
      <c r="AH9" s="1378">
        <f t="shared" ref="AH9:AH20" si="11">(AA9+AD9+AG9)*1%*30</f>
        <v>9</v>
      </c>
      <c r="AI9" s="1378">
        <f t="shared" ref="AI9:AI20" si="12">AA9+AD9+AG9+AH9</f>
        <v>39</v>
      </c>
      <c r="AJ9" s="1385">
        <f t="shared" ref="AJ9:AJ20" si="13">W9/12/C9*1000</f>
        <v>116558.3</v>
      </c>
      <c r="AK9" s="1386">
        <f t="shared" ref="AK9:AK20" si="14">W9/C9</f>
        <v>1398.7</v>
      </c>
      <c r="AL9" s="1387">
        <f>((979*0.302)+((AK9-979)*0.182))</f>
        <v>372</v>
      </c>
      <c r="AM9" s="1388">
        <f>AL9/AK9</f>
        <v>0.26600000000000001</v>
      </c>
      <c r="AN9" s="1389">
        <f>1150*0.22+(AK9-1150)*0.1</f>
        <v>277.89999999999998</v>
      </c>
      <c r="AO9" s="1389">
        <f>865*0.029</f>
        <v>25.1</v>
      </c>
      <c r="AP9" s="1389">
        <f>AK9*0.053</f>
        <v>74.099999999999994</v>
      </c>
      <c r="AQ9" s="1389">
        <f>SUM(AN9:AP9)</f>
        <v>377.1</v>
      </c>
      <c r="AR9" s="1390">
        <f>AQ8-AQ9</f>
        <v>9.19</v>
      </c>
    </row>
    <row r="10" spans="1:44" s="1391" customFormat="1" ht="15" x14ac:dyDescent="0.2">
      <c r="A10" s="1376">
        <v>2</v>
      </c>
      <c r="B10" s="1377" t="s">
        <v>127</v>
      </c>
      <c r="C10" s="1378">
        <v>3</v>
      </c>
      <c r="D10" s="1379">
        <v>14.308999999999999</v>
      </c>
      <c r="E10" s="1380">
        <f t="shared" si="0"/>
        <v>42.93</v>
      </c>
      <c r="F10" s="1381">
        <f t="shared" si="1"/>
        <v>515.20000000000005</v>
      </c>
      <c r="G10" s="1382"/>
      <c r="H10" s="1382"/>
      <c r="I10" s="1382"/>
      <c r="J10" s="1382"/>
      <c r="K10" s="1382"/>
      <c r="L10" s="1382">
        <f>D10*0.3*2*12</f>
        <v>103</v>
      </c>
      <c r="M10" s="1382">
        <f>F10*$N$4+2.55</f>
        <v>96.8</v>
      </c>
      <c r="N10" s="1382">
        <f t="shared" si="2"/>
        <v>715</v>
      </c>
      <c r="O10" s="1383">
        <v>0.43</v>
      </c>
      <c r="P10" s="1382">
        <f t="shared" si="3"/>
        <v>307.5</v>
      </c>
      <c r="Q10" s="1382">
        <f t="shared" si="4"/>
        <v>1022.5</v>
      </c>
      <c r="R10" s="1382">
        <f t="shared" si="5"/>
        <v>818</v>
      </c>
      <c r="S10" s="1382">
        <f t="shared" si="6"/>
        <v>818</v>
      </c>
      <c r="T10" s="1382">
        <f t="shared" si="7"/>
        <v>85.1</v>
      </c>
      <c r="U10" s="1382">
        <f t="shared" ref="U10:U20" si="15">Q10+R10+S10+T10</f>
        <v>2743.6</v>
      </c>
      <c r="V10" s="2516"/>
      <c r="W10" s="1382">
        <f t="shared" ref="W10:W19" si="16">U10*$V$9</f>
        <v>2743.6</v>
      </c>
      <c r="X10" s="1392">
        <f>W10*0.302</f>
        <v>828.6</v>
      </c>
      <c r="Y10" s="1376">
        <v>1</v>
      </c>
      <c r="Z10" s="1384">
        <v>30</v>
      </c>
      <c r="AA10" s="1378">
        <f t="shared" si="8"/>
        <v>30</v>
      </c>
      <c r="AB10" s="1376"/>
      <c r="AC10" s="1384">
        <v>15</v>
      </c>
      <c r="AD10" s="1378">
        <f t="shared" si="9"/>
        <v>0</v>
      </c>
      <c r="AE10" s="1376"/>
      <c r="AF10" s="1384">
        <v>30</v>
      </c>
      <c r="AG10" s="1378">
        <f t="shared" si="10"/>
        <v>0</v>
      </c>
      <c r="AH10" s="1378">
        <f t="shared" si="11"/>
        <v>9</v>
      </c>
      <c r="AI10" s="1378">
        <f t="shared" si="12"/>
        <v>39</v>
      </c>
      <c r="AJ10" s="1385">
        <f t="shared" si="13"/>
        <v>76211.100000000006</v>
      </c>
      <c r="AK10" s="1386">
        <f>W10/C10</f>
        <v>914.5</v>
      </c>
      <c r="AL10" s="1387">
        <f t="shared" ref="AL10:AL20" si="17">((979*0.302)+((AK10-979)*0.182))</f>
        <v>283.89999999999998</v>
      </c>
      <c r="AM10" s="1388">
        <v>0.30199999999999999</v>
      </c>
      <c r="AN10" s="1389"/>
      <c r="AO10" s="1389"/>
      <c r="AP10" s="1389"/>
      <c r="AQ10" s="1389"/>
    </row>
    <row r="11" spans="1:44" s="1404" customFormat="1" ht="30" x14ac:dyDescent="0.2">
      <c r="A11" s="1393">
        <v>3</v>
      </c>
      <c r="B11" s="1394" t="s">
        <v>1539</v>
      </c>
      <c r="C11" s="1395">
        <v>12.89</v>
      </c>
      <c r="D11" s="1396">
        <v>6.8140000000000001</v>
      </c>
      <c r="E11" s="1395">
        <f t="shared" si="0"/>
        <v>87.83</v>
      </c>
      <c r="F11" s="1397">
        <f t="shared" si="1"/>
        <v>1054</v>
      </c>
      <c r="G11" s="1397"/>
      <c r="H11" s="1397"/>
      <c r="I11" s="1397">
        <f>D11*0.15*11.4*12</f>
        <v>139.80000000000001</v>
      </c>
      <c r="J11" s="1397">
        <f>(D11*0.25*1.47+D11*0.1*1.56)*12</f>
        <v>42.8</v>
      </c>
      <c r="K11" s="1397">
        <f>F11*0.2</f>
        <v>210.8</v>
      </c>
      <c r="L11" s="1397">
        <f>D11*0.3*12.37*12</f>
        <v>303.39999999999998</v>
      </c>
      <c r="M11" s="1397">
        <f>F11*$M$4</f>
        <v>312.5</v>
      </c>
      <c r="N11" s="1397">
        <f t="shared" si="2"/>
        <v>2063.3000000000002</v>
      </c>
      <c r="O11" s="1395">
        <v>0.92</v>
      </c>
      <c r="P11" s="1397">
        <f t="shared" si="3"/>
        <v>1898.2</v>
      </c>
      <c r="Q11" s="1397">
        <f t="shared" si="4"/>
        <v>3961.5</v>
      </c>
      <c r="R11" s="1397">
        <f t="shared" si="5"/>
        <v>3169.2</v>
      </c>
      <c r="S11" s="1397">
        <f t="shared" si="6"/>
        <v>3169.2</v>
      </c>
      <c r="T11" s="1397">
        <f t="shared" si="7"/>
        <v>329.6</v>
      </c>
      <c r="U11" s="1397">
        <f t="shared" si="15"/>
        <v>10629.5</v>
      </c>
      <c r="V11" s="2516"/>
      <c r="W11" s="1397">
        <f t="shared" si="16"/>
        <v>10629.5</v>
      </c>
      <c r="X11" s="1397">
        <f>W11*0.302-17</f>
        <v>3193.1</v>
      </c>
      <c r="Y11" s="1398">
        <v>6</v>
      </c>
      <c r="Z11" s="1399">
        <v>30</v>
      </c>
      <c r="AA11" s="1395">
        <f t="shared" si="8"/>
        <v>180</v>
      </c>
      <c r="AB11" s="1398">
        <v>2</v>
      </c>
      <c r="AC11" s="1399">
        <v>15</v>
      </c>
      <c r="AD11" s="1395">
        <f t="shared" si="9"/>
        <v>30</v>
      </c>
      <c r="AE11" s="1398">
        <v>2</v>
      </c>
      <c r="AF11" s="1399">
        <v>30</v>
      </c>
      <c r="AG11" s="1395">
        <f t="shared" si="10"/>
        <v>60</v>
      </c>
      <c r="AH11" s="1395">
        <f t="shared" si="11"/>
        <v>81</v>
      </c>
      <c r="AI11" s="1395">
        <f t="shared" si="12"/>
        <v>351</v>
      </c>
      <c r="AJ11" s="1400">
        <f t="shared" si="13"/>
        <v>68719.3</v>
      </c>
      <c r="AK11" s="1401">
        <f t="shared" si="14"/>
        <v>824.6</v>
      </c>
      <c r="AL11" s="1402">
        <f t="shared" si="17"/>
        <v>267.60000000000002</v>
      </c>
      <c r="AM11" s="1403">
        <v>0.30199999999999999</v>
      </c>
    </row>
    <row r="12" spans="1:44" s="1404" customFormat="1" ht="30" x14ac:dyDescent="0.2">
      <c r="A12" s="1393">
        <v>4</v>
      </c>
      <c r="B12" s="1394" t="s">
        <v>1540</v>
      </c>
      <c r="C12" s="1395">
        <v>5.33</v>
      </c>
      <c r="D12" s="1396">
        <v>6.8140000000000001</v>
      </c>
      <c r="E12" s="1395">
        <f>C12*D12</f>
        <v>36.32</v>
      </c>
      <c r="F12" s="1397">
        <f>E12*12</f>
        <v>435.8</v>
      </c>
      <c r="G12" s="1397"/>
      <c r="H12" s="1397"/>
      <c r="I12" s="1397">
        <f>D12*0.15*3.62*12</f>
        <v>44.4</v>
      </c>
      <c r="J12" s="1397"/>
      <c r="K12" s="1397">
        <f>F12*0.15</f>
        <v>65.400000000000006</v>
      </c>
      <c r="L12" s="1397">
        <f>D12*5.33*0.3*12</f>
        <v>130.69999999999999</v>
      </c>
      <c r="M12" s="1397">
        <f>F12*$M$4</f>
        <v>129.19999999999999</v>
      </c>
      <c r="N12" s="1397">
        <f t="shared" si="2"/>
        <v>805.5</v>
      </c>
      <c r="O12" s="1395">
        <v>0.86</v>
      </c>
      <c r="P12" s="1397">
        <f>N12*O12</f>
        <v>692.7</v>
      </c>
      <c r="Q12" s="1397">
        <f>N12+P12</f>
        <v>1498.2</v>
      </c>
      <c r="R12" s="1397">
        <f>Q12*0.8</f>
        <v>1198.5999999999999</v>
      </c>
      <c r="S12" s="1397">
        <f>Q12*0.8</f>
        <v>1198.5999999999999</v>
      </c>
      <c r="T12" s="1397">
        <f>(Q12+R12+S12)*0.032</f>
        <v>124.7</v>
      </c>
      <c r="U12" s="1397">
        <f>Q12+R12+S12+T12</f>
        <v>4020.1</v>
      </c>
      <c r="V12" s="2516"/>
      <c r="W12" s="1397">
        <f>U12*$V$9</f>
        <v>4020.1</v>
      </c>
      <c r="X12" s="1397">
        <f t="shared" ref="X12:X19" si="18">W12*0.302</f>
        <v>1214.0999999999999</v>
      </c>
      <c r="Y12" s="1398"/>
      <c r="Z12" s="1399">
        <v>30</v>
      </c>
      <c r="AA12" s="1395">
        <f>Y12*Z12</f>
        <v>0</v>
      </c>
      <c r="AB12" s="1398"/>
      <c r="AC12" s="1399">
        <v>15</v>
      </c>
      <c r="AD12" s="1395">
        <f>AB12*AC12</f>
        <v>0</v>
      </c>
      <c r="AE12" s="1398"/>
      <c r="AF12" s="1399">
        <v>30</v>
      </c>
      <c r="AG12" s="1395">
        <f>AE12*AF12</f>
        <v>0</v>
      </c>
      <c r="AH12" s="1395">
        <f>(AA12+AD12+AG12)*1%*30</f>
        <v>0</v>
      </c>
      <c r="AI12" s="1395">
        <f>AA12+AD12+AG12+AH12</f>
        <v>0</v>
      </c>
      <c r="AJ12" s="1400">
        <f t="shared" si="13"/>
        <v>62853.3</v>
      </c>
      <c r="AK12" s="1401">
        <f t="shared" si="14"/>
        <v>754.2</v>
      </c>
      <c r="AL12" s="1402">
        <f t="shared" si="17"/>
        <v>254.7</v>
      </c>
      <c r="AM12" s="1403">
        <v>0.30199999999999999</v>
      </c>
    </row>
    <row r="13" spans="1:44" s="1404" customFormat="1" ht="27.75" customHeight="1" x14ac:dyDescent="0.2">
      <c r="A13" s="1393">
        <v>5</v>
      </c>
      <c r="B13" s="1394" t="s">
        <v>1541</v>
      </c>
      <c r="C13" s="1395">
        <f>19.69-C11-C12</f>
        <v>1.47</v>
      </c>
      <c r="D13" s="1396">
        <v>6.8140000000000001</v>
      </c>
      <c r="E13" s="1395">
        <f>C13*D13</f>
        <v>10.02</v>
      </c>
      <c r="F13" s="1397">
        <f>E13*12</f>
        <v>120.2</v>
      </c>
      <c r="G13" s="1397"/>
      <c r="H13" s="1397"/>
      <c r="I13" s="1397"/>
      <c r="J13" s="1397"/>
      <c r="K13" s="1397"/>
      <c r="L13" s="1397">
        <f>D13*0.2*1.47*12</f>
        <v>24</v>
      </c>
      <c r="M13" s="1397">
        <f t="shared" ref="M13" si="19">F13*$M$4</f>
        <v>35.6</v>
      </c>
      <c r="N13" s="1397">
        <f t="shared" si="2"/>
        <v>179.8</v>
      </c>
      <c r="O13" s="1395">
        <v>0.82</v>
      </c>
      <c r="P13" s="1397">
        <f>N13*O13</f>
        <v>147.4</v>
      </c>
      <c r="Q13" s="1397">
        <f>N13+P13</f>
        <v>327.2</v>
      </c>
      <c r="R13" s="1397">
        <f>Q13*0.8</f>
        <v>261.8</v>
      </c>
      <c r="S13" s="1397">
        <f>Q13*0.8</f>
        <v>261.8</v>
      </c>
      <c r="T13" s="1397">
        <f>(Q13+R13+S13)*0.032</f>
        <v>27.2</v>
      </c>
      <c r="U13" s="1397">
        <f>Q13+R13+S13+T13</f>
        <v>878</v>
      </c>
      <c r="V13" s="2516"/>
      <c r="W13" s="1397">
        <f>U13*$V$9-0.4</f>
        <v>877.6</v>
      </c>
      <c r="X13" s="1397">
        <f t="shared" si="18"/>
        <v>265</v>
      </c>
      <c r="Y13" s="1398"/>
      <c r="Z13" s="1399">
        <v>30</v>
      </c>
      <c r="AA13" s="1395">
        <f>Y13*Z13</f>
        <v>0</v>
      </c>
      <c r="AB13" s="1398"/>
      <c r="AC13" s="1399">
        <v>15</v>
      </c>
      <c r="AD13" s="1395">
        <f>AB13*AC13</f>
        <v>0</v>
      </c>
      <c r="AE13" s="1398"/>
      <c r="AF13" s="1399">
        <v>30</v>
      </c>
      <c r="AG13" s="1395">
        <f>AE13*AF13</f>
        <v>0</v>
      </c>
      <c r="AH13" s="1395">
        <f>(AA13+AD13+AG13)*1%*30</f>
        <v>0</v>
      </c>
      <c r="AI13" s="1395">
        <f>AA13+AD13+AG13+AH13</f>
        <v>0</v>
      </c>
      <c r="AJ13" s="1400">
        <f t="shared" si="13"/>
        <v>49750.6</v>
      </c>
      <c r="AK13" s="1401">
        <f t="shared" si="14"/>
        <v>597</v>
      </c>
      <c r="AL13" s="1402">
        <f t="shared" si="17"/>
        <v>226.1</v>
      </c>
      <c r="AM13" s="1403">
        <v>0.30199999999999999</v>
      </c>
    </row>
    <row r="14" spans="1:44" s="1413" customFormat="1" ht="27.75" customHeight="1" x14ac:dyDescent="0.2">
      <c r="A14" s="1376">
        <v>6</v>
      </c>
      <c r="B14" s="1405" t="s">
        <v>1542</v>
      </c>
      <c r="C14" s="1406">
        <v>1</v>
      </c>
      <c r="D14" s="1379">
        <v>3.7789999999999999</v>
      </c>
      <c r="E14" s="1406">
        <f>C14*D14</f>
        <v>3.78</v>
      </c>
      <c r="F14" s="1392">
        <f>E14*12</f>
        <v>45.4</v>
      </c>
      <c r="G14" s="1392"/>
      <c r="H14" s="1392"/>
      <c r="I14" s="1392"/>
      <c r="J14" s="1392"/>
      <c r="K14" s="1392"/>
      <c r="L14" s="1392"/>
      <c r="M14" s="1392">
        <f>F14*$N$4+0.85</f>
        <v>9.1999999999999993</v>
      </c>
      <c r="N14" s="1392">
        <f>F14+G14+H14+I14+J14+K14+L14+M14</f>
        <v>54.6</v>
      </c>
      <c r="O14" s="1406">
        <v>1.46</v>
      </c>
      <c r="P14" s="1392">
        <f>N14*O14</f>
        <v>79.7</v>
      </c>
      <c r="Q14" s="1392">
        <f>N14+P14</f>
        <v>134.30000000000001</v>
      </c>
      <c r="R14" s="1392">
        <f>Q14*0.8</f>
        <v>107.4</v>
      </c>
      <c r="S14" s="1392">
        <f>Q14*0.8</f>
        <v>107.4</v>
      </c>
      <c r="T14" s="1392">
        <f>(Q14+R14+S14)*0.032</f>
        <v>11.2</v>
      </c>
      <c r="U14" s="1392">
        <f>Q14+R14+S14+T14</f>
        <v>360.3</v>
      </c>
      <c r="V14" s="2516"/>
      <c r="W14" s="1392">
        <f>U14*$V$9</f>
        <v>360.3</v>
      </c>
      <c r="X14" s="1392">
        <f t="shared" si="18"/>
        <v>108.8</v>
      </c>
      <c r="Y14" s="1407"/>
      <c r="Z14" s="1408">
        <v>31</v>
      </c>
      <c r="AA14" s="1406">
        <f>Y14*Z14</f>
        <v>0</v>
      </c>
      <c r="AB14" s="1407"/>
      <c r="AC14" s="1408">
        <v>16</v>
      </c>
      <c r="AD14" s="1406">
        <f>AB14*AC14</f>
        <v>0</v>
      </c>
      <c r="AE14" s="1407"/>
      <c r="AF14" s="1408">
        <v>31</v>
      </c>
      <c r="AG14" s="1406">
        <f>AE14*AF14</f>
        <v>0</v>
      </c>
      <c r="AH14" s="1406">
        <f>(AA14+AD14+AG14)*1%*30</f>
        <v>0</v>
      </c>
      <c r="AI14" s="1406">
        <f>AA14+AD14+AG14+AH14</f>
        <v>0</v>
      </c>
      <c r="AJ14" s="1409">
        <f t="shared" si="13"/>
        <v>30025</v>
      </c>
      <c r="AK14" s="1410">
        <f t="shared" si="14"/>
        <v>360.3</v>
      </c>
      <c r="AL14" s="1411"/>
      <c r="AM14" s="1412"/>
    </row>
    <row r="15" spans="1:44" s="1391" customFormat="1" ht="15" x14ac:dyDescent="0.2">
      <c r="A15" s="1376">
        <v>7</v>
      </c>
      <c r="B15" s="1377" t="s">
        <v>1543</v>
      </c>
      <c r="C15" s="1380">
        <v>1</v>
      </c>
      <c r="D15" s="1379">
        <v>3.4380000000000002</v>
      </c>
      <c r="E15" s="1378">
        <f t="shared" si="0"/>
        <v>3.44</v>
      </c>
      <c r="F15" s="1382">
        <f t="shared" si="1"/>
        <v>41.3</v>
      </c>
      <c r="G15" s="1382"/>
      <c r="H15" s="1382"/>
      <c r="I15" s="1382"/>
      <c r="J15" s="1382"/>
      <c r="K15" s="1382"/>
      <c r="L15" s="1382"/>
      <c r="M15" s="1382">
        <f>26+0.85</f>
        <v>26.9</v>
      </c>
      <c r="N15" s="1382">
        <f t="shared" si="2"/>
        <v>68.2</v>
      </c>
      <c r="O15" s="1378">
        <v>1.01</v>
      </c>
      <c r="P15" s="1382">
        <f t="shared" si="3"/>
        <v>68.900000000000006</v>
      </c>
      <c r="Q15" s="1382">
        <f t="shared" si="4"/>
        <v>137.1</v>
      </c>
      <c r="R15" s="1382">
        <f t="shared" si="5"/>
        <v>109.7</v>
      </c>
      <c r="S15" s="1382">
        <f t="shared" si="6"/>
        <v>109.7</v>
      </c>
      <c r="T15" s="1382">
        <f t="shared" si="7"/>
        <v>11.4</v>
      </c>
      <c r="U15" s="1382">
        <f t="shared" si="15"/>
        <v>367.9</v>
      </c>
      <c r="V15" s="2516"/>
      <c r="W15" s="1382">
        <f t="shared" si="16"/>
        <v>367.9</v>
      </c>
      <c r="X15" s="1382">
        <f t="shared" si="18"/>
        <v>111.1</v>
      </c>
      <c r="Y15" s="1376"/>
      <c r="Z15" s="1384">
        <v>30</v>
      </c>
      <c r="AA15" s="1378">
        <f t="shared" si="8"/>
        <v>0</v>
      </c>
      <c r="AB15" s="1376"/>
      <c r="AC15" s="1384">
        <v>15</v>
      </c>
      <c r="AD15" s="1378">
        <f t="shared" si="9"/>
        <v>0</v>
      </c>
      <c r="AE15" s="1376">
        <v>1</v>
      </c>
      <c r="AF15" s="1384">
        <v>30</v>
      </c>
      <c r="AG15" s="1378">
        <f t="shared" si="10"/>
        <v>30</v>
      </c>
      <c r="AH15" s="1378">
        <f t="shared" si="11"/>
        <v>9</v>
      </c>
      <c r="AI15" s="1378">
        <f t="shared" si="12"/>
        <v>39</v>
      </c>
      <c r="AJ15" s="1385">
        <f t="shared" si="13"/>
        <v>30658.3</v>
      </c>
      <c r="AK15" s="1386">
        <f t="shared" si="14"/>
        <v>367.9</v>
      </c>
      <c r="AL15" s="1387">
        <f t="shared" si="17"/>
        <v>184.4</v>
      </c>
      <c r="AM15" s="1388">
        <v>0.30199999999999999</v>
      </c>
      <c r="AN15" s="1413"/>
      <c r="AO15" s="1413"/>
      <c r="AP15" s="1413"/>
      <c r="AQ15" s="1413"/>
    </row>
    <row r="16" spans="1:44" s="1391" customFormat="1" ht="29.25" customHeight="1" x14ac:dyDescent="0.2">
      <c r="A16" s="1376">
        <v>8</v>
      </c>
      <c r="B16" s="1377" t="s">
        <v>1544</v>
      </c>
      <c r="C16" s="1378">
        <v>3.75</v>
      </c>
      <c r="D16" s="1379">
        <v>2.6619999999999999</v>
      </c>
      <c r="E16" s="1378">
        <f t="shared" si="0"/>
        <v>9.98</v>
      </c>
      <c r="F16" s="1381">
        <f t="shared" si="1"/>
        <v>119.8</v>
      </c>
      <c r="G16" s="1382"/>
      <c r="H16" s="1382"/>
      <c r="I16" s="1382"/>
      <c r="J16" s="1382"/>
      <c r="K16" s="1382"/>
      <c r="L16" s="1382"/>
      <c r="M16" s="1382">
        <f>75+3.19</f>
        <v>78.2</v>
      </c>
      <c r="N16" s="1382">
        <f t="shared" si="2"/>
        <v>198</v>
      </c>
      <c r="O16" s="1378">
        <v>1.64</v>
      </c>
      <c r="P16" s="1382">
        <f t="shared" si="3"/>
        <v>324.7</v>
      </c>
      <c r="Q16" s="1382">
        <f t="shared" si="4"/>
        <v>522.70000000000005</v>
      </c>
      <c r="R16" s="1382">
        <f t="shared" si="5"/>
        <v>418.2</v>
      </c>
      <c r="S16" s="1382">
        <f t="shared" si="6"/>
        <v>418.2</v>
      </c>
      <c r="T16" s="1382">
        <f t="shared" si="7"/>
        <v>43.5</v>
      </c>
      <c r="U16" s="1382">
        <f t="shared" si="15"/>
        <v>1402.6</v>
      </c>
      <c r="V16" s="2516"/>
      <c r="W16" s="1382">
        <f t="shared" si="16"/>
        <v>1402.6</v>
      </c>
      <c r="X16" s="1382">
        <f t="shared" si="18"/>
        <v>423.6</v>
      </c>
      <c r="Y16" s="1376">
        <v>2</v>
      </c>
      <c r="Z16" s="1384">
        <v>30</v>
      </c>
      <c r="AA16" s="1378">
        <f t="shared" si="8"/>
        <v>60</v>
      </c>
      <c r="AB16" s="1376"/>
      <c r="AC16" s="1384">
        <v>15</v>
      </c>
      <c r="AD16" s="1378">
        <f t="shared" si="9"/>
        <v>0</v>
      </c>
      <c r="AE16" s="1376"/>
      <c r="AF16" s="1384">
        <v>30</v>
      </c>
      <c r="AG16" s="1378">
        <f t="shared" si="10"/>
        <v>0</v>
      </c>
      <c r="AH16" s="1378">
        <f t="shared" si="11"/>
        <v>18</v>
      </c>
      <c r="AI16" s="1378">
        <f t="shared" si="12"/>
        <v>78</v>
      </c>
      <c r="AJ16" s="1385">
        <f t="shared" si="13"/>
        <v>31168.9</v>
      </c>
      <c r="AK16" s="1386">
        <f t="shared" si="14"/>
        <v>374</v>
      </c>
      <c r="AL16" s="1387">
        <f t="shared" si="17"/>
        <v>185.5</v>
      </c>
      <c r="AM16" s="1388">
        <v>0.30199999999999999</v>
      </c>
      <c r="AN16" s="1413"/>
      <c r="AO16" s="1413"/>
      <c r="AP16" s="1413"/>
      <c r="AQ16" s="1413"/>
    </row>
    <row r="17" spans="1:44" s="1391" customFormat="1" ht="28.5" customHeight="1" x14ac:dyDescent="0.2">
      <c r="A17" s="1376">
        <v>9</v>
      </c>
      <c r="B17" s="1377" t="s">
        <v>1545</v>
      </c>
      <c r="C17" s="1378">
        <v>1</v>
      </c>
      <c r="D17" s="1379">
        <v>2.6619999999999999</v>
      </c>
      <c r="E17" s="1378">
        <f t="shared" si="0"/>
        <v>2.66</v>
      </c>
      <c r="F17" s="1381">
        <f t="shared" si="1"/>
        <v>31.9</v>
      </c>
      <c r="G17" s="1382"/>
      <c r="H17" s="1382"/>
      <c r="I17" s="1382"/>
      <c r="J17" s="1382"/>
      <c r="K17" s="1382"/>
      <c r="L17" s="1382"/>
      <c r="M17" s="1382">
        <f>9.5+0.85</f>
        <v>10.4</v>
      </c>
      <c r="N17" s="1382">
        <f t="shared" si="2"/>
        <v>42.3</v>
      </c>
      <c r="O17" s="1378">
        <v>1.64</v>
      </c>
      <c r="P17" s="1382">
        <f t="shared" si="3"/>
        <v>69.400000000000006</v>
      </c>
      <c r="Q17" s="1382">
        <f t="shared" si="4"/>
        <v>111.7</v>
      </c>
      <c r="R17" s="1382">
        <f t="shared" si="5"/>
        <v>89.4</v>
      </c>
      <c r="S17" s="1382">
        <f t="shared" si="6"/>
        <v>89.4</v>
      </c>
      <c r="T17" s="1382">
        <f t="shared" si="7"/>
        <v>9.3000000000000007</v>
      </c>
      <c r="U17" s="1382">
        <f t="shared" si="15"/>
        <v>299.8</v>
      </c>
      <c r="V17" s="2516"/>
      <c r="W17" s="1382">
        <f t="shared" si="16"/>
        <v>299.8</v>
      </c>
      <c r="X17" s="1382">
        <f t="shared" si="18"/>
        <v>90.5</v>
      </c>
      <c r="Y17" s="1376">
        <v>1</v>
      </c>
      <c r="Z17" s="1384">
        <v>30</v>
      </c>
      <c r="AA17" s="1378">
        <f t="shared" si="8"/>
        <v>30</v>
      </c>
      <c r="AB17" s="1376">
        <v>1</v>
      </c>
      <c r="AC17" s="1384">
        <v>15</v>
      </c>
      <c r="AD17" s="1378">
        <f t="shared" si="9"/>
        <v>15</v>
      </c>
      <c r="AE17" s="1376">
        <v>1</v>
      </c>
      <c r="AF17" s="1384">
        <v>30</v>
      </c>
      <c r="AG17" s="1378">
        <f t="shared" si="10"/>
        <v>30</v>
      </c>
      <c r="AH17" s="1378">
        <f t="shared" si="11"/>
        <v>22.5</v>
      </c>
      <c r="AI17" s="1378">
        <f t="shared" si="12"/>
        <v>97.5</v>
      </c>
      <c r="AJ17" s="1385">
        <f t="shared" si="13"/>
        <v>24983.3</v>
      </c>
      <c r="AK17" s="1386">
        <f t="shared" si="14"/>
        <v>299.8</v>
      </c>
      <c r="AL17" s="1387">
        <f t="shared" si="17"/>
        <v>172</v>
      </c>
      <c r="AM17" s="1388">
        <v>0.30199999999999999</v>
      </c>
      <c r="AN17" s="1413"/>
      <c r="AO17" s="1413"/>
      <c r="AP17" s="1413"/>
      <c r="AQ17" s="1413"/>
    </row>
    <row r="18" spans="1:44" s="1391" customFormat="1" ht="15.75" customHeight="1" x14ac:dyDescent="0.2">
      <c r="A18" s="1376">
        <v>10</v>
      </c>
      <c r="B18" s="1377" t="s">
        <v>1546</v>
      </c>
      <c r="C18" s="1378">
        <v>5</v>
      </c>
      <c r="D18" s="1379">
        <v>2.6619999999999999</v>
      </c>
      <c r="E18" s="1378">
        <f t="shared" si="0"/>
        <v>13.31</v>
      </c>
      <c r="F18" s="1381">
        <f t="shared" si="1"/>
        <v>159.69999999999999</v>
      </c>
      <c r="G18" s="1382">
        <f>17625.2/1000</f>
        <v>17.600000000000001</v>
      </c>
      <c r="H18" s="1392">
        <f>5778.8/1000</f>
        <v>5.8</v>
      </c>
      <c r="I18" s="1382"/>
      <c r="J18" s="1382"/>
      <c r="K18" s="1382"/>
      <c r="L18" s="1382"/>
      <c r="M18" s="1382">
        <f>73+0.85</f>
        <v>73.900000000000006</v>
      </c>
      <c r="N18" s="1382">
        <f t="shared" si="2"/>
        <v>257</v>
      </c>
      <c r="O18" s="1378">
        <v>1.64</v>
      </c>
      <c r="P18" s="1382">
        <f t="shared" si="3"/>
        <v>421.5</v>
      </c>
      <c r="Q18" s="1382">
        <f t="shared" si="4"/>
        <v>678.5</v>
      </c>
      <c r="R18" s="1382">
        <f t="shared" si="5"/>
        <v>542.79999999999995</v>
      </c>
      <c r="S18" s="1382">
        <f t="shared" si="6"/>
        <v>542.79999999999995</v>
      </c>
      <c r="T18" s="1382">
        <f t="shared" si="7"/>
        <v>56.5</v>
      </c>
      <c r="U18" s="1382">
        <f t="shared" si="15"/>
        <v>1820.6</v>
      </c>
      <c r="V18" s="2516"/>
      <c r="W18" s="1382">
        <f t="shared" si="16"/>
        <v>1820.6</v>
      </c>
      <c r="X18" s="1382">
        <f t="shared" si="18"/>
        <v>549.79999999999995</v>
      </c>
      <c r="Y18" s="1376">
        <v>2</v>
      </c>
      <c r="Z18" s="1384">
        <v>30</v>
      </c>
      <c r="AA18" s="1378">
        <f t="shared" si="8"/>
        <v>60</v>
      </c>
      <c r="AB18" s="1376"/>
      <c r="AC18" s="1384">
        <v>15</v>
      </c>
      <c r="AD18" s="1378">
        <f t="shared" si="9"/>
        <v>0</v>
      </c>
      <c r="AE18" s="1376"/>
      <c r="AF18" s="1384">
        <v>30</v>
      </c>
      <c r="AG18" s="1378">
        <f t="shared" si="10"/>
        <v>0</v>
      </c>
      <c r="AH18" s="1378">
        <f t="shared" si="11"/>
        <v>18</v>
      </c>
      <c r="AI18" s="1378">
        <f t="shared" si="12"/>
        <v>78</v>
      </c>
      <c r="AJ18" s="1385">
        <f t="shared" si="13"/>
        <v>30343.3</v>
      </c>
      <c r="AK18" s="1386">
        <f t="shared" si="14"/>
        <v>364.1</v>
      </c>
      <c r="AL18" s="1387">
        <f t="shared" si="17"/>
        <v>183.7</v>
      </c>
      <c r="AM18" s="1388">
        <v>0.30199999999999999</v>
      </c>
      <c r="AN18" s="1413"/>
      <c r="AO18" s="1413"/>
      <c r="AP18" s="1413"/>
      <c r="AQ18" s="1413"/>
    </row>
    <row r="19" spans="1:44" s="1391" customFormat="1" ht="15" x14ac:dyDescent="0.2">
      <c r="A19" s="1376">
        <v>11</v>
      </c>
      <c r="B19" s="1377" t="s">
        <v>1547</v>
      </c>
      <c r="C19" s="1378">
        <v>1</v>
      </c>
      <c r="D19" s="1379">
        <v>2.6619999999999999</v>
      </c>
      <c r="E19" s="1378">
        <f t="shared" si="0"/>
        <v>2.66</v>
      </c>
      <c r="F19" s="1381">
        <f t="shared" si="1"/>
        <v>31.9</v>
      </c>
      <c r="G19" s="1392"/>
      <c r="H19" s="1392"/>
      <c r="I19" s="1382"/>
      <c r="J19" s="1382"/>
      <c r="K19" s="1382"/>
      <c r="L19" s="1382"/>
      <c r="M19" s="1382">
        <f>20+0.85</f>
        <v>20.9</v>
      </c>
      <c r="N19" s="1382">
        <f t="shared" si="2"/>
        <v>52.8</v>
      </c>
      <c r="O19" s="1378">
        <v>1.64</v>
      </c>
      <c r="P19" s="1382">
        <f t="shared" si="3"/>
        <v>86.6</v>
      </c>
      <c r="Q19" s="1382">
        <f t="shared" si="4"/>
        <v>139.4</v>
      </c>
      <c r="R19" s="1382">
        <f t="shared" si="5"/>
        <v>111.5</v>
      </c>
      <c r="S19" s="1382">
        <f t="shared" si="6"/>
        <v>111.5</v>
      </c>
      <c r="T19" s="1382">
        <f t="shared" si="7"/>
        <v>11.6</v>
      </c>
      <c r="U19" s="1382">
        <f t="shared" si="15"/>
        <v>374</v>
      </c>
      <c r="V19" s="2516"/>
      <c r="W19" s="1382">
        <f t="shared" si="16"/>
        <v>374</v>
      </c>
      <c r="X19" s="1382">
        <f t="shared" si="18"/>
        <v>112.9</v>
      </c>
      <c r="Y19" s="1376"/>
      <c r="Z19" s="1384">
        <v>30</v>
      </c>
      <c r="AA19" s="1378">
        <f t="shared" si="8"/>
        <v>0</v>
      </c>
      <c r="AB19" s="1376"/>
      <c r="AC19" s="1384">
        <v>15</v>
      </c>
      <c r="AD19" s="1378">
        <f t="shared" si="9"/>
        <v>0</v>
      </c>
      <c r="AE19" s="1376"/>
      <c r="AF19" s="1384">
        <v>30</v>
      </c>
      <c r="AG19" s="1378">
        <f t="shared" si="10"/>
        <v>0</v>
      </c>
      <c r="AH19" s="1378">
        <f t="shared" si="11"/>
        <v>0</v>
      </c>
      <c r="AI19" s="1378">
        <f t="shared" si="12"/>
        <v>0</v>
      </c>
      <c r="AJ19" s="1385">
        <f t="shared" si="13"/>
        <v>31166.7</v>
      </c>
      <c r="AK19" s="1386">
        <f t="shared" si="14"/>
        <v>374</v>
      </c>
      <c r="AL19" s="1387">
        <f t="shared" si="17"/>
        <v>185.5</v>
      </c>
      <c r="AM19" s="1388">
        <v>0.30199999999999999</v>
      </c>
    </row>
    <row r="20" spans="1:44" s="1391" customFormat="1" ht="15" x14ac:dyDescent="0.2">
      <c r="A20" s="1376">
        <v>12</v>
      </c>
      <c r="B20" s="1377" t="s">
        <v>1548</v>
      </c>
      <c r="C20" s="1378">
        <v>1</v>
      </c>
      <c r="D20" s="1379">
        <v>2.6619999999999999</v>
      </c>
      <c r="E20" s="1378">
        <f t="shared" si="0"/>
        <v>2.66</v>
      </c>
      <c r="F20" s="1381">
        <f t="shared" si="1"/>
        <v>31.9</v>
      </c>
      <c r="G20" s="1382"/>
      <c r="H20" s="1382"/>
      <c r="I20" s="1382"/>
      <c r="J20" s="1382"/>
      <c r="K20" s="1382"/>
      <c r="L20" s="1382"/>
      <c r="M20" s="1382">
        <f>20+0.85</f>
        <v>20.9</v>
      </c>
      <c r="N20" s="1382">
        <f t="shared" si="2"/>
        <v>52.8</v>
      </c>
      <c r="O20" s="1378">
        <v>1.64</v>
      </c>
      <c r="P20" s="1382">
        <f t="shared" si="3"/>
        <v>86.6</v>
      </c>
      <c r="Q20" s="1382">
        <f t="shared" si="4"/>
        <v>139.4</v>
      </c>
      <c r="R20" s="1382">
        <f t="shared" si="5"/>
        <v>111.5</v>
      </c>
      <c r="S20" s="1382">
        <f t="shared" si="6"/>
        <v>111.5</v>
      </c>
      <c r="T20" s="1382">
        <f t="shared" si="7"/>
        <v>11.6</v>
      </c>
      <c r="U20" s="1382">
        <f t="shared" si="15"/>
        <v>374</v>
      </c>
      <c r="V20" s="2517"/>
      <c r="W20" s="1382">
        <f>U20*$V$9+0.1</f>
        <v>374.1</v>
      </c>
      <c r="X20" s="1382">
        <f>W20*0.302+0.7</f>
        <v>113.7</v>
      </c>
      <c r="Y20" s="1376">
        <v>1</v>
      </c>
      <c r="Z20" s="1384">
        <v>30</v>
      </c>
      <c r="AA20" s="1378">
        <f t="shared" si="8"/>
        <v>30</v>
      </c>
      <c r="AB20" s="1376"/>
      <c r="AC20" s="1384">
        <v>15</v>
      </c>
      <c r="AD20" s="1378">
        <f t="shared" si="9"/>
        <v>0</v>
      </c>
      <c r="AE20" s="1376"/>
      <c r="AF20" s="1384">
        <v>30</v>
      </c>
      <c r="AG20" s="1378">
        <f t="shared" si="10"/>
        <v>0</v>
      </c>
      <c r="AH20" s="1378">
        <f t="shared" si="11"/>
        <v>9</v>
      </c>
      <c r="AI20" s="1378">
        <f t="shared" si="12"/>
        <v>39</v>
      </c>
      <c r="AJ20" s="1385">
        <f t="shared" si="13"/>
        <v>31175</v>
      </c>
      <c r="AK20" s="1386">
        <f t="shared" si="14"/>
        <v>374.1</v>
      </c>
      <c r="AL20" s="1387">
        <f t="shared" si="17"/>
        <v>185.6</v>
      </c>
      <c r="AM20" s="1388">
        <v>0.30199999999999999</v>
      </c>
    </row>
    <row r="21" spans="1:44" s="1416" customFormat="1" ht="20.25" customHeight="1" x14ac:dyDescent="0.2">
      <c r="A21" s="2524" t="s">
        <v>8</v>
      </c>
      <c r="B21" s="2524"/>
      <c r="C21" s="1414">
        <f>SUM(C9:C20)</f>
        <v>37.44</v>
      </c>
      <c r="D21" s="1414">
        <f t="shared" ref="D21:AI21" si="20">SUM(D9:D20)</f>
        <v>75.72</v>
      </c>
      <c r="E21" s="1414">
        <f t="shared" si="20"/>
        <v>236.03</v>
      </c>
      <c r="F21" s="1415">
        <f t="shared" si="20"/>
        <v>2832.4</v>
      </c>
      <c r="G21" s="1415">
        <f t="shared" si="20"/>
        <v>17.600000000000001</v>
      </c>
      <c r="H21" s="1415">
        <f t="shared" si="20"/>
        <v>5.8</v>
      </c>
      <c r="I21" s="1415">
        <f t="shared" si="20"/>
        <v>184.2</v>
      </c>
      <c r="J21" s="1415">
        <f t="shared" si="20"/>
        <v>42.8</v>
      </c>
      <c r="K21" s="1415">
        <f t="shared" si="20"/>
        <v>276.2</v>
      </c>
      <c r="L21" s="1415">
        <f t="shared" si="20"/>
        <v>634.70000000000005</v>
      </c>
      <c r="M21" s="1415">
        <f t="shared" si="20"/>
        <v>860.2</v>
      </c>
      <c r="N21" s="1415">
        <f t="shared" si="20"/>
        <v>4853.8999999999996</v>
      </c>
      <c r="O21" s="1414"/>
      <c r="P21" s="1415">
        <f t="shared" si="20"/>
        <v>4340</v>
      </c>
      <c r="Q21" s="1415">
        <f t="shared" si="20"/>
        <v>9193.9</v>
      </c>
      <c r="R21" s="1415">
        <f t="shared" si="20"/>
        <v>7355.2</v>
      </c>
      <c r="S21" s="1415">
        <f t="shared" si="20"/>
        <v>7355.2</v>
      </c>
      <c r="T21" s="1415">
        <f t="shared" si="20"/>
        <v>765.1</v>
      </c>
      <c r="U21" s="1415">
        <f t="shared" si="20"/>
        <v>24669.1</v>
      </c>
      <c r="V21" s="1414">
        <f t="shared" si="20"/>
        <v>1</v>
      </c>
      <c r="W21" s="1415">
        <f t="shared" si="20"/>
        <v>24668.799999999999</v>
      </c>
      <c r="X21" s="1415">
        <f t="shared" si="20"/>
        <v>7388.3</v>
      </c>
      <c r="Y21" s="1414">
        <f>SUM(Y9:Y20)</f>
        <v>14</v>
      </c>
      <c r="Z21" s="1414"/>
      <c r="AA21" s="1414">
        <f t="shared" si="20"/>
        <v>420</v>
      </c>
      <c r="AB21" s="1414">
        <f t="shared" si="20"/>
        <v>3</v>
      </c>
      <c r="AC21" s="1414"/>
      <c r="AD21" s="1414">
        <f t="shared" si="20"/>
        <v>45</v>
      </c>
      <c r="AE21" s="1414">
        <f t="shared" si="20"/>
        <v>4</v>
      </c>
      <c r="AF21" s="1414"/>
      <c r="AG21" s="1414">
        <f t="shared" si="20"/>
        <v>120</v>
      </c>
      <c r="AH21" s="1414">
        <f t="shared" si="20"/>
        <v>175.5</v>
      </c>
      <c r="AI21" s="1414">
        <f t="shared" si="20"/>
        <v>760.5</v>
      </c>
      <c r="AN21" s="1365"/>
      <c r="AO21" s="1365"/>
      <c r="AP21" s="1365"/>
      <c r="AQ21" s="1365"/>
    </row>
    <row r="22" spans="1:44" s="1418" customFormat="1" ht="15.75" x14ac:dyDescent="0.2">
      <c r="A22" s="1417"/>
      <c r="C22" s="1419"/>
      <c r="U22" s="1420"/>
      <c r="V22" s="1420"/>
      <c r="W22" s="1492"/>
      <c r="X22" s="1493"/>
      <c r="AN22" s="1421"/>
      <c r="AO22" s="1421"/>
      <c r="AP22" s="1421"/>
      <c r="AQ22" s="1421"/>
    </row>
    <row r="23" spans="1:44" s="1418" customFormat="1" ht="15.75" x14ac:dyDescent="0.2">
      <c r="A23" s="1417"/>
      <c r="U23" s="1420"/>
      <c r="V23" s="1420"/>
      <c r="X23" s="1422"/>
      <c r="AN23" s="1421"/>
      <c r="AO23" s="1421"/>
      <c r="AP23" s="1421"/>
      <c r="AQ23" s="1421"/>
    </row>
    <row r="24" spans="1:44" s="1418" customFormat="1" ht="33.75" customHeight="1" x14ac:dyDescent="0.2">
      <c r="A24" s="1423"/>
      <c r="B24" s="1423"/>
      <c r="C24" s="2511" t="s">
        <v>140</v>
      </c>
      <c r="D24" s="2511"/>
      <c r="E24" s="2511" t="s">
        <v>141</v>
      </c>
      <c r="F24" s="2511"/>
      <c r="G24" s="2512" t="s">
        <v>128</v>
      </c>
      <c r="H24" s="2512"/>
      <c r="J24" s="1424"/>
      <c r="K24" s="2513" t="s">
        <v>1549</v>
      </c>
      <c r="L24" s="2514"/>
      <c r="M24" s="2513" t="s">
        <v>1550</v>
      </c>
      <c r="N24" s="2514"/>
      <c r="O24" s="2521" t="s">
        <v>1551</v>
      </c>
      <c r="P24" s="2523"/>
      <c r="Q24" s="2521" t="s">
        <v>1559</v>
      </c>
      <c r="R24" s="2522"/>
      <c r="S24" s="2523"/>
      <c r="T24" s="2521" t="s">
        <v>197</v>
      </c>
      <c r="U24" s="2523"/>
      <c r="W24" s="1425"/>
      <c r="X24" s="1425"/>
      <c r="AN24" s="1421"/>
      <c r="AO24" s="1421"/>
      <c r="AP24" s="1421"/>
      <c r="AQ24" s="1421"/>
    </row>
    <row r="25" spans="1:44" s="1432" customFormat="1" ht="15" x14ac:dyDescent="0.2">
      <c r="A25" s="1426"/>
      <c r="B25" s="1426"/>
      <c r="C25" s="1427">
        <v>991</v>
      </c>
      <c r="D25" s="1427">
        <v>992</v>
      </c>
      <c r="E25" s="1427">
        <v>991</v>
      </c>
      <c r="F25" s="1427">
        <v>992</v>
      </c>
      <c r="G25" s="1427">
        <v>991</v>
      </c>
      <c r="H25" s="1427">
        <v>992</v>
      </c>
      <c r="I25" s="1428"/>
      <c r="J25" s="1429"/>
      <c r="K25" s="1430">
        <v>991</v>
      </c>
      <c r="L25" s="1430">
        <v>992</v>
      </c>
      <c r="M25" s="1430">
        <v>991</v>
      </c>
      <c r="N25" s="1431">
        <v>992</v>
      </c>
      <c r="O25" s="1431">
        <v>991</v>
      </c>
      <c r="P25" s="1431">
        <v>992</v>
      </c>
      <c r="Q25" s="1431">
        <v>991</v>
      </c>
      <c r="R25" s="1431">
        <v>992</v>
      </c>
      <c r="S25" s="1497">
        <v>911</v>
      </c>
      <c r="T25" s="1431">
        <v>991</v>
      </c>
      <c r="U25" s="1431">
        <v>992</v>
      </c>
      <c r="W25" s="1429"/>
      <c r="X25" s="1429"/>
      <c r="Y25" s="1429"/>
      <c r="Z25" s="1429"/>
      <c r="AA25" s="1429"/>
      <c r="AB25" s="1429"/>
      <c r="AC25" s="1429"/>
      <c r="AD25" s="1429"/>
      <c r="AE25" s="1429"/>
      <c r="AF25" s="1429"/>
      <c r="AG25" s="1429"/>
      <c r="AH25" s="1429"/>
      <c r="AI25" s="1429"/>
      <c r="AJ25" s="1374"/>
      <c r="AN25" s="1366"/>
      <c r="AO25" s="1366"/>
      <c r="AP25" s="1366"/>
      <c r="AQ25" s="1366"/>
    </row>
    <row r="26" spans="1:44" s="1432" customFormat="1" ht="15" x14ac:dyDescent="0.2">
      <c r="A26" s="1426"/>
      <c r="B26" s="1426"/>
      <c r="C26" s="1433">
        <v>22761.599999999999</v>
      </c>
      <c r="D26" s="1434">
        <v>6817.3</v>
      </c>
      <c r="E26" s="1435">
        <f>W21</f>
        <v>24668.799999999999</v>
      </c>
      <c r="F26" s="1435">
        <f>X21</f>
        <v>7388.3</v>
      </c>
      <c r="G26" s="1435">
        <f>C26-E26</f>
        <v>-1907.2</v>
      </c>
      <c r="H26" s="1435">
        <f>D26-F26</f>
        <v>-571</v>
      </c>
      <c r="I26" s="1428"/>
      <c r="J26" s="1429"/>
      <c r="K26" s="1436">
        <f>W11+W12+W13</f>
        <v>15527.2</v>
      </c>
      <c r="L26" s="1436">
        <f>X11+X12+X13</f>
        <v>4672.2</v>
      </c>
      <c r="M26" s="1437">
        <f>V13</f>
        <v>0</v>
      </c>
      <c r="N26" s="1436">
        <v>0</v>
      </c>
      <c r="O26" s="1436">
        <f>W21-K26</f>
        <v>9141.6</v>
      </c>
      <c r="P26" s="1436">
        <f>X21-L26</f>
        <v>2716.1</v>
      </c>
      <c r="Q26" s="1436">
        <f>K26+M26+O26</f>
        <v>24668.799999999999</v>
      </c>
      <c r="R26" s="1436">
        <f>L26+N26+P26</f>
        <v>7388.3</v>
      </c>
      <c r="S26" s="1498">
        <f>AI21</f>
        <v>760.5</v>
      </c>
      <c r="T26" s="1436">
        <f>W21-Q26</f>
        <v>0</v>
      </c>
      <c r="U26" s="1436">
        <f>X21-R26</f>
        <v>0</v>
      </c>
      <c r="W26" s="1429"/>
      <c r="X26" s="1429"/>
      <c r="Y26" s="1429"/>
      <c r="Z26" s="1429"/>
      <c r="AA26" s="1429"/>
      <c r="AB26" s="1429"/>
      <c r="AC26" s="1429"/>
      <c r="AD26" s="1429"/>
      <c r="AE26" s="1429"/>
      <c r="AF26" s="1429"/>
      <c r="AG26" s="1429"/>
      <c r="AH26" s="1429"/>
      <c r="AI26" s="1429"/>
      <c r="AJ26" s="1374"/>
      <c r="AN26" s="1366"/>
      <c r="AO26" s="1366"/>
      <c r="AP26" s="1366"/>
      <c r="AQ26" s="1366"/>
    </row>
    <row r="27" spans="1:44" s="1432" customFormat="1" ht="15" x14ac:dyDescent="0.2">
      <c r="A27" s="1426"/>
      <c r="B27" s="1426"/>
      <c r="C27" s="1438"/>
      <c r="D27" s="1439"/>
      <c r="E27" s="1439"/>
      <c r="F27" s="1439"/>
      <c r="G27" s="1439"/>
      <c r="H27" s="1428"/>
      <c r="I27" s="1428"/>
      <c r="J27" s="1429"/>
      <c r="K27" s="1424"/>
      <c r="L27" s="1418"/>
      <c r="M27" s="1418"/>
      <c r="N27" s="1418"/>
      <c r="O27" s="1418"/>
      <c r="P27" s="1418"/>
      <c r="Q27" s="1418"/>
      <c r="R27" s="1418"/>
      <c r="S27" s="1418"/>
      <c r="T27" s="1418"/>
      <c r="U27" s="1429"/>
      <c r="V27" s="1429"/>
      <c r="W27" s="1429"/>
      <c r="X27" s="1429"/>
      <c r="Y27" s="1429"/>
      <c r="Z27" s="1429"/>
      <c r="AA27" s="1429"/>
      <c r="AB27" s="1429"/>
      <c r="AC27" s="1429"/>
      <c r="AD27" s="1429"/>
      <c r="AE27" s="1429"/>
      <c r="AF27" s="1429"/>
      <c r="AG27" s="1429"/>
      <c r="AH27" s="1429"/>
      <c r="AI27" s="1429"/>
      <c r="AJ27" s="1374"/>
      <c r="AN27" s="1366"/>
      <c r="AO27" s="1366"/>
      <c r="AP27" s="1366"/>
      <c r="AQ27" s="1366"/>
    </row>
    <row r="28" spans="1:44" s="1432" customFormat="1" ht="15" x14ac:dyDescent="0.2">
      <c r="A28" s="1426"/>
      <c r="B28" s="1426"/>
      <c r="C28" s="1438"/>
      <c r="D28" s="1439"/>
      <c r="E28" s="1439"/>
      <c r="F28" s="1439"/>
      <c r="G28" s="1439"/>
      <c r="H28" s="1428"/>
      <c r="I28" s="1428"/>
      <c r="J28" s="1429"/>
      <c r="K28" s="1429"/>
      <c r="L28" s="1429"/>
      <c r="M28" s="1429"/>
      <c r="N28" s="1440"/>
      <c r="O28" s="1429"/>
      <c r="P28" s="1429"/>
      <c r="Q28" s="1429"/>
      <c r="R28" s="1429"/>
      <c r="S28" s="1429"/>
      <c r="T28" s="1429"/>
      <c r="U28" s="1429"/>
      <c r="V28" s="1441"/>
      <c r="W28" s="1429"/>
      <c r="X28" s="1429"/>
      <c r="Y28" s="1429"/>
      <c r="Z28" s="1429"/>
      <c r="AA28" s="1429"/>
      <c r="AB28" s="1429"/>
      <c r="AC28" s="1429"/>
      <c r="AD28" s="1429"/>
      <c r="AE28" s="1429"/>
      <c r="AF28" s="1429"/>
      <c r="AG28" s="1429"/>
      <c r="AH28" s="1429"/>
      <c r="AI28" s="1429"/>
      <c r="AJ28" s="1374"/>
      <c r="AN28" s="1366"/>
      <c r="AO28" s="1366"/>
      <c r="AP28" s="1366"/>
      <c r="AQ28" s="1366"/>
    </row>
    <row r="29" spans="1:44" s="1432" customFormat="1" ht="15" x14ac:dyDescent="0.2">
      <c r="A29" s="1426"/>
      <c r="B29" s="1426"/>
      <c r="C29" s="1438"/>
      <c r="D29" s="1442"/>
      <c r="E29" s="1442"/>
      <c r="F29" s="1429"/>
      <c r="G29" s="1429"/>
      <c r="H29" s="1428"/>
      <c r="I29" s="1428"/>
      <c r="J29" s="1429"/>
      <c r="K29" s="1429"/>
      <c r="L29" s="1429"/>
      <c r="M29" s="1429"/>
      <c r="N29" s="1443"/>
      <c r="O29" s="1444"/>
      <c r="P29" s="1429"/>
      <c r="Q29" s="1429"/>
      <c r="R29" s="1429"/>
      <c r="S29" s="1429"/>
      <c r="T29" s="1429"/>
      <c r="U29" s="1429"/>
      <c r="V29" s="1441"/>
      <c r="W29" s="1429"/>
      <c r="X29" s="1429"/>
      <c r="Y29" s="1429"/>
      <c r="Z29" s="1429"/>
      <c r="AA29" s="1429"/>
      <c r="AB29" s="1429"/>
      <c r="AC29" s="1429"/>
      <c r="AD29" s="1429"/>
      <c r="AE29" s="1429"/>
      <c r="AF29" s="1429"/>
      <c r="AG29" s="1429"/>
      <c r="AH29" s="1429"/>
      <c r="AI29" s="1429"/>
      <c r="AJ29" s="1374"/>
      <c r="AN29" s="1445"/>
      <c r="AO29" s="1445"/>
      <c r="AP29" s="1445"/>
      <c r="AQ29" s="1445"/>
    </row>
    <row r="30" spans="1:44" s="1432" customFormat="1" ht="15" x14ac:dyDescent="0.2">
      <c r="A30" s="1426"/>
      <c r="B30" s="1426"/>
      <c r="C30" s="1438"/>
      <c r="D30" s="1442"/>
      <c r="E30" s="1442"/>
      <c r="F30" s="1429"/>
      <c r="G30" s="1429"/>
      <c r="H30" s="1428"/>
      <c r="I30" s="1428"/>
      <c r="J30" s="1429"/>
      <c r="K30" s="1429"/>
      <c r="L30" s="1429"/>
      <c r="M30" s="1429"/>
      <c r="N30" s="1443"/>
      <c r="O30" s="1444"/>
      <c r="P30" s="1429"/>
      <c r="Q30" s="1429"/>
      <c r="R30" s="1429"/>
      <c r="S30" s="1429"/>
      <c r="T30" s="1429"/>
      <c r="U30" s="1429"/>
      <c r="V30" s="1429"/>
      <c r="W30" s="1429"/>
      <c r="X30" s="1429"/>
      <c r="Y30" s="1429"/>
      <c r="Z30" s="1429"/>
      <c r="AA30" s="1429"/>
      <c r="AB30" s="1429"/>
      <c r="AC30" s="1429"/>
      <c r="AD30" s="1429"/>
      <c r="AE30" s="1429"/>
      <c r="AF30" s="1429"/>
      <c r="AG30" s="1429"/>
      <c r="AH30" s="1429"/>
      <c r="AI30" s="1429"/>
      <c r="AJ30" s="1374"/>
      <c r="AN30" s="1374"/>
      <c r="AO30" s="1374"/>
      <c r="AP30" s="1374"/>
      <c r="AQ30" s="1374"/>
    </row>
    <row r="31" spans="1:44" s="1432" customFormat="1" ht="15.75" x14ac:dyDescent="0.2">
      <c r="A31" s="1446"/>
      <c r="B31" s="1447">
        <v>211</v>
      </c>
      <c r="C31" s="1448"/>
      <c r="D31" s="1449"/>
      <c r="E31" s="2520">
        <v>213</v>
      </c>
      <c r="F31" s="2520"/>
      <c r="G31" s="1450" t="s">
        <v>1552</v>
      </c>
      <c r="H31" s="1428"/>
      <c r="I31" s="1428"/>
      <c r="J31" s="1429"/>
      <c r="K31" s="1429">
        <f>13996.9+C33</f>
        <v>15521.7</v>
      </c>
      <c r="L31" s="1429">
        <f>4206.5+F33</f>
        <v>4663.1000000000004</v>
      </c>
      <c r="M31" s="1429">
        <v>0</v>
      </c>
      <c r="N31" s="1495" t="s">
        <v>1558</v>
      </c>
      <c r="O31" s="1496">
        <f>8764.7+C36</f>
        <v>9141.6</v>
      </c>
      <c r="P31" s="1429">
        <f>2610.8+F36</f>
        <v>2716.1</v>
      </c>
      <c r="Q31" s="1429">
        <f>22761.6+C37</f>
        <v>24663.3</v>
      </c>
      <c r="R31" s="1429">
        <f>6817.3+F37</f>
        <v>7379.2</v>
      </c>
      <c r="S31" s="1429">
        <v>760.5</v>
      </c>
      <c r="T31" s="1429"/>
      <c r="U31" s="1429"/>
      <c r="V31" s="1429"/>
      <c r="W31" s="1429"/>
      <c r="X31" s="1429"/>
      <c r="Y31" s="1429"/>
      <c r="Z31" s="1429"/>
      <c r="AA31" s="1429"/>
      <c r="AB31" s="1429"/>
      <c r="AC31" s="1429"/>
      <c r="AD31" s="1429"/>
      <c r="AE31" s="1429"/>
      <c r="AF31" s="1429"/>
      <c r="AG31" s="1429"/>
      <c r="AH31" s="1429"/>
      <c r="AI31" s="1429"/>
      <c r="AJ31" s="1374"/>
      <c r="AN31" s="1374"/>
      <c r="AO31" s="1374"/>
      <c r="AP31" s="1374"/>
      <c r="AQ31" s="1374"/>
    </row>
    <row r="32" spans="1:44" s="1459" customFormat="1" ht="20.25" x14ac:dyDescent="0.2">
      <c r="A32" s="1451"/>
      <c r="B32" s="1452"/>
      <c r="C32" s="1453" t="s">
        <v>1553</v>
      </c>
      <c r="D32" s="1449"/>
      <c r="E32" s="1454"/>
      <c r="F32" s="1455" t="s">
        <v>1554</v>
      </c>
      <c r="G32" s="1450"/>
      <c r="H32" s="1456"/>
      <c r="I32" s="1456"/>
      <c r="J32" s="1457"/>
      <c r="K32" s="1429">
        <f>K26-K31</f>
        <v>5.5</v>
      </c>
      <c r="L32" s="1429">
        <f>L26-L31</f>
        <v>9.1</v>
      </c>
      <c r="M32" s="1429">
        <f t="shared" ref="M32:S32" si="21">M26-M31</f>
        <v>0</v>
      </c>
      <c r="N32" s="1429">
        <f t="shared" si="21"/>
        <v>0</v>
      </c>
      <c r="O32" s="1429">
        <f t="shared" si="21"/>
        <v>0</v>
      </c>
      <c r="P32" s="1429">
        <f t="shared" si="21"/>
        <v>0</v>
      </c>
      <c r="Q32" s="1429">
        <f t="shared" si="21"/>
        <v>5.5</v>
      </c>
      <c r="R32" s="1429">
        <f t="shared" si="21"/>
        <v>9.1</v>
      </c>
      <c r="S32" s="1429">
        <f t="shared" si="21"/>
        <v>0</v>
      </c>
      <c r="T32" s="1429"/>
      <c r="U32" s="1457"/>
      <c r="V32" s="1457"/>
      <c r="W32" s="1457"/>
      <c r="X32" s="1457"/>
      <c r="Y32" s="1457"/>
      <c r="Z32" s="1457"/>
      <c r="AA32" s="1457"/>
      <c r="AB32" s="1457"/>
      <c r="AC32" s="1457"/>
      <c r="AD32" s="1457"/>
      <c r="AE32" s="1457"/>
      <c r="AF32" s="1457"/>
      <c r="AG32" s="1457"/>
      <c r="AH32" s="1457"/>
      <c r="AI32" s="1457"/>
      <c r="AJ32" s="1458"/>
      <c r="AO32" s="1458"/>
      <c r="AP32" s="1458"/>
      <c r="AQ32" s="1458"/>
      <c r="AR32" s="1458"/>
    </row>
    <row r="33" spans="1:43" s="1432" customFormat="1" ht="15.75" x14ac:dyDescent="0.2">
      <c r="A33" s="1460" t="s">
        <v>1555</v>
      </c>
      <c r="B33" s="1452">
        <f>W11+W12+W13</f>
        <v>15527.2</v>
      </c>
      <c r="C33" s="1453">
        <f>762.4*2</f>
        <v>1524.8</v>
      </c>
      <c r="D33" s="1449">
        <f>C11+C12+C13</f>
        <v>19.690000000000001</v>
      </c>
      <c r="E33" s="1454">
        <f>X11+X12+X13</f>
        <v>4672.2</v>
      </c>
      <c r="F33" s="1455">
        <f>228.3*2</f>
        <v>456.6</v>
      </c>
      <c r="G33" s="1450">
        <f>AI11+AI12+AI13</f>
        <v>351</v>
      </c>
      <c r="H33" s="1428"/>
      <c r="I33" s="1428"/>
      <c r="J33" s="1429"/>
      <c r="K33" s="1429"/>
      <c r="L33" s="1429"/>
      <c r="M33" s="1429"/>
      <c r="N33" s="1440"/>
      <c r="O33" s="1429"/>
      <c r="P33" s="1429"/>
      <c r="Q33" s="1429"/>
      <c r="R33" s="1429"/>
      <c r="S33" s="1429"/>
      <c r="T33" s="1429"/>
      <c r="U33" s="1429"/>
      <c r="V33" s="1429"/>
      <c r="W33" s="1429"/>
      <c r="X33" s="1429"/>
      <c r="Y33" s="1429"/>
      <c r="Z33" s="1429"/>
      <c r="AA33" s="1429"/>
      <c r="AB33" s="1429"/>
      <c r="AC33" s="1429"/>
      <c r="AD33" s="1429"/>
      <c r="AE33" s="1429"/>
      <c r="AF33" s="1429"/>
      <c r="AG33" s="1429"/>
      <c r="AH33" s="1429"/>
      <c r="AI33" s="1429"/>
      <c r="AJ33" s="1374"/>
      <c r="AN33" s="1374"/>
      <c r="AO33" s="1374"/>
      <c r="AP33" s="1374"/>
      <c r="AQ33" s="1374"/>
    </row>
    <row r="34" spans="1:43" s="1432" customFormat="1" ht="31.5" x14ac:dyDescent="0.2">
      <c r="A34" s="1461" t="s">
        <v>1556</v>
      </c>
      <c r="B34" s="1452"/>
      <c r="C34" s="1453"/>
      <c r="D34" s="1449"/>
      <c r="E34" s="1454"/>
      <c r="F34" s="1455"/>
      <c r="G34" s="1450"/>
      <c r="H34" s="1428"/>
      <c r="I34" s="1428"/>
      <c r="J34" s="1429"/>
      <c r="K34" s="1429"/>
      <c r="L34" s="1429"/>
      <c r="M34" s="1429"/>
      <c r="N34" s="1440"/>
      <c r="O34" s="1429"/>
      <c r="P34" s="1429"/>
      <c r="Q34" s="1429"/>
      <c r="R34" s="1429"/>
      <c r="S34" s="1429"/>
      <c r="T34" s="1429"/>
      <c r="U34" s="1429"/>
      <c r="V34" s="1429"/>
      <c r="W34" s="1429"/>
      <c r="X34" s="1429"/>
      <c r="Y34" s="1429"/>
      <c r="Z34" s="1429"/>
      <c r="AA34" s="1429"/>
      <c r="AB34" s="1429"/>
      <c r="AC34" s="1429"/>
      <c r="AD34" s="1429"/>
      <c r="AE34" s="1429"/>
      <c r="AF34" s="1429"/>
      <c r="AG34" s="1429"/>
      <c r="AH34" s="1429"/>
      <c r="AI34" s="1429"/>
      <c r="AJ34" s="1374"/>
      <c r="AN34" s="1374"/>
      <c r="AO34" s="1374"/>
      <c r="AP34" s="1374"/>
      <c r="AQ34" s="1374"/>
    </row>
    <row r="35" spans="1:43" s="1432" customFormat="1" ht="20.25" customHeight="1" x14ac:dyDescent="0.2">
      <c r="A35" s="1461" t="s">
        <v>1557</v>
      </c>
      <c r="B35" s="1452">
        <f>W9+W10+W14+W15+W16+W17+W18+W19+W20</f>
        <v>9141.6</v>
      </c>
      <c r="C35" s="1453"/>
      <c r="D35" s="1449">
        <f>C9+C10+C14+C15+C16+C17+C18+C19+C20</f>
        <v>17.75</v>
      </c>
      <c r="E35" s="1454">
        <f>X9+X10+X14+X15+X16+X17+X18+X19+X20</f>
        <v>2716.1</v>
      </c>
      <c r="F35" s="1455"/>
      <c r="G35" s="1450">
        <f>AI9+AI10+AI14+AI15+AI16+AI17+AI18+AI19+AI20</f>
        <v>409.5</v>
      </c>
      <c r="H35" s="1462"/>
      <c r="I35" s="1462"/>
      <c r="J35" s="1462"/>
      <c r="K35" s="1457"/>
      <c r="L35" s="1457"/>
      <c r="M35" s="1457"/>
      <c r="N35" s="1463"/>
      <c r="O35" s="1457"/>
      <c r="P35" s="1457"/>
      <c r="Q35" s="1457"/>
      <c r="R35" s="1457"/>
      <c r="S35" s="1457"/>
      <c r="T35" s="1457"/>
      <c r="U35" s="1424"/>
      <c r="V35" s="1424"/>
      <c r="W35" s="1424"/>
      <c r="X35" s="1424"/>
      <c r="Y35" s="1424"/>
      <c r="Z35" s="1424"/>
      <c r="AA35" s="1424"/>
      <c r="AB35" s="1424"/>
      <c r="AC35" s="1424"/>
      <c r="AD35" s="1424"/>
      <c r="AE35" s="1424"/>
      <c r="AF35" s="1424"/>
      <c r="AG35" s="1424"/>
      <c r="AH35" s="1424"/>
      <c r="AI35" s="1424"/>
      <c r="AJ35" s="1374"/>
      <c r="AN35" s="1374"/>
      <c r="AO35" s="1374"/>
      <c r="AP35" s="1374"/>
      <c r="AQ35" s="1374"/>
    </row>
    <row r="36" spans="1:43" s="1432" customFormat="1" ht="20.25" customHeight="1" x14ac:dyDescent="0.2">
      <c r="A36" s="1464">
        <v>4.2999999999999997E-2</v>
      </c>
      <c r="B36" s="1465"/>
      <c r="C36" s="1466">
        <v>376.9</v>
      </c>
      <c r="D36" s="1467"/>
      <c r="E36" s="1468"/>
      <c r="F36" s="1469">
        <v>105.3</v>
      </c>
      <c r="G36" s="1466"/>
      <c r="H36" s="1470"/>
      <c r="I36" s="1470"/>
      <c r="J36" s="1470"/>
      <c r="K36" s="1429"/>
      <c r="L36" s="1429"/>
      <c r="M36" s="1429"/>
      <c r="N36" s="1440"/>
      <c r="O36" s="1429"/>
      <c r="P36" s="1429"/>
      <c r="Q36" s="1429"/>
      <c r="R36" s="1429"/>
      <c r="S36" s="1429"/>
      <c r="T36" s="1429"/>
      <c r="U36" s="1424"/>
      <c r="V36" s="1424"/>
      <c r="W36" s="1424"/>
      <c r="X36" s="1424"/>
      <c r="Y36" s="1424"/>
      <c r="Z36" s="1424"/>
      <c r="AA36" s="1424"/>
      <c r="AB36" s="1424"/>
      <c r="AC36" s="1424"/>
      <c r="AD36" s="1424"/>
      <c r="AE36" s="1424"/>
      <c r="AF36" s="1424"/>
      <c r="AG36" s="1424"/>
      <c r="AH36" s="1424"/>
      <c r="AI36" s="1424"/>
      <c r="AJ36" s="1374"/>
      <c r="AN36" s="1374"/>
      <c r="AO36" s="1374"/>
      <c r="AP36" s="1374"/>
      <c r="AQ36" s="1374"/>
    </row>
    <row r="37" spans="1:43" s="1432" customFormat="1" ht="20.25" customHeight="1" x14ac:dyDescent="0.2">
      <c r="A37" s="1471"/>
      <c r="B37" s="1472">
        <f>SUM(B33:B36)</f>
        <v>24668.799999999999</v>
      </c>
      <c r="C37" s="1473">
        <f t="shared" ref="C37:G37" si="22">SUM(C33:C36)</f>
        <v>1901.7</v>
      </c>
      <c r="D37" s="1473">
        <f t="shared" si="22"/>
        <v>37.44</v>
      </c>
      <c r="E37" s="1454">
        <f t="shared" si="22"/>
        <v>7388.3</v>
      </c>
      <c r="F37" s="1455">
        <f t="shared" si="22"/>
        <v>561.9</v>
      </c>
      <c r="G37" s="1455">
        <f t="shared" si="22"/>
        <v>760.5</v>
      </c>
      <c r="H37" s="1424"/>
      <c r="I37" s="1424"/>
      <c r="J37" s="1424"/>
      <c r="K37" s="1429"/>
      <c r="L37" s="1429"/>
      <c r="M37" s="1429"/>
      <c r="N37" s="1440"/>
      <c r="O37" s="1429"/>
      <c r="P37" s="1429"/>
      <c r="Q37" s="1429"/>
      <c r="R37" s="1429"/>
      <c r="S37" s="1429"/>
      <c r="T37" s="1429"/>
      <c r="U37" s="1424"/>
      <c r="V37" s="1424"/>
      <c r="W37" s="1424"/>
      <c r="X37" s="1424"/>
      <c r="Y37" s="1424"/>
      <c r="Z37" s="1424"/>
      <c r="AA37" s="1424"/>
      <c r="AB37" s="1424"/>
      <c r="AC37" s="1424"/>
      <c r="AD37" s="1424"/>
      <c r="AE37" s="1424"/>
      <c r="AF37" s="1424"/>
      <c r="AG37" s="1424"/>
      <c r="AH37" s="1424"/>
      <c r="AI37" s="1424"/>
      <c r="AJ37" s="1374"/>
      <c r="AN37" s="1374"/>
      <c r="AO37" s="1374"/>
      <c r="AP37" s="1374"/>
      <c r="AQ37" s="1374"/>
    </row>
    <row r="38" spans="1:43" s="1475" customFormat="1" ht="20.25" x14ac:dyDescent="0.2">
      <c r="A38" s="1474"/>
      <c r="K38" s="1462"/>
      <c r="L38" s="1424"/>
      <c r="M38" s="1424"/>
      <c r="N38" s="1476"/>
      <c r="O38" s="1424"/>
      <c r="P38" s="1424"/>
      <c r="Q38" s="1424"/>
      <c r="R38" s="1424"/>
      <c r="S38" s="1424"/>
      <c r="T38" s="1424"/>
      <c r="AN38" s="1477"/>
      <c r="AO38" s="1477"/>
      <c r="AP38" s="1477"/>
      <c r="AQ38" s="1477"/>
    </row>
    <row r="39" spans="1:43" s="1445" customFormat="1" ht="15.75" x14ac:dyDescent="0.2">
      <c r="A39" s="1478"/>
      <c r="D39" s="1479"/>
      <c r="E39" s="1479"/>
      <c r="I39" s="1418"/>
      <c r="J39" s="1418"/>
      <c r="K39" s="1470"/>
      <c r="L39" s="1424"/>
      <c r="M39" s="1424"/>
      <c r="N39" s="1424"/>
      <c r="O39" s="1424"/>
      <c r="P39" s="1424"/>
      <c r="Q39" s="1424"/>
      <c r="R39" s="1424"/>
      <c r="S39" s="1424"/>
      <c r="T39" s="1424"/>
      <c r="V39" s="1480"/>
      <c r="AA39" s="1480"/>
      <c r="AC39" s="1480"/>
      <c r="AD39" s="1480"/>
      <c r="AE39" s="1480"/>
      <c r="AF39" s="1480"/>
      <c r="AN39" s="1374"/>
      <c r="AO39" s="1374"/>
      <c r="AP39" s="1374"/>
      <c r="AQ39" s="1374"/>
    </row>
    <row r="40" spans="1:43" s="1418" customFormat="1" ht="19.5" x14ac:dyDescent="0.3">
      <c r="A40" s="1481"/>
      <c r="B40" s="1482"/>
      <c r="C40" s="1483"/>
      <c r="D40" s="1484"/>
      <c r="E40" s="1479"/>
      <c r="F40" s="1483"/>
      <c r="G40" s="1485"/>
      <c r="H40" s="1486"/>
      <c r="K40" s="1424"/>
      <c r="L40" s="1424"/>
      <c r="M40" s="1424"/>
      <c r="N40" s="1424"/>
      <c r="O40" s="1424"/>
      <c r="P40" s="1424"/>
      <c r="Q40" s="1424"/>
      <c r="R40" s="1424"/>
      <c r="S40" s="1424"/>
      <c r="T40" s="1424"/>
      <c r="U40" s="1487"/>
      <c r="V40" s="1487"/>
      <c r="W40" s="1487"/>
      <c r="X40" s="1420"/>
      <c r="AN40" s="1374"/>
      <c r="AO40" s="1374"/>
      <c r="AP40" s="1374"/>
      <c r="AQ40" s="1374"/>
    </row>
    <row r="41" spans="1:43" s="1418" customFormat="1" ht="15" x14ac:dyDescent="0.2">
      <c r="A41" s="1417"/>
      <c r="D41" s="1488"/>
      <c r="E41" s="1479"/>
      <c r="K41" s="1475"/>
      <c r="L41" s="1475"/>
      <c r="M41" s="1475"/>
      <c r="N41" s="1475"/>
      <c r="O41" s="1475"/>
      <c r="P41" s="1475"/>
      <c r="Q41" s="1475"/>
      <c r="R41" s="1475"/>
      <c r="S41" s="1475"/>
      <c r="T41" s="1475"/>
      <c r="AN41" s="1374"/>
      <c r="AO41" s="1374"/>
      <c r="AP41" s="1374"/>
      <c r="AQ41" s="1374"/>
    </row>
    <row r="42" spans="1:43" s="1418" customFormat="1" ht="15" x14ac:dyDescent="0.2">
      <c r="A42" s="1417"/>
      <c r="D42" s="1488"/>
      <c r="E42" s="1479"/>
      <c r="R42" s="1445"/>
      <c r="S42" s="1489"/>
      <c r="T42" s="1445"/>
      <c r="AN42" s="1374"/>
      <c r="AO42" s="1374"/>
      <c r="AP42" s="1374"/>
      <c r="AQ42" s="1374"/>
    </row>
    <row r="43" spans="1:43" s="1418" customFormat="1" ht="19.5" x14ac:dyDescent="0.3">
      <c r="A43" s="1417"/>
      <c r="D43" s="1488"/>
      <c r="E43" s="1479"/>
      <c r="R43" s="1486"/>
      <c r="S43" s="1486"/>
      <c r="T43" s="1486"/>
      <c r="AN43" s="1374"/>
      <c r="AO43" s="1374"/>
      <c r="AP43" s="1374"/>
      <c r="AQ43" s="1374"/>
    </row>
    <row r="44" spans="1:43" s="1418" customFormat="1" ht="15" x14ac:dyDescent="0.2">
      <c r="A44" s="1417"/>
      <c r="D44" s="1488"/>
      <c r="E44" s="1479"/>
      <c r="AN44" s="1475"/>
      <c r="AO44" s="1475"/>
      <c r="AP44" s="1475"/>
      <c r="AQ44" s="1475"/>
    </row>
    <row r="45" spans="1:43" s="1418" customFormat="1" x14ac:dyDescent="0.2">
      <c r="A45" s="1417"/>
      <c r="D45" s="1488"/>
      <c r="E45" s="1479"/>
      <c r="AN45" s="1445"/>
      <c r="AO45" s="1445"/>
      <c r="AP45" s="1445"/>
      <c r="AQ45" s="1445"/>
    </row>
    <row r="46" spans="1:43" s="1418" customFormat="1" x14ac:dyDescent="0.2">
      <c r="A46" s="1417"/>
      <c r="D46" s="1488"/>
      <c r="E46" s="1479"/>
    </row>
    <row r="47" spans="1:43" s="1418" customFormat="1" x14ac:dyDescent="0.2">
      <c r="A47" s="1417"/>
      <c r="D47" s="1488"/>
      <c r="E47" s="1479"/>
    </row>
    <row r="48" spans="1:43" s="1418" customFormat="1" x14ac:dyDescent="0.2">
      <c r="A48" s="1417"/>
      <c r="D48" s="1488"/>
      <c r="E48" s="1479"/>
    </row>
    <row r="49" spans="1:43" s="1418" customFormat="1" x14ac:dyDescent="0.2">
      <c r="A49" s="1417"/>
      <c r="D49" s="1488"/>
      <c r="E49" s="1479"/>
    </row>
    <row r="50" spans="1:43" s="1418" customFormat="1" x14ac:dyDescent="0.2">
      <c r="A50" s="1417"/>
      <c r="D50" s="1488"/>
      <c r="E50" s="1479"/>
    </row>
    <row r="51" spans="1:43" s="1418" customFormat="1" x14ac:dyDescent="0.2">
      <c r="A51" s="1417"/>
      <c r="D51" s="1488"/>
      <c r="E51" s="1479"/>
    </row>
    <row r="52" spans="1:43" s="1418" customFormat="1" x14ac:dyDescent="0.2">
      <c r="A52" s="1417"/>
    </row>
    <row r="53" spans="1:43" s="1418" customFormat="1" x14ac:dyDescent="0.2">
      <c r="A53" s="1417"/>
      <c r="AN53" s="1366"/>
      <c r="AO53" s="1366"/>
      <c r="AP53" s="1366"/>
      <c r="AQ53" s="1366"/>
    </row>
    <row r="54" spans="1:43" s="1418" customFormat="1" x14ac:dyDescent="0.2">
      <c r="A54" s="1417"/>
      <c r="AN54" s="1366"/>
      <c r="AO54" s="1366"/>
      <c r="AP54" s="1366"/>
      <c r="AQ54" s="1366"/>
    </row>
    <row r="55" spans="1:43" s="1418" customFormat="1" x14ac:dyDescent="0.2">
      <c r="A55" s="1417"/>
      <c r="I55" s="1366"/>
      <c r="J55" s="1366"/>
      <c r="AN55" s="1366"/>
      <c r="AO55" s="1366"/>
      <c r="AP55" s="1366"/>
      <c r="AQ55" s="1366"/>
    </row>
    <row r="56" spans="1:43" s="1418" customFormat="1" x14ac:dyDescent="0.2">
      <c r="A56" s="1417"/>
      <c r="I56" s="1366"/>
      <c r="J56" s="1366"/>
      <c r="AN56" s="1366"/>
      <c r="AO56" s="1366"/>
      <c r="AP56" s="1366"/>
      <c r="AQ56" s="1366"/>
    </row>
    <row r="57" spans="1:43" s="1418" customFormat="1" x14ac:dyDescent="0.2">
      <c r="A57" s="1417"/>
      <c r="I57" s="1366"/>
      <c r="J57" s="1366"/>
      <c r="AN57" s="1366"/>
      <c r="AO57" s="1366"/>
      <c r="AP57" s="1366"/>
      <c r="AQ57" s="1366"/>
    </row>
    <row r="58" spans="1:43" s="1418" customFormat="1" x14ac:dyDescent="0.2">
      <c r="A58" s="1417"/>
      <c r="I58" s="1366"/>
      <c r="J58" s="1366"/>
      <c r="K58" s="1366"/>
      <c r="L58" s="1366"/>
      <c r="M58" s="1366"/>
      <c r="N58" s="1366"/>
      <c r="O58" s="1366"/>
      <c r="P58" s="1366"/>
      <c r="AN58" s="1366"/>
      <c r="AO58" s="1366"/>
      <c r="AP58" s="1366"/>
      <c r="AQ58" s="1366"/>
    </row>
    <row r="59" spans="1:43" x14ac:dyDescent="0.2">
      <c r="Q59" s="1418"/>
      <c r="R59" s="1418"/>
      <c r="S59" s="1418"/>
      <c r="T59" s="1418"/>
    </row>
    <row r="60" spans="1:43" x14ac:dyDescent="0.2">
      <c r="Q60" s="1418"/>
      <c r="R60" s="1418"/>
      <c r="S60" s="1418"/>
      <c r="T60" s="1418"/>
    </row>
    <row r="61" spans="1:43" x14ac:dyDescent="0.2">
      <c r="Q61" s="1418"/>
      <c r="R61" s="1418"/>
      <c r="S61" s="1418"/>
      <c r="T61" s="1418"/>
    </row>
  </sheetData>
  <autoFilter ref="A8:AR22" xr:uid="{00000000-0009-0000-0000-00001B000000}"/>
  <mergeCells count="43">
    <mergeCell ref="L6:L7"/>
    <mergeCell ref="AF1:AI1"/>
    <mergeCell ref="A2:AI2"/>
    <mergeCell ref="A5:A7"/>
    <mergeCell ref="B5:B7"/>
    <mergeCell ref="C5:C7"/>
    <mergeCell ref="D5:X5"/>
    <mergeCell ref="Y5:AI5"/>
    <mergeCell ref="D6:D7"/>
    <mergeCell ref="E6:E7"/>
    <mergeCell ref="F6:F7"/>
    <mergeCell ref="AB6:AD6"/>
    <mergeCell ref="AE6:AG6"/>
    <mergeCell ref="AH6:AH7"/>
    <mergeCell ref="AI6:AI7"/>
    <mergeCell ref="A21:B21"/>
    <mergeCell ref="T6:T7"/>
    <mergeCell ref="U6:U7"/>
    <mergeCell ref="V6:V7"/>
    <mergeCell ref="W6:W7"/>
    <mergeCell ref="M6:M7"/>
    <mergeCell ref="N6:N7"/>
    <mergeCell ref="O6:P6"/>
    <mergeCell ref="Q6:Q7"/>
    <mergeCell ref="R6:R7"/>
    <mergeCell ref="S6:S7"/>
    <mergeCell ref="G6:G7"/>
    <mergeCell ref="H6:H7"/>
    <mergeCell ref="I6:I7"/>
    <mergeCell ref="J6:J7"/>
    <mergeCell ref="K6:K7"/>
    <mergeCell ref="V9:V20"/>
    <mergeCell ref="X6:X7"/>
    <mergeCell ref="Y6:AA6"/>
    <mergeCell ref="Q24:S24"/>
    <mergeCell ref="T24:U24"/>
    <mergeCell ref="M24:N24"/>
    <mergeCell ref="O24:P24"/>
    <mergeCell ref="E31:F31"/>
    <mergeCell ref="C24:D24"/>
    <mergeCell ref="E24:F24"/>
    <mergeCell ref="G24:H24"/>
    <mergeCell ref="K24:L24"/>
  </mergeCells>
  <printOptions horizontalCentered="1"/>
  <pageMargins left="0" right="0" top="0" bottom="0" header="0.31496062992125984" footer="0.31496062992125984"/>
  <pageSetup paperSize="9" scale="37"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FFFF"/>
  </sheetPr>
  <dimension ref="A1:F22"/>
  <sheetViews>
    <sheetView view="pageBreakPreview" topLeftCell="A10" zoomScale="80" zoomScaleNormal="100" zoomScaleSheetLayoutView="80" workbookViewId="0">
      <selection activeCell="S10" sqref="S10"/>
    </sheetView>
  </sheetViews>
  <sheetFormatPr defaultRowHeight="39.75" customHeight="1" x14ac:dyDescent="0.25"/>
  <cols>
    <col min="1" max="1" width="81.33203125" style="365" customWidth="1"/>
    <col min="2" max="2" width="10" style="365" customWidth="1"/>
    <col min="3" max="5" width="25.83203125" style="365" customWidth="1"/>
    <col min="6" max="16384" width="9.33203125" style="365"/>
  </cols>
  <sheetData>
    <row r="1" spans="1:6" ht="39.75" customHeight="1" x14ac:dyDescent="0.25">
      <c r="A1" s="2509" t="s">
        <v>533</v>
      </c>
      <c r="B1" s="2509"/>
      <c r="C1" s="2509"/>
      <c r="D1" s="2509"/>
      <c r="E1" s="2509"/>
    </row>
    <row r="2" spans="1:6" ht="39.75" customHeight="1" x14ac:dyDescent="0.25">
      <c r="A2" s="2509" t="s">
        <v>1253</v>
      </c>
      <c r="B2" s="2509"/>
      <c r="C2" s="2509"/>
      <c r="D2" s="2509"/>
      <c r="E2" s="2509"/>
    </row>
    <row r="3" spans="1:6" ht="13.5" customHeight="1" x14ac:dyDescent="0.25">
      <c r="A3" s="366"/>
      <c r="B3" s="366"/>
      <c r="C3" s="366"/>
      <c r="D3" s="366"/>
      <c r="E3" s="367">
        <v>43829</v>
      </c>
    </row>
    <row r="4" spans="1:6" ht="39.75" customHeight="1" x14ac:dyDescent="0.25">
      <c r="A4" s="2454" t="s">
        <v>416</v>
      </c>
      <c r="B4" s="2454" t="s">
        <v>417</v>
      </c>
      <c r="C4" s="2454" t="s">
        <v>418</v>
      </c>
      <c r="D4" s="2454"/>
      <c r="E4" s="2454"/>
    </row>
    <row r="5" spans="1:6" ht="39.75" customHeight="1" x14ac:dyDescent="0.25">
      <c r="A5" s="2454"/>
      <c r="B5" s="2454"/>
      <c r="C5" s="368" t="s">
        <v>428</v>
      </c>
      <c r="D5" s="368" t="s">
        <v>429</v>
      </c>
      <c r="E5" s="368" t="s">
        <v>430</v>
      </c>
    </row>
    <row r="6" spans="1:6" ht="39.75" customHeight="1" x14ac:dyDescent="0.25">
      <c r="A6" s="2454"/>
      <c r="B6" s="2454"/>
      <c r="C6" s="368" t="s">
        <v>419</v>
      </c>
      <c r="D6" s="368" t="s">
        <v>420</v>
      </c>
      <c r="E6" s="368" t="s">
        <v>421</v>
      </c>
    </row>
    <row r="7" spans="1:6" ht="16.5" customHeight="1" x14ac:dyDescent="0.25">
      <c r="A7" s="368">
        <v>1</v>
      </c>
      <c r="B7" s="368">
        <v>2</v>
      </c>
      <c r="C7" s="368">
        <v>3</v>
      </c>
      <c r="D7" s="368">
        <v>4</v>
      </c>
      <c r="E7" s="368">
        <v>5</v>
      </c>
    </row>
    <row r="8" spans="1:6" ht="48.75" customHeight="1" x14ac:dyDescent="0.25">
      <c r="A8" s="369" t="s">
        <v>502</v>
      </c>
      <c r="B8" s="368">
        <v>100</v>
      </c>
      <c r="C8" s="370"/>
      <c r="D8" s="370"/>
      <c r="E8" s="370"/>
    </row>
    <row r="9" spans="1:6" ht="44.25" customHeight="1" x14ac:dyDescent="0.25">
      <c r="A9" s="369" t="s">
        <v>423</v>
      </c>
      <c r="B9" s="368">
        <v>200</v>
      </c>
      <c r="C9" s="370"/>
      <c r="D9" s="370"/>
      <c r="E9" s="370"/>
    </row>
    <row r="10" spans="1:6" ht="33.75" customHeight="1" x14ac:dyDescent="0.25">
      <c r="A10" s="369" t="s">
        <v>493</v>
      </c>
      <c r="B10" s="368">
        <v>300</v>
      </c>
      <c r="C10" s="370">
        <f>SUM(C11:C19)</f>
        <v>18400</v>
      </c>
      <c r="D10" s="370">
        <f t="shared" ref="D10:E10" si="0">SUM(D11:D19)</f>
        <v>0</v>
      </c>
      <c r="E10" s="370">
        <f t="shared" si="0"/>
        <v>0</v>
      </c>
    </row>
    <row r="11" spans="1:6" ht="43.5" customHeight="1" x14ac:dyDescent="0.25">
      <c r="A11" s="369" t="s">
        <v>494</v>
      </c>
      <c r="B11" s="368">
        <v>301</v>
      </c>
      <c r="C11" s="370"/>
      <c r="D11" s="370"/>
      <c r="E11" s="370"/>
      <c r="F11" s="365" t="s">
        <v>511</v>
      </c>
    </row>
    <row r="12" spans="1:6" ht="17.25" customHeight="1" x14ac:dyDescent="0.25">
      <c r="A12" s="369" t="s">
        <v>495</v>
      </c>
      <c r="B12" s="368">
        <v>302</v>
      </c>
      <c r="C12" s="370"/>
      <c r="D12" s="370"/>
      <c r="E12" s="370"/>
      <c r="F12" s="375">
        <v>911</v>
      </c>
    </row>
    <row r="13" spans="1:6" ht="22.5" customHeight="1" x14ac:dyDescent="0.25">
      <c r="A13" s="369" t="s">
        <v>496</v>
      </c>
      <c r="B13" s="368">
        <v>303</v>
      </c>
      <c r="C13" s="370"/>
      <c r="D13" s="370"/>
      <c r="E13" s="370"/>
      <c r="F13" s="375" t="s">
        <v>505</v>
      </c>
    </row>
    <row r="14" spans="1:6" ht="57" customHeight="1" x14ac:dyDescent="0.25">
      <c r="A14" s="369" t="s">
        <v>497</v>
      </c>
      <c r="B14" s="368">
        <v>304</v>
      </c>
      <c r="C14" s="370"/>
      <c r="D14" s="370"/>
      <c r="E14" s="370"/>
      <c r="F14" s="375" t="s">
        <v>506</v>
      </c>
    </row>
    <row r="15" spans="1:6" ht="18.75" customHeight="1" x14ac:dyDescent="0.25">
      <c r="A15" s="369" t="s">
        <v>498</v>
      </c>
      <c r="B15" s="368">
        <v>305</v>
      </c>
      <c r="C15" s="370"/>
      <c r="D15" s="370"/>
      <c r="E15" s="370"/>
      <c r="F15" s="375" t="s">
        <v>507</v>
      </c>
    </row>
    <row r="16" spans="1:6" s="511" customFormat="1" ht="24" customHeight="1" x14ac:dyDescent="0.25">
      <c r="A16" s="517" t="s">
        <v>499</v>
      </c>
      <c r="B16" s="2061">
        <v>306</v>
      </c>
      <c r="C16" s="518">
        <f>'б-т 919 (01.01.20)'!K18*1000</f>
        <v>18400</v>
      </c>
      <c r="D16" s="518">
        <f>'б-т 919 (01.01.20)'!M18*1000</f>
        <v>0</v>
      </c>
      <c r="E16" s="518">
        <f>'б-т 919 (01.01.20)'!N18*1000</f>
        <v>0</v>
      </c>
      <c r="F16" s="2067" t="s">
        <v>508</v>
      </c>
    </row>
    <row r="17" spans="1:6" ht="61.5" customHeight="1" x14ac:dyDescent="0.25">
      <c r="A17" s="369" t="s">
        <v>497</v>
      </c>
      <c r="B17" s="368">
        <v>307</v>
      </c>
      <c r="C17" s="370"/>
      <c r="D17" s="370"/>
      <c r="E17" s="370"/>
      <c r="F17" s="375" t="s">
        <v>506</v>
      </c>
    </row>
    <row r="18" spans="1:6" ht="31.5" customHeight="1" x14ac:dyDescent="0.25">
      <c r="A18" s="369" t="s">
        <v>500</v>
      </c>
      <c r="B18" s="368">
        <v>308</v>
      </c>
      <c r="C18" s="518"/>
      <c r="D18" s="518"/>
      <c r="E18" s="518"/>
      <c r="F18" s="375" t="s">
        <v>509</v>
      </c>
    </row>
    <row r="19" spans="1:6" ht="21.75" customHeight="1" x14ac:dyDescent="0.25">
      <c r="A19" s="369" t="s">
        <v>501</v>
      </c>
      <c r="B19" s="368">
        <v>309</v>
      </c>
      <c r="C19" s="518"/>
      <c r="D19" s="518"/>
      <c r="E19" s="518"/>
      <c r="F19" s="375" t="s">
        <v>510</v>
      </c>
    </row>
    <row r="20" spans="1:6" ht="28.5" customHeight="1" x14ac:dyDescent="0.25">
      <c r="A20" s="369" t="s">
        <v>503</v>
      </c>
      <c r="B20" s="368">
        <v>400</v>
      </c>
      <c r="C20" s="518"/>
      <c r="D20" s="518"/>
      <c r="E20" s="518"/>
    </row>
    <row r="21" spans="1:6" ht="30.75" customHeight="1" x14ac:dyDescent="0.25">
      <c r="A21" s="369" t="s">
        <v>426</v>
      </c>
      <c r="B21" s="368">
        <v>500</v>
      </c>
      <c r="C21" s="370"/>
      <c r="D21" s="370"/>
      <c r="E21" s="370"/>
    </row>
    <row r="22" spans="1:6" s="374" customFormat="1" ht="39.75" customHeight="1" x14ac:dyDescent="0.2">
      <c r="A22" s="371" t="s">
        <v>504</v>
      </c>
      <c r="B22" s="372">
        <v>600</v>
      </c>
      <c r="C22" s="373">
        <f>C8-C9+C10-C20+C21</f>
        <v>18400</v>
      </c>
      <c r="D22" s="373">
        <f t="shared" ref="D22:E22" si="1">D8-D9+D10-D20+D21</f>
        <v>0</v>
      </c>
      <c r="E22" s="373">
        <f t="shared" si="1"/>
        <v>0</v>
      </c>
    </row>
  </sheetData>
  <mergeCells count="5">
    <mergeCell ref="A1:E1"/>
    <mergeCell ref="A2:E2"/>
    <mergeCell ref="A4:A6"/>
    <mergeCell ref="B4:B6"/>
    <mergeCell ref="C4:E4"/>
  </mergeCells>
  <pageMargins left="0.7" right="0.7" top="0.75" bottom="0.75" header="0.3" footer="0.3"/>
  <pageSetup paperSize="9" scale="56"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AP74"/>
  <sheetViews>
    <sheetView view="pageBreakPreview" zoomScale="80" zoomScaleNormal="80" zoomScaleSheetLayoutView="80" workbookViewId="0">
      <pane xSplit="3" ySplit="8" topLeftCell="O21" activePane="bottomRight" state="frozen"/>
      <selection activeCell="M26" sqref="M26:N26"/>
      <selection pane="topRight" activeCell="M26" sqref="M26:N26"/>
      <selection pane="bottomLeft" activeCell="M26" sqref="M26:N26"/>
      <selection pane="bottomRight" activeCell="M26" sqref="M26:N26"/>
    </sheetView>
  </sheetViews>
  <sheetFormatPr defaultRowHeight="12.75" x14ac:dyDescent="0.2"/>
  <cols>
    <col min="1" max="1" width="8" style="33" customWidth="1"/>
    <col min="2" max="2" width="30.83203125" style="22" customWidth="1"/>
    <col min="3" max="3" width="13.83203125" style="22" customWidth="1"/>
    <col min="4" max="4" width="13.1640625" style="22" customWidth="1"/>
    <col min="5" max="5" width="13" style="22" customWidth="1"/>
    <col min="6" max="6" width="14.6640625" style="22" customWidth="1"/>
    <col min="7" max="7" width="13.1640625" style="22" customWidth="1"/>
    <col min="8" max="8" width="15.6640625" style="22" customWidth="1"/>
    <col min="9" max="9" width="13.5" style="22" customWidth="1"/>
    <col min="10" max="10" width="20.33203125" style="22" customWidth="1"/>
    <col min="11" max="11" width="13" style="22" customWidth="1"/>
    <col min="12" max="16" width="14.83203125" style="22" customWidth="1"/>
    <col min="17" max="17" width="12.33203125" style="22" customWidth="1"/>
    <col min="18" max="18" width="13" style="22" customWidth="1"/>
    <col min="19" max="19" width="18.1640625" style="22" customWidth="1"/>
    <col min="20" max="20" width="14.83203125" style="22" customWidth="1"/>
    <col min="21" max="21" width="14" style="22" customWidth="1"/>
    <col min="22" max="22" width="15.6640625" style="22" customWidth="1"/>
    <col min="23" max="23" width="14.5" style="22" customWidth="1"/>
    <col min="24" max="24" width="11.33203125" style="22" customWidth="1"/>
    <col min="25" max="25" width="11" style="22" customWidth="1"/>
    <col min="26" max="26" width="11.5" style="22" customWidth="1"/>
    <col min="27" max="28" width="9.33203125" style="22" customWidth="1"/>
    <col min="29" max="29" width="10.1640625" style="22" customWidth="1"/>
    <col min="30" max="30" width="8.5" style="22" customWidth="1"/>
    <col min="31" max="31" width="10.83203125" style="22" customWidth="1"/>
    <col min="32" max="32" width="10.33203125" style="22" customWidth="1"/>
    <col min="33" max="33" width="11.5" style="22" customWidth="1"/>
    <col min="34" max="34" width="13.83203125" style="22" customWidth="1"/>
    <col min="35" max="35" width="12" style="34" customWidth="1"/>
    <col min="36" max="36" width="17.83203125" style="22" customWidth="1"/>
    <col min="37" max="37" width="14" style="22" bestFit="1" customWidth="1"/>
    <col min="38" max="39" width="9.5" style="22" bestFit="1" customWidth="1"/>
    <col min="40" max="40" width="11.5" style="22" bestFit="1" customWidth="1"/>
    <col min="41" max="41" width="9.33203125" style="22"/>
    <col min="42" max="42" width="9.5" style="22" bestFit="1" customWidth="1"/>
    <col min="43" max="16384" width="9.33203125" style="22"/>
  </cols>
  <sheetData>
    <row r="1" spans="1:42" ht="21.75" customHeight="1" x14ac:dyDescent="0.2">
      <c r="AE1" s="2252"/>
      <c r="AF1" s="2252"/>
      <c r="AG1" s="2252"/>
      <c r="AH1" s="2252"/>
    </row>
    <row r="2" spans="1:42" ht="33" customHeight="1" x14ac:dyDescent="0.2">
      <c r="A2" s="2253" t="s">
        <v>137</v>
      </c>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36"/>
    </row>
    <row r="3" spans="1:42" ht="24.75" customHeight="1" x14ac:dyDescent="0.2">
      <c r="A3" s="2254"/>
      <c r="B3" s="2254"/>
      <c r="C3" s="2254"/>
      <c r="D3" s="2254"/>
      <c r="E3" s="2254"/>
      <c r="F3" s="2254"/>
      <c r="G3" s="2254"/>
      <c r="H3" s="2254"/>
      <c r="I3" s="2254"/>
      <c r="J3" s="2254"/>
      <c r="K3" s="2254"/>
      <c r="L3" s="2254"/>
      <c r="M3" s="2254"/>
      <c r="N3" s="2254"/>
      <c r="O3" s="2254"/>
      <c r="P3" s="2254"/>
      <c r="Q3" s="2254"/>
      <c r="R3" s="2254"/>
      <c r="S3" s="2254"/>
      <c r="T3" s="2254"/>
      <c r="U3" s="2254"/>
      <c r="V3" s="2254"/>
      <c r="W3" s="2254"/>
      <c r="X3" s="2254"/>
      <c r="Y3" s="2254"/>
      <c r="Z3" s="2254"/>
      <c r="AA3" s="2254"/>
      <c r="AB3" s="2254"/>
      <c r="AC3" s="2254"/>
      <c r="AD3" s="2254"/>
      <c r="AE3" s="2254"/>
      <c r="AF3" s="2254"/>
      <c r="AG3" s="2254"/>
      <c r="AH3" s="2254"/>
      <c r="AI3" s="37"/>
    </row>
    <row r="4" spans="1:42" x14ac:dyDescent="0.2">
      <c r="L4" s="38">
        <v>0.32216</v>
      </c>
      <c r="O4" s="39"/>
      <c r="P4" s="39"/>
    </row>
    <row r="5" spans="1:42" ht="38.25" customHeight="1" x14ac:dyDescent="0.2">
      <c r="A5" s="2255" t="s">
        <v>78</v>
      </c>
      <c r="B5" s="2255" t="s">
        <v>77</v>
      </c>
      <c r="C5" s="2242" t="s">
        <v>0</v>
      </c>
      <c r="D5" s="2242" t="s">
        <v>3</v>
      </c>
      <c r="E5" s="2242"/>
      <c r="F5" s="2242"/>
      <c r="G5" s="2242"/>
      <c r="H5" s="2242"/>
      <c r="I5" s="2242"/>
      <c r="J5" s="2242"/>
      <c r="K5" s="2242"/>
      <c r="L5" s="2242"/>
      <c r="M5" s="2242"/>
      <c r="N5" s="2242"/>
      <c r="O5" s="2242"/>
      <c r="P5" s="2242"/>
      <c r="Q5" s="2242"/>
      <c r="R5" s="2242"/>
      <c r="S5" s="2242"/>
      <c r="T5" s="2242"/>
      <c r="U5" s="2242"/>
      <c r="V5" s="2242"/>
      <c r="W5" s="2242"/>
      <c r="X5" s="2242" t="s">
        <v>4</v>
      </c>
      <c r="Y5" s="2242"/>
      <c r="Z5" s="2242"/>
      <c r="AA5" s="2242"/>
      <c r="AB5" s="2242"/>
      <c r="AC5" s="2242"/>
      <c r="AD5" s="2242"/>
      <c r="AE5" s="2242"/>
      <c r="AF5" s="2242"/>
      <c r="AG5" s="2242"/>
      <c r="AH5" s="2242"/>
    </row>
    <row r="6" spans="1:42" ht="60" customHeight="1" x14ac:dyDescent="0.2">
      <c r="A6" s="2255"/>
      <c r="B6" s="2255"/>
      <c r="C6" s="2242"/>
      <c r="D6" s="2245" t="s">
        <v>79</v>
      </c>
      <c r="E6" s="2245" t="s">
        <v>69</v>
      </c>
      <c r="F6" s="2245" t="s">
        <v>89</v>
      </c>
      <c r="G6" s="2245" t="s">
        <v>1</v>
      </c>
      <c r="H6" s="2245" t="s">
        <v>2</v>
      </c>
      <c r="I6" s="2245" t="s">
        <v>70</v>
      </c>
      <c r="J6" s="2245" t="s">
        <v>61</v>
      </c>
      <c r="K6" s="2245" t="s">
        <v>27</v>
      </c>
      <c r="L6" s="2250" t="s">
        <v>65</v>
      </c>
      <c r="M6" s="2250" t="s">
        <v>86</v>
      </c>
      <c r="N6" s="2251" t="s">
        <v>90</v>
      </c>
      <c r="O6" s="2251"/>
      <c r="P6" s="2251" t="s">
        <v>88</v>
      </c>
      <c r="Q6" s="2250" t="s">
        <v>82</v>
      </c>
      <c r="R6" s="2245" t="s">
        <v>83</v>
      </c>
      <c r="S6" s="2250" t="s">
        <v>87</v>
      </c>
      <c r="T6" s="2245" t="s">
        <v>84</v>
      </c>
      <c r="U6" s="2245" t="s">
        <v>9</v>
      </c>
      <c r="V6" s="2245" t="s">
        <v>7</v>
      </c>
      <c r="W6" s="2245" t="s">
        <v>85</v>
      </c>
      <c r="X6" s="2242" t="s">
        <v>10</v>
      </c>
      <c r="Y6" s="2242"/>
      <c r="Z6" s="2242"/>
      <c r="AA6" s="2242" t="s">
        <v>11</v>
      </c>
      <c r="AB6" s="2242"/>
      <c r="AC6" s="2242"/>
      <c r="AD6" s="2242" t="s">
        <v>12</v>
      </c>
      <c r="AE6" s="2242"/>
      <c r="AF6" s="2242"/>
      <c r="AG6" s="2242" t="s">
        <v>13</v>
      </c>
      <c r="AH6" s="2242" t="s">
        <v>73</v>
      </c>
    </row>
    <row r="7" spans="1:42" ht="57" customHeight="1" x14ac:dyDescent="0.2">
      <c r="A7" s="2255"/>
      <c r="B7" s="2255"/>
      <c r="C7" s="2242"/>
      <c r="D7" s="2245"/>
      <c r="E7" s="2245"/>
      <c r="F7" s="2245"/>
      <c r="G7" s="2245"/>
      <c r="H7" s="2245"/>
      <c r="I7" s="2245"/>
      <c r="J7" s="2245"/>
      <c r="K7" s="2245"/>
      <c r="L7" s="2250" t="s">
        <v>66</v>
      </c>
      <c r="M7" s="2250"/>
      <c r="N7" s="41" t="s">
        <v>80</v>
      </c>
      <c r="O7" s="41" t="s">
        <v>81</v>
      </c>
      <c r="P7" s="2251"/>
      <c r="Q7" s="2250"/>
      <c r="R7" s="2245"/>
      <c r="S7" s="2250" t="s">
        <v>67</v>
      </c>
      <c r="T7" s="2245"/>
      <c r="U7" s="2245"/>
      <c r="V7" s="2245"/>
      <c r="W7" s="2245"/>
      <c r="X7" s="42" t="s">
        <v>5</v>
      </c>
      <c r="Y7" s="42" t="s">
        <v>6</v>
      </c>
      <c r="Z7" s="42" t="s">
        <v>74</v>
      </c>
      <c r="AA7" s="42" t="s">
        <v>5</v>
      </c>
      <c r="AB7" s="42" t="s">
        <v>6</v>
      </c>
      <c r="AC7" s="42" t="s">
        <v>75</v>
      </c>
      <c r="AD7" s="42" t="s">
        <v>5</v>
      </c>
      <c r="AE7" s="42" t="s">
        <v>6</v>
      </c>
      <c r="AF7" s="42" t="s">
        <v>76</v>
      </c>
      <c r="AG7" s="2242"/>
      <c r="AH7" s="2242"/>
      <c r="AJ7" s="33" t="s">
        <v>64</v>
      </c>
    </row>
    <row r="8" spans="1:42" ht="12.75" customHeight="1" x14ac:dyDescent="0.2">
      <c r="A8" s="23">
        <v>1</v>
      </c>
      <c r="B8" s="23">
        <v>2</v>
      </c>
      <c r="C8" s="23">
        <v>3</v>
      </c>
      <c r="D8" s="23">
        <v>4</v>
      </c>
      <c r="E8" s="23">
        <v>5</v>
      </c>
      <c r="F8" s="23">
        <v>6</v>
      </c>
      <c r="G8" s="23">
        <v>7</v>
      </c>
      <c r="H8" s="23">
        <v>8</v>
      </c>
      <c r="I8" s="23">
        <v>9</v>
      </c>
      <c r="J8" s="23">
        <v>10</v>
      </c>
      <c r="K8" s="23">
        <v>11</v>
      </c>
      <c r="L8" s="23">
        <v>12</v>
      </c>
      <c r="M8" s="23">
        <v>13</v>
      </c>
      <c r="N8" s="23">
        <v>14</v>
      </c>
      <c r="O8" s="23">
        <v>15</v>
      </c>
      <c r="P8" s="23">
        <v>16</v>
      </c>
      <c r="Q8" s="23">
        <v>17</v>
      </c>
      <c r="R8" s="23">
        <v>18</v>
      </c>
      <c r="S8" s="23">
        <v>19</v>
      </c>
      <c r="T8" s="23">
        <v>20</v>
      </c>
      <c r="U8" s="23">
        <v>21</v>
      </c>
      <c r="V8" s="23">
        <v>22</v>
      </c>
      <c r="W8" s="23">
        <v>23</v>
      </c>
      <c r="X8" s="23">
        <v>24</v>
      </c>
      <c r="Y8" s="23">
        <v>25</v>
      </c>
      <c r="Z8" s="23">
        <v>26</v>
      </c>
      <c r="AA8" s="23">
        <v>27</v>
      </c>
      <c r="AB8" s="23">
        <v>28</v>
      </c>
      <c r="AC8" s="23">
        <v>29</v>
      </c>
      <c r="AD8" s="23">
        <v>30</v>
      </c>
      <c r="AE8" s="23">
        <v>31</v>
      </c>
      <c r="AF8" s="23">
        <v>32</v>
      </c>
      <c r="AG8" s="23">
        <v>33</v>
      </c>
      <c r="AH8" s="23">
        <v>34</v>
      </c>
      <c r="AK8" s="43" t="s">
        <v>116</v>
      </c>
      <c r="AL8" s="43" t="s">
        <v>117</v>
      </c>
      <c r="AM8" s="43" t="s">
        <v>118</v>
      </c>
      <c r="AN8" s="43" t="s">
        <v>119</v>
      </c>
    </row>
    <row r="9" spans="1:42" ht="27" customHeight="1" x14ac:dyDescent="0.2">
      <c r="A9" s="23">
        <v>1</v>
      </c>
      <c r="B9" s="44" t="s">
        <v>21</v>
      </c>
      <c r="C9" s="23">
        <v>1</v>
      </c>
      <c r="D9" s="45">
        <v>21.991</v>
      </c>
      <c r="E9" s="46">
        <f>C9*D9</f>
        <v>21.99</v>
      </c>
      <c r="F9" s="47">
        <f>E9*12</f>
        <v>263.89999999999998</v>
      </c>
      <c r="G9" s="24"/>
      <c r="H9" s="24"/>
      <c r="I9" s="24"/>
      <c r="J9" s="24"/>
      <c r="K9" s="24">
        <f>D9*0.3*12+0.05*9</f>
        <v>79.599999999999994</v>
      </c>
      <c r="L9" s="24">
        <f>F9*$L$4</f>
        <v>85</v>
      </c>
      <c r="M9" s="24">
        <f t="shared" ref="M9:M27" si="0">F9+G9+H9+I9+J9+K9+L9</f>
        <v>428.5</v>
      </c>
      <c r="N9" s="48">
        <v>1.1100000000000001</v>
      </c>
      <c r="O9" s="24">
        <f t="shared" ref="O9:O27" si="1">M9*N9</f>
        <v>475.6</v>
      </c>
      <c r="P9" s="24">
        <f>M9+O9</f>
        <v>904.1</v>
      </c>
      <c r="Q9" s="24">
        <f>P9*0.8</f>
        <v>723.3</v>
      </c>
      <c r="R9" s="24">
        <f t="shared" ref="R9:R27" si="2">P9*0.8</f>
        <v>723.3</v>
      </c>
      <c r="S9" s="24">
        <f>(P9+Q9+R9)*0.032</f>
        <v>75.2</v>
      </c>
      <c r="T9" s="49">
        <f t="shared" ref="T9:T27" si="3">P9+Q9+R9+S9</f>
        <v>2425.9</v>
      </c>
      <c r="U9" s="2246">
        <v>1</v>
      </c>
      <c r="V9" s="49">
        <f>T9*$U$9</f>
        <v>2425.9</v>
      </c>
      <c r="W9" s="49">
        <f>AN9</f>
        <v>534.29999999999995</v>
      </c>
      <c r="X9" s="23">
        <v>1</v>
      </c>
      <c r="Y9" s="24">
        <v>30</v>
      </c>
      <c r="Z9" s="48">
        <f t="shared" ref="Z9:Z25" si="4">X9*Y9</f>
        <v>30</v>
      </c>
      <c r="AA9" s="23"/>
      <c r="AB9" s="24">
        <v>15</v>
      </c>
      <c r="AC9" s="48">
        <f t="shared" ref="AC9:AC25" si="5">AA9*AB9</f>
        <v>0</v>
      </c>
      <c r="AD9" s="23"/>
      <c r="AE9" s="24">
        <v>30</v>
      </c>
      <c r="AF9" s="48">
        <f t="shared" ref="AF9:AF25" si="6">AD9*AE9</f>
        <v>0</v>
      </c>
      <c r="AG9" s="48">
        <f t="shared" ref="AG9:AG25" si="7">(Z9+AC9+AF9)*1%*30</f>
        <v>9</v>
      </c>
      <c r="AH9" s="48">
        <f t="shared" ref="AH9:AH25" si="8">Z9+AC9+AF9+AG9</f>
        <v>39</v>
      </c>
      <c r="AI9" s="34">
        <f t="shared" ref="AI9:AI27" si="9">V9/12/C9*1000</f>
        <v>202158.3</v>
      </c>
      <c r="AJ9" s="34">
        <f t="shared" ref="AJ9:AJ27" si="10">V9/C9</f>
        <v>2425.9</v>
      </c>
      <c r="AK9" s="50">
        <f>1150*0.22*C9+(V9-1150*C9)*0.1</f>
        <v>380.6</v>
      </c>
      <c r="AL9" s="50">
        <f>865*0.029*C9</f>
        <v>25.1</v>
      </c>
      <c r="AM9" s="50">
        <f t="shared" ref="AM9:AM27" si="11">V9*0.053</f>
        <v>128.6</v>
      </c>
      <c r="AN9" s="50">
        <f>SUM(AK9:AM9)</f>
        <v>534.29999999999995</v>
      </c>
      <c r="AP9" s="51"/>
    </row>
    <row r="10" spans="1:42" ht="27" customHeight="1" x14ac:dyDescent="0.2">
      <c r="A10" s="23">
        <v>2</v>
      </c>
      <c r="B10" s="44" t="s">
        <v>125</v>
      </c>
      <c r="C10" s="23">
        <v>3</v>
      </c>
      <c r="D10" s="45">
        <v>15.394</v>
      </c>
      <c r="E10" s="46">
        <f>C10*D10</f>
        <v>46.18</v>
      </c>
      <c r="F10" s="47">
        <f>E10*12</f>
        <v>554.20000000000005</v>
      </c>
      <c r="G10" s="24"/>
      <c r="H10" s="24"/>
      <c r="I10" s="24"/>
      <c r="J10" s="24"/>
      <c r="K10" s="24">
        <f>D10*0.2*2*12+D10*0.4*12+D10*0.05*3</f>
        <v>150.1</v>
      </c>
      <c r="L10" s="24">
        <f t="shared" ref="L10:L25" si="12">F10*$L$4</f>
        <v>178.5</v>
      </c>
      <c r="M10" s="24">
        <f>F10+G10+H10+I10+J10+K10+L10</f>
        <v>882.8</v>
      </c>
      <c r="N10" s="48">
        <v>0.47</v>
      </c>
      <c r="O10" s="24">
        <f>M10*N10</f>
        <v>414.9</v>
      </c>
      <c r="P10" s="24">
        <f>M10+O10</f>
        <v>1297.7</v>
      </c>
      <c r="Q10" s="24">
        <f>P10*0.8</f>
        <v>1038.2</v>
      </c>
      <c r="R10" s="24">
        <f>P10*0.8</f>
        <v>1038.2</v>
      </c>
      <c r="S10" s="24">
        <f>(P10+Q10+R10)*0.032</f>
        <v>108</v>
      </c>
      <c r="T10" s="49">
        <f>P10+Q10+R10+S10</f>
        <v>3482.1</v>
      </c>
      <c r="U10" s="2247"/>
      <c r="V10" s="49">
        <f>T10*$U$9</f>
        <v>3482.1</v>
      </c>
      <c r="W10" s="49">
        <f>AN10</f>
        <v>1022.1</v>
      </c>
      <c r="X10" s="23">
        <v>2</v>
      </c>
      <c r="Y10" s="24">
        <v>30</v>
      </c>
      <c r="Z10" s="48">
        <f>X10*Y10</f>
        <v>60</v>
      </c>
      <c r="AA10" s="23">
        <v>1</v>
      </c>
      <c r="AB10" s="24">
        <v>15</v>
      </c>
      <c r="AC10" s="48">
        <f>AA10*AB10</f>
        <v>15</v>
      </c>
      <c r="AD10" s="23">
        <v>3</v>
      </c>
      <c r="AE10" s="24">
        <v>30</v>
      </c>
      <c r="AF10" s="48">
        <f>AD10*AE10</f>
        <v>90</v>
      </c>
      <c r="AG10" s="48">
        <f>(Z10+AC10+AF10)*1%*30</f>
        <v>49.5</v>
      </c>
      <c r="AH10" s="48">
        <f>Z10+AC10+AF10+AG10</f>
        <v>214.5</v>
      </c>
      <c r="AI10" s="34">
        <f t="shared" si="9"/>
        <v>96725</v>
      </c>
      <c r="AJ10" s="34">
        <f t="shared" si="10"/>
        <v>1160.7</v>
      </c>
      <c r="AK10" s="50">
        <f>1150*0.22*C10+(V10-1150*C10)*0.1</f>
        <v>762.2</v>
      </c>
      <c r="AL10" s="50">
        <f>865*0.029*C10</f>
        <v>75.3</v>
      </c>
      <c r="AM10" s="50">
        <f t="shared" ref="AM10" si="13">V10*0.053</f>
        <v>184.6</v>
      </c>
      <c r="AN10" s="50">
        <f>SUM(AK10:AM10)</f>
        <v>1022.1</v>
      </c>
      <c r="AP10" s="51"/>
    </row>
    <row r="11" spans="1:42" ht="27" customHeight="1" x14ac:dyDescent="0.2">
      <c r="A11" s="23">
        <v>3</v>
      </c>
      <c r="B11" s="52" t="s">
        <v>23</v>
      </c>
      <c r="C11" s="23">
        <v>7</v>
      </c>
      <c r="D11" s="53">
        <v>11.061999999999999</v>
      </c>
      <c r="E11" s="46">
        <f t="shared" ref="E11:E27" si="14">C11*D11</f>
        <v>77.430000000000007</v>
      </c>
      <c r="F11" s="47">
        <f t="shared" ref="F11:F27" si="15">E11*12</f>
        <v>929.2</v>
      </c>
      <c r="G11" s="24"/>
      <c r="H11" s="24">
        <f>(6470.9+1198.32)/1000</f>
        <v>7.7</v>
      </c>
      <c r="I11" s="24"/>
      <c r="J11" s="24"/>
      <c r="K11" s="24">
        <f>D11*0.25*12+D11*0.35*12+D11*0.4*4*12</f>
        <v>292</v>
      </c>
      <c r="L11" s="24">
        <f t="shared" si="12"/>
        <v>299.39999999999998</v>
      </c>
      <c r="M11" s="24">
        <f t="shared" si="0"/>
        <v>1528.3</v>
      </c>
      <c r="N11" s="48">
        <v>0.43</v>
      </c>
      <c r="O11" s="24">
        <f t="shared" si="1"/>
        <v>657.2</v>
      </c>
      <c r="P11" s="24">
        <f t="shared" ref="P11:P27" si="16">M11+O11</f>
        <v>2185.5</v>
      </c>
      <c r="Q11" s="24">
        <f t="shared" ref="Q11:Q27" si="17">P11*0.8</f>
        <v>1748.4</v>
      </c>
      <c r="R11" s="24">
        <f t="shared" si="2"/>
        <v>1748.4</v>
      </c>
      <c r="S11" s="24">
        <f t="shared" ref="S11:S27" si="18">(P11+Q11+R11)*0.032</f>
        <v>181.8</v>
      </c>
      <c r="T11" s="49">
        <f t="shared" si="3"/>
        <v>5864.1</v>
      </c>
      <c r="U11" s="2247"/>
      <c r="V11" s="49">
        <f t="shared" ref="V11:V25" si="19">T11*$U$9</f>
        <v>5864.1</v>
      </c>
      <c r="W11" s="49">
        <f>V11*0.302</f>
        <v>1771</v>
      </c>
      <c r="X11" s="23">
        <v>2</v>
      </c>
      <c r="Y11" s="24">
        <v>30</v>
      </c>
      <c r="Z11" s="48">
        <f t="shared" si="4"/>
        <v>60</v>
      </c>
      <c r="AA11" s="23">
        <v>3</v>
      </c>
      <c r="AB11" s="24">
        <v>15</v>
      </c>
      <c r="AC11" s="48">
        <f t="shared" si="5"/>
        <v>45</v>
      </c>
      <c r="AD11" s="23"/>
      <c r="AE11" s="24">
        <v>30</v>
      </c>
      <c r="AF11" s="48">
        <f t="shared" si="6"/>
        <v>0</v>
      </c>
      <c r="AG11" s="48">
        <f>(Z11+AC11+AF11)*1%*30</f>
        <v>31.5</v>
      </c>
      <c r="AH11" s="48">
        <f t="shared" si="8"/>
        <v>136.5</v>
      </c>
      <c r="AI11" s="34">
        <f t="shared" si="9"/>
        <v>69810.7</v>
      </c>
      <c r="AJ11" s="34">
        <f t="shared" si="10"/>
        <v>837.7</v>
      </c>
      <c r="AK11" s="50">
        <f t="shared" ref="AK11:AK27" si="20">V11*0.22</f>
        <v>1290.0999999999999</v>
      </c>
      <c r="AL11" s="50">
        <f>865*0.029*C11</f>
        <v>175.6</v>
      </c>
      <c r="AM11" s="50">
        <f t="shared" si="11"/>
        <v>310.8</v>
      </c>
      <c r="AN11" s="50">
        <f t="shared" ref="AN11:AN27" si="21">SUM(AK11:AM11)</f>
        <v>1776.5</v>
      </c>
      <c r="AP11" s="51"/>
    </row>
    <row r="12" spans="1:42" ht="27" customHeight="1" x14ac:dyDescent="0.2">
      <c r="A12" s="23">
        <v>4</v>
      </c>
      <c r="B12" s="52" t="s">
        <v>134</v>
      </c>
      <c r="C12" s="23">
        <v>1</v>
      </c>
      <c r="D12" s="53">
        <v>11.061999999999999</v>
      </c>
      <c r="E12" s="46">
        <f t="shared" ref="E12" si="22">C12*D12</f>
        <v>11.06</v>
      </c>
      <c r="F12" s="47">
        <f t="shared" ref="F12" si="23">E12*12</f>
        <v>132.69999999999999</v>
      </c>
      <c r="G12" s="24"/>
      <c r="H12" s="24">
        <f>1078.5/1000</f>
        <v>1.1000000000000001</v>
      </c>
      <c r="I12" s="24"/>
      <c r="J12" s="24"/>
      <c r="K12" s="24"/>
      <c r="L12" s="24">
        <f t="shared" ref="L12" si="24">F12*$L$4</f>
        <v>42.8</v>
      </c>
      <c r="M12" s="24">
        <f t="shared" ref="M12" si="25">F12+G12+H12+I12+J12+K12+L12</f>
        <v>176.6</v>
      </c>
      <c r="N12" s="48">
        <v>0.43</v>
      </c>
      <c r="O12" s="24">
        <f t="shared" ref="O12" si="26">M12*N12</f>
        <v>75.900000000000006</v>
      </c>
      <c r="P12" s="24">
        <f t="shared" ref="P12" si="27">M12+O12</f>
        <v>252.5</v>
      </c>
      <c r="Q12" s="24">
        <f t="shared" ref="Q12" si="28">P12*0.8</f>
        <v>202</v>
      </c>
      <c r="R12" s="24">
        <f t="shared" ref="R12" si="29">P12*0.8</f>
        <v>202</v>
      </c>
      <c r="S12" s="24">
        <f t="shared" ref="S12" si="30">(P12+Q12+R12)*0.032</f>
        <v>21</v>
      </c>
      <c r="T12" s="49">
        <f t="shared" ref="T12" si="31">P12+Q12+R12+S12</f>
        <v>677.5</v>
      </c>
      <c r="U12" s="2247"/>
      <c r="V12" s="49">
        <f t="shared" ref="V12" si="32">T12*$U$9</f>
        <v>677.5</v>
      </c>
      <c r="W12" s="49">
        <f t="shared" ref="W12:W26" si="33">V12*0.302</f>
        <v>204.6</v>
      </c>
      <c r="X12" s="23"/>
      <c r="Y12" s="24">
        <v>30</v>
      </c>
      <c r="Z12" s="48">
        <f t="shared" ref="Z12" si="34">X12*Y12</f>
        <v>0</v>
      </c>
      <c r="AA12" s="23"/>
      <c r="AB12" s="24">
        <v>15</v>
      </c>
      <c r="AC12" s="48">
        <f t="shared" ref="AC12" si="35">AA12*AB12</f>
        <v>0</v>
      </c>
      <c r="AD12" s="23"/>
      <c r="AE12" s="24">
        <v>30</v>
      </c>
      <c r="AF12" s="48">
        <f t="shared" ref="AF12" si="36">AD12*AE12</f>
        <v>0</v>
      </c>
      <c r="AG12" s="48">
        <f>(Z12+AC12+AF12)*1%*30</f>
        <v>0</v>
      </c>
      <c r="AH12" s="48">
        <f t="shared" ref="AH12" si="37">Z12+AC12+AF12+AG12</f>
        <v>0</v>
      </c>
      <c r="AI12" s="34">
        <f t="shared" si="9"/>
        <v>56458.3</v>
      </c>
      <c r="AJ12" s="34">
        <f t="shared" si="10"/>
        <v>677.5</v>
      </c>
      <c r="AK12" s="50">
        <f t="shared" si="20"/>
        <v>149.1</v>
      </c>
      <c r="AL12" s="50">
        <f t="shared" ref="AL12:AL27" si="38">912*0.029*C12</f>
        <v>26.4</v>
      </c>
      <c r="AM12" s="50">
        <f t="shared" si="11"/>
        <v>35.9</v>
      </c>
      <c r="AN12" s="50">
        <f t="shared" si="21"/>
        <v>211.4</v>
      </c>
      <c r="AP12" s="51"/>
    </row>
    <row r="13" spans="1:42" ht="27" customHeight="1" x14ac:dyDescent="0.2">
      <c r="A13" s="23">
        <v>5</v>
      </c>
      <c r="B13" s="52" t="s">
        <v>17</v>
      </c>
      <c r="C13" s="23">
        <v>1</v>
      </c>
      <c r="D13" s="53">
        <v>12.335000000000001</v>
      </c>
      <c r="E13" s="46">
        <f t="shared" si="14"/>
        <v>12.34</v>
      </c>
      <c r="F13" s="47">
        <f t="shared" si="15"/>
        <v>148.1</v>
      </c>
      <c r="G13" s="24"/>
      <c r="H13" s="24">
        <f>1202.6/1000</f>
        <v>1.2</v>
      </c>
      <c r="I13" s="24"/>
      <c r="J13" s="24"/>
      <c r="K13" s="24">
        <f>F13*0.4</f>
        <v>59.2</v>
      </c>
      <c r="L13" s="24">
        <f t="shared" si="12"/>
        <v>47.7</v>
      </c>
      <c r="M13" s="24">
        <f t="shared" si="0"/>
        <v>256.2</v>
      </c>
      <c r="N13" s="48">
        <v>0.47</v>
      </c>
      <c r="O13" s="24">
        <f t="shared" si="1"/>
        <v>120.4</v>
      </c>
      <c r="P13" s="24">
        <f t="shared" si="16"/>
        <v>376.6</v>
      </c>
      <c r="Q13" s="24">
        <f t="shared" si="17"/>
        <v>301.3</v>
      </c>
      <c r="R13" s="24">
        <f t="shared" si="2"/>
        <v>301.3</v>
      </c>
      <c r="S13" s="24">
        <f t="shared" si="18"/>
        <v>31.3</v>
      </c>
      <c r="T13" s="49">
        <f t="shared" si="3"/>
        <v>1010.5</v>
      </c>
      <c r="U13" s="2247"/>
      <c r="V13" s="49">
        <f t="shared" si="19"/>
        <v>1010.5</v>
      </c>
      <c r="W13" s="49">
        <f>AN13</f>
        <v>301</v>
      </c>
      <c r="X13" s="23">
        <v>1</v>
      </c>
      <c r="Y13" s="24">
        <v>30</v>
      </c>
      <c r="Z13" s="48">
        <f t="shared" si="4"/>
        <v>30</v>
      </c>
      <c r="AA13" s="23">
        <v>1</v>
      </c>
      <c r="AB13" s="24">
        <v>15</v>
      </c>
      <c r="AC13" s="48">
        <f t="shared" si="5"/>
        <v>15</v>
      </c>
      <c r="AD13" s="23">
        <v>1</v>
      </c>
      <c r="AE13" s="24">
        <v>30</v>
      </c>
      <c r="AF13" s="48">
        <f t="shared" si="6"/>
        <v>30</v>
      </c>
      <c r="AG13" s="48">
        <f t="shared" si="7"/>
        <v>22.5</v>
      </c>
      <c r="AH13" s="48">
        <f t="shared" si="8"/>
        <v>97.5</v>
      </c>
      <c r="AI13" s="34">
        <f t="shared" si="9"/>
        <v>84208.3</v>
      </c>
      <c r="AJ13" s="34">
        <f t="shared" si="10"/>
        <v>1010.5</v>
      </c>
      <c r="AK13" s="50">
        <f t="shared" ref="AK13" si="39">V13*0.22</f>
        <v>222.3</v>
      </c>
      <c r="AL13" s="50">
        <f>865*0.029*C13</f>
        <v>25.1</v>
      </c>
      <c r="AM13" s="50">
        <f t="shared" ref="AM13" si="40">V13*0.053</f>
        <v>53.6</v>
      </c>
      <c r="AN13" s="50">
        <f t="shared" ref="AN13" si="41">SUM(AK13:AM13)</f>
        <v>301</v>
      </c>
      <c r="AP13" s="51"/>
    </row>
    <row r="14" spans="1:42" ht="34.5" customHeight="1" x14ac:dyDescent="0.2">
      <c r="A14" s="23">
        <v>6</v>
      </c>
      <c r="B14" s="52" t="s">
        <v>129</v>
      </c>
      <c r="C14" s="54">
        <v>1</v>
      </c>
      <c r="D14" s="53">
        <v>8.4730000000000008</v>
      </c>
      <c r="E14" s="46">
        <f>C14*D14</f>
        <v>8.4700000000000006</v>
      </c>
      <c r="F14" s="47">
        <f>E14*11</f>
        <v>93.2</v>
      </c>
      <c r="G14" s="24"/>
      <c r="H14" s="24">
        <f>826.1/1000</f>
        <v>0.8</v>
      </c>
      <c r="I14" s="24"/>
      <c r="J14" s="24"/>
      <c r="K14" s="24">
        <f>F14*0.2</f>
        <v>18.600000000000001</v>
      </c>
      <c r="L14" s="24">
        <f t="shared" ref="L14" si="42">F14*$L$4</f>
        <v>30</v>
      </c>
      <c r="M14" s="24">
        <f t="shared" ref="M14" si="43">F14+G14+H14+I14+J14+K14+L14</f>
        <v>142.6</v>
      </c>
      <c r="N14" s="48">
        <v>0.41</v>
      </c>
      <c r="O14" s="24">
        <f t="shared" ref="O14" si="44">M14*N14</f>
        <v>58.5</v>
      </c>
      <c r="P14" s="24">
        <f t="shared" ref="P14" si="45">M14+O14</f>
        <v>201.1</v>
      </c>
      <c r="Q14" s="24">
        <f t="shared" ref="Q14" si="46">P14*0.8</f>
        <v>160.9</v>
      </c>
      <c r="R14" s="24">
        <f t="shared" ref="R14" si="47">P14*0.8</f>
        <v>160.9</v>
      </c>
      <c r="S14" s="24">
        <f t="shared" ref="S14" si="48">(P14+Q14+R14)*0.032</f>
        <v>16.7</v>
      </c>
      <c r="T14" s="49">
        <f t="shared" ref="T14" si="49">P14+Q14+R14+S14</f>
        <v>539.6</v>
      </c>
      <c r="U14" s="2247"/>
      <c r="V14" s="49">
        <f>T14*$U$9</f>
        <v>539.6</v>
      </c>
      <c r="W14" s="49">
        <f t="shared" si="33"/>
        <v>163</v>
      </c>
      <c r="X14" s="23">
        <v>1</v>
      </c>
      <c r="Y14" s="24">
        <v>30</v>
      </c>
      <c r="Z14" s="48">
        <f t="shared" ref="Z14" si="50">X14*Y14</f>
        <v>30</v>
      </c>
      <c r="AA14" s="23">
        <v>1</v>
      </c>
      <c r="AB14" s="24">
        <v>15</v>
      </c>
      <c r="AC14" s="48">
        <f t="shared" ref="AC14" si="51">AA14*AB14</f>
        <v>15</v>
      </c>
      <c r="AD14" s="23">
        <v>1</v>
      </c>
      <c r="AE14" s="24">
        <v>30</v>
      </c>
      <c r="AF14" s="48">
        <f t="shared" ref="AF14" si="52">AD14*AE14</f>
        <v>30</v>
      </c>
      <c r="AG14" s="48">
        <f t="shared" ref="AG14" si="53">(Z14+AC14+AF14)*1%*30</f>
        <v>22.5</v>
      </c>
      <c r="AH14" s="48">
        <f t="shared" ref="AH14" si="54">Z14+AC14+AF14+AG14</f>
        <v>97.5</v>
      </c>
      <c r="AI14" s="34">
        <f t="shared" si="9"/>
        <v>44966.7</v>
      </c>
      <c r="AJ14" s="34">
        <f t="shared" si="10"/>
        <v>539.6</v>
      </c>
      <c r="AK14" s="50">
        <f t="shared" si="20"/>
        <v>118.7</v>
      </c>
      <c r="AL14" s="50">
        <f t="shared" si="38"/>
        <v>26.4</v>
      </c>
      <c r="AM14" s="50">
        <f t="shared" si="11"/>
        <v>28.6</v>
      </c>
      <c r="AN14" s="50">
        <f t="shared" si="21"/>
        <v>173.7</v>
      </c>
      <c r="AP14" s="51"/>
    </row>
    <row r="15" spans="1:42" ht="27" customHeight="1" x14ac:dyDescent="0.2">
      <c r="A15" s="23">
        <v>7</v>
      </c>
      <c r="B15" s="52" t="s">
        <v>22</v>
      </c>
      <c r="C15" s="277">
        <v>1</v>
      </c>
      <c r="D15" s="53">
        <v>11.061999999999999</v>
      </c>
      <c r="E15" s="46">
        <f>C15*D15</f>
        <v>11.06</v>
      </c>
      <c r="F15" s="47">
        <f>E15*12</f>
        <v>132.69999999999999</v>
      </c>
      <c r="G15" s="24"/>
      <c r="H15" s="24">
        <f>1078.5/1000</f>
        <v>1.1000000000000001</v>
      </c>
      <c r="I15" s="24"/>
      <c r="J15" s="24"/>
      <c r="K15" s="24">
        <f>F15*0.4</f>
        <v>53.1</v>
      </c>
      <c r="L15" s="24">
        <f t="shared" si="12"/>
        <v>42.8</v>
      </c>
      <c r="M15" s="24">
        <f>F15+G15+H15+I15+J15+K15+L15</f>
        <v>229.7</v>
      </c>
      <c r="N15" s="48">
        <v>0.43</v>
      </c>
      <c r="O15" s="24">
        <f>M15*N15</f>
        <v>98.8</v>
      </c>
      <c r="P15" s="24">
        <f>M15+O15</f>
        <v>328.5</v>
      </c>
      <c r="Q15" s="24">
        <f>P15*0.8</f>
        <v>262.8</v>
      </c>
      <c r="R15" s="24">
        <f>P15*0.8</f>
        <v>262.8</v>
      </c>
      <c r="S15" s="24">
        <f>(P15+Q15+R15)*0.032</f>
        <v>27.3</v>
      </c>
      <c r="T15" s="49">
        <f>P15+Q15+R15+S15</f>
        <v>881.4</v>
      </c>
      <c r="U15" s="2247"/>
      <c r="V15" s="49">
        <f>T15*$U$9</f>
        <v>881.4</v>
      </c>
      <c r="W15" s="49">
        <f>AN15</f>
        <v>265.7</v>
      </c>
      <c r="X15" s="23">
        <v>1</v>
      </c>
      <c r="Y15" s="24">
        <v>30</v>
      </c>
      <c r="Z15" s="48">
        <f>X15*Y15</f>
        <v>30</v>
      </c>
      <c r="AA15" s="23"/>
      <c r="AB15" s="24">
        <v>15</v>
      </c>
      <c r="AC15" s="48">
        <f>AA15*AB15</f>
        <v>0</v>
      </c>
      <c r="AD15" s="23"/>
      <c r="AE15" s="24">
        <v>30</v>
      </c>
      <c r="AF15" s="48">
        <f>AD15*AE15</f>
        <v>0</v>
      </c>
      <c r="AG15" s="48">
        <f>(Z15+AC15+AF15)*1%*30</f>
        <v>9</v>
      </c>
      <c r="AH15" s="48">
        <f>Z15+AC15+AF15+AG15</f>
        <v>39</v>
      </c>
      <c r="AI15" s="34">
        <f t="shared" si="9"/>
        <v>73450</v>
      </c>
      <c r="AJ15" s="34">
        <f t="shared" si="10"/>
        <v>881.4</v>
      </c>
      <c r="AK15" s="50">
        <f t="shared" ref="AK15" si="55">V15*0.22</f>
        <v>193.9</v>
      </c>
      <c r="AL15" s="50">
        <f>865*0.029*C15</f>
        <v>25.1</v>
      </c>
      <c r="AM15" s="50">
        <f t="shared" ref="AM15" si="56">V15*0.053</f>
        <v>46.7</v>
      </c>
      <c r="AN15" s="50">
        <f t="shared" ref="AN15" si="57">SUM(AK15:AM15)</f>
        <v>265.7</v>
      </c>
      <c r="AP15" s="51"/>
    </row>
    <row r="16" spans="1:42" ht="27" customHeight="1" x14ac:dyDescent="0.2">
      <c r="A16" s="23">
        <v>8</v>
      </c>
      <c r="B16" s="52" t="s">
        <v>28</v>
      </c>
      <c r="C16" s="54">
        <v>5</v>
      </c>
      <c r="D16" s="53">
        <v>9.593</v>
      </c>
      <c r="E16" s="46">
        <f t="shared" si="14"/>
        <v>47.97</v>
      </c>
      <c r="F16" s="47">
        <f t="shared" si="15"/>
        <v>575.6</v>
      </c>
      <c r="G16" s="24"/>
      <c r="H16" s="24">
        <f>4.78</f>
        <v>4.8</v>
      </c>
      <c r="I16" s="24"/>
      <c r="J16" s="24"/>
      <c r="K16" s="24">
        <f>D16*0.2*2*12+D16*0.05*5.5+D16*0.2*7.5</f>
        <v>63.1</v>
      </c>
      <c r="L16" s="24">
        <f t="shared" si="12"/>
        <v>185.4</v>
      </c>
      <c r="M16" s="24">
        <f t="shared" si="0"/>
        <v>828.9</v>
      </c>
      <c r="N16" s="48">
        <v>0.43</v>
      </c>
      <c r="O16" s="24">
        <f t="shared" si="1"/>
        <v>356.4</v>
      </c>
      <c r="P16" s="24">
        <f t="shared" si="16"/>
        <v>1185.3</v>
      </c>
      <c r="Q16" s="24">
        <f t="shared" si="17"/>
        <v>948.2</v>
      </c>
      <c r="R16" s="24">
        <f t="shared" si="2"/>
        <v>948.2</v>
      </c>
      <c r="S16" s="24">
        <f t="shared" si="18"/>
        <v>98.6</v>
      </c>
      <c r="T16" s="49">
        <f t="shared" si="3"/>
        <v>3180.3</v>
      </c>
      <c r="U16" s="2247"/>
      <c r="V16" s="49">
        <f>T16*$U$9</f>
        <v>3180.3</v>
      </c>
      <c r="W16" s="49">
        <f t="shared" si="33"/>
        <v>960.5</v>
      </c>
      <c r="X16" s="23"/>
      <c r="Y16" s="24">
        <v>30</v>
      </c>
      <c r="Z16" s="48">
        <f t="shared" si="4"/>
        <v>0</v>
      </c>
      <c r="AA16" s="23"/>
      <c r="AB16" s="24">
        <v>15</v>
      </c>
      <c r="AC16" s="48">
        <f t="shared" si="5"/>
        <v>0</v>
      </c>
      <c r="AD16" s="23"/>
      <c r="AE16" s="24">
        <v>30</v>
      </c>
      <c r="AF16" s="48">
        <f t="shared" si="6"/>
        <v>0</v>
      </c>
      <c r="AG16" s="48">
        <f t="shared" si="7"/>
        <v>0</v>
      </c>
      <c r="AH16" s="48">
        <f t="shared" si="8"/>
        <v>0</v>
      </c>
      <c r="AI16" s="34">
        <f t="shared" si="9"/>
        <v>53005</v>
      </c>
      <c r="AJ16" s="34">
        <f t="shared" si="10"/>
        <v>636.1</v>
      </c>
      <c r="AK16" s="50">
        <f t="shared" si="20"/>
        <v>699.7</v>
      </c>
      <c r="AL16" s="50">
        <f t="shared" si="38"/>
        <v>132.19999999999999</v>
      </c>
      <c r="AM16" s="50">
        <f t="shared" si="11"/>
        <v>168.6</v>
      </c>
      <c r="AN16" s="50">
        <f t="shared" si="21"/>
        <v>1000.5</v>
      </c>
      <c r="AP16" s="51"/>
    </row>
    <row r="17" spans="1:42" ht="27" customHeight="1" x14ac:dyDescent="0.2">
      <c r="A17" s="23">
        <v>9</v>
      </c>
      <c r="B17" s="52" t="s">
        <v>24</v>
      </c>
      <c r="C17" s="54">
        <v>15</v>
      </c>
      <c r="D17" s="53">
        <v>8.5419999999999998</v>
      </c>
      <c r="E17" s="46">
        <f t="shared" si="14"/>
        <v>128.13</v>
      </c>
      <c r="F17" s="47">
        <f t="shared" si="15"/>
        <v>1537.6</v>
      </c>
      <c r="G17" s="24"/>
      <c r="H17" s="24">
        <f>14.25</f>
        <v>14.3</v>
      </c>
      <c r="I17" s="24"/>
      <c r="J17" s="24"/>
      <c r="K17" s="24">
        <f>D17*0.2*8*12+D17*0.25*12+D17*0.05*12+D17*0.3*12</f>
        <v>225.5</v>
      </c>
      <c r="L17" s="24">
        <f t="shared" si="12"/>
        <v>495.4</v>
      </c>
      <c r="M17" s="24">
        <f t="shared" si="0"/>
        <v>2272.8000000000002</v>
      </c>
      <c r="N17" s="48">
        <v>0.4</v>
      </c>
      <c r="O17" s="24">
        <f t="shared" si="1"/>
        <v>909.1</v>
      </c>
      <c r="P17" s="24">
        <f t="shared" si="16"/>
        <v>3181.9</v>
      </c>
      <c r="Q17" s="24">
        <f t="shared" si="17"/>
        <v>2545.5</v>
      </c>
      <c r="R17" s="24">
        <f t="shared" si="2"/>
        <v>2545.5</v>
      </c>
      <c r="S17" s="24">
        <f t="shared" si="18"/>
        <v>264.7</v>
      </c>
      <c r="T17" s="49">
        <f t="shared" si="3"/>
        <v>8537.6</v>
      </c>
      <c r="U17" s="2247"/>
      <c r="V17" s="49">
        <f t="shared" si="19"/>
        <v>8537.6</v>
      </c>
      <c r="W17" s="49">
        <f t="shared" si="33"/>
        <v>2578.4</v>
      </c>
      <c r="X17" s="23">
        <v>10</v>
      </c>
      <c r="Y17" s="24">
        <v>30</v>
      </c>
      <c r="Z17" s="48">
        <f t="shared" si="4"/>
        <v>300</v>
      </c>
      <c r="AA17" s="23">
        <v>3</v>
      </c>
      <c r="AB17" s="24">
        <v>15</v>
      </c>
      <c r="AC17" s="48">
        <f t="shared" si="5"/>
        <v>45</v>
      </c>
      <c r="AD17" s="23">
        <v>2</v>
      </c>
      <c r="AE17" s="24">
        <v>30</v>
      </c>
      <c r="AF17" s="48">
        <f t="shared" si="6"/>
        <v>60</v>
      </c>
      <c r="AG17" s="48">
        <f>(Z17+AC17+AF17)*1%*30</f>
        <v>121.5</v>
      </c>
      <c r="AH17" s="48">
        <f t="shared" si="8"/>
        <v>526.5</v>
      </c>
      <c r="AI17" s="34">
        <f t="shared" si="9"/>
        <v>47431.1</v>
      </c>
      <c r="AJ17" s="34">
        <f t="shared" si="10"/>
        <v>569.20000000000005</v>
      </c>
      <c r="AK17" s="50">
        <f t="shared" si="20"/>
        <v>1878.3</v>
      </c>
      <c r="AL17" s="50">
        <f t="shared" si="38"/>
        <v>396.7</v>
      </c>
      <c r="AM17" s="50">
        <f t="shared" si="11"/>
        <v>452.5</v>
      </c>
      <c r="AN17" s="50">
        <f t="shared" si="21"/>
        <v>2727.5</v>
      </c>
      <c r="AP17" s="51"/>
    </row>
    <row r="18" spans="1:42" ht="27" customHeight="1" x14ac:dyDescent="0.2">
      <c r="A18" s="23">
        <v>10</v>
      </c>
      <c r="B18" s="55" t="s">
        <v>26</v>
      </c>
      <c r="C18" s="56">
        <v>16</v>
      </c>
      <c r="D18" s="53">
        <v>4.3109999999999999</v>
      </c>
      <c r="E18" s="46">
        <f>C18*D18</f>
        <v>68.98</v>
      </c>
      <c r="F18" s="47">
        <f>E18*12</f>
        <v>827.8</v>
      </c>
      <c r="G18" s="24"/>
      <c r="H18" s="24">
        <f>27739.8/1000</f>
        <v>27.7</v>
      </c>
      <c r="I18" s="24"/>
      <c r="J18" s="24"/>
      <c r="K18" s="24"/>
      <c r="L18" s="24">
        <v>390</v>
      </c>
      <c r="M18" s="24">
        <f>F18+G18+H18+I18+J18+K18+L18</f>
        <v>1245.5</v>
      </c>
      <c r="N18" s="48">
        <v>0.75</v>
      </c>
      <c r="O18" s="24">
        <f>M18*N18</f>
        <v>934.1</v>
      </c>
      <c r="P18" s="24">
        <f>M18+O18</f>
        <v>2179.6</v>
      </c>
      <c r="Q18" s="24">
        <f>P18*0.8</f>
        <v>1743.7</v>
      </c>
      <c r="R18" s="24">
        <f>P18*0.8</f>
        <v>1743.7</v>
      </c>
      <c r="S18" s="24">
        <f>(P18+Q18+R18)*0.032</f>
        <v>181.3</v>
      </c>
      <c r="T18" s="49">
        <f>P18+Q18+R18+S18</f>
        <v>5848.3</v>
      </c>
      <c r="U18" s="2247"/>
      <c r="V18" s="49">
        <f>T18*$U$9</f>
        <v>5848.3</v>
      </c>
      <c r="W18" s="49">
        <f t="shared" si="33"/>
        <v>1766.2</v>
      </c>
      <c r="X18" s="23">
        <v>7</v>
      </c>
      <c r="Y18" s="24">
        <v>30</v>
      </c>
      <c r="Z18" s="48">
        <f>X18*Y18</f>
        <v>210</v>
      </c>
      <c r="AA18" s="23">
        <v>2</v>
      </c>
      <c r="AB18" s="24">
        <v>15</v>
      </c>
      <c r="AC18" s="48">
        <f>AA18*AB18</f>
        <v>30</v>
      </c>
      <c r="AD18" s="23">
        <v>1</v>
      </c>
      <c r="AE18" s="24">
        <v>30</v>
      </c>
      <c r="AF18" s="48">
        <f>AD18*AE18</f>
        <v>30</v>
      </c>
      <c r="AG18" s="48">
        <f>(Z18+AC18+AF18)*1%*30</f>
        <v>81</v>
      </c>
      <c r="AH18" s="48">
        <f>Z18+AC18+AF18+AG18</f>
        <v>351</v>
      </c>
      <c r="AI18" s="34">
        <f t="shared" si="9"/>
        <v>30459.9</v>
      </c>
      <c r="AJ18" s="34">
        <f t="shared" si="10"/>
        <v>365.5</v>
      </c>
      <c r="AK18" s="50">
        <f t="shared" si="20"/>
        <v>1286.5999999999999</v>
      </c>
      <c r="AL18" s="50">
        <f t="shared" si="38"/>
        <v>423.2</v>
      </c>
      <c r="AM18" s="50">
        <f t="shared" si="11"/>
        <v>310</v>
      </c>
      <c r="AN18" s="50">
        <f t="shared" si="21"/>
        <v>2019.8</v>
      </c>
      <c r="AP18" s="51"/>
    </row>
    <row r="19" spans="1:42" ht="27" customHeight="1" x14ac:dyDescent="0.2">
      <c r="A19" s="23">
        <v>11</v>
      </c>
      <c r="B19" s="55" t="s">
        <v>50</v>
      </c>
      <c r="C19" s="57">
        <v>2</v>
      </c>
      <c r="D19" s="53">
        <v>8.4730000000000008</v>
      </c>
      <c r="E19" s="46">
        <f t="shared" si="14"/>
        <v>16.95</v>
      </c>
      <c r="F19" s="47">
        <f t="shared" si="15"/>
        <v>203.4</v>
      </c>
      <c r="G19" s="24"/>
      <c r="H19" s="24">
        <f>1652.1/1000</f>
        <v>1.7</v>
      </c>
      <c r="I19" s="24"/>
      <c r="J19" s="24"/>
      <c r="K19" s="24">
        <f>D19*0.25*12+D19*0.2*12</f>
        <v>45.8</v>
      </c>
      <c r="L19" s="24">
        <f t="shared" si="12"/>
        <v>65.5</v>
      </c>
      <c r="M19" s="24">
        <f t="shared" si="0"/>
        <v>316.39999999999998</v>
      </c>
      <c r="N19" s="48">
        <v>0.41</v>
      </c>
      <c r="O19" s="24">
        <f t="shared" si="1"/>
        <v>129.69999999999999</v>
      </c>
      <c r="P19" s="24">
        <f t="shared" si="16"/>
        <v>446.1</v>
      </c>
      <c r="Q19" s="24">
        <f t="shared" si="17"/>
        <v>356.9</v>
      </c>
      <c r="R19" s="24">
        <f t="shared" si="2"/>
        <v>356.9</v>
      </c>
      <c r="S19" s="24">
        <f t="shared" si="18"/>
        <v>37.1</v>
      </c>
      <c r="T19" s="49">
        <f t="shared" si="3"/>
        <v>1197</v>
      </c>
      <c r="U19" s="2247"/>
      <c r="V19" s="49">
        <f t="shared" si="19"/>
        <v>1197</v>
      </c>
      <c r="W19" s="49">
        <f t="shared" si="33"/>
        <v>361.5</v>
      </c>
      <c r="X19" s="23">
        <v>2</v>
      </c>
      <c r="Y19" s="24">
        <v>30</v>
      </c>
      <c r="Z19" s="48">
        <f t="shared" si="4"/>
        <v>60</v>
      </c>
      <c r="AA19" s="23"/>
      <c r="AB19" s="24">
        <v>15</v>
      </c>
      <c r="AC19" s="48">
        <f t="shared" si="5"/>
        <v>0</v>
      </c>
      <c r="AD19" s="23"/>
      <c r="AE19" s="24">
        <v>30</v>
      </c>
      <c r="AF19" s="48">
        <f t="shared" si="6"/>
        <v>0</v>
      </c>
      <c r="AG19" s="48">
        <f t="shared" si="7"/>
        <v>18</v>
      </c>
      <c r="AH19" s="48">
        <f t="shared" si="8"/>
        <v>78</v>
      </c>
      <c r="AI19" s="34">
        <f t="shared" si="9"/>
        <v>49875</v>
      </c>
      <c r="AJ19" s="34">
        <f t="shared" si="10"/>
        <v>598.5</v>
      </c>
      <c r="AK19" s="50">
        <f t="shared" si="20"/>
        <v>263.3</v>
      </c>
      <c r="AL19" s="50">
        <f t="shared" si="38"/>
        <v>52.9</v>
      </c>
      <c r="AM19" s="50">
        <f t="shared" si="11"/>
        <v>63.4</v>
      </c>
      <c r="AN19" s="50">
        <f t="shared" si="21"/>
        <v>379.6</v>
      </c>
      <c r="AP19" s="51"/>
    </row>
    <row r="20" spans="1:42" ht="27" customHeight="1" x14ac:dyDescent="0.2">
      <c r="A20" s="23">
        <v>12</v>
      </c>
      <c r="B20" s="52" t="s">
        <v>18</v>
      </c>
      <c r="C20" s="47">
        <v>1</v>
      </c>
      <c r="D20" s="53">
        <v>8.4730000000000008</v>
      </c>
      <c r="E20" s="46">
        <f t="shared" si="14"/>
        <v>8.4700000000000006</v>
      </c>
      <c r="F20" s="47">
        <f t="shared" si="15"/>
        <v>101.6</v>
      </c>
      <c r="G20" s="24"/>
      <c r="H20" s="24">
        <f>826.1/1000</f>
        <v>0.8</v>
      </c>
      <c r="I20" s="24"/>
      <c r="J20" s="24"/>
      <c r="K20" s="24">
        <f>D20*0.35*12+D20*0.05*9</f>
        <v>39.4</v>
      </c>
      <c r="L20" s="24">
        <f t="shared" si="12"/>
        <v>32.700000000000003</v>
      </c>
      <c r="M20" s="24">
        <f t="shared" si="0"/>
        <v>174.5</v>
      </c>
      <c r="N20" s="48">
        <v>0.41</v>
      </c>
      <c r="O20" s="24">
        <f t="shared" si="1"/>
        <v>71.5</v>
      </c>
      <c r="P20" s="24">
        <f t="shared" si="16"/>
        <v>246</v>
      </c>
      <c r="Q20" s="24">
        <f t="shared" si="17"/>
        <v>196.8</v>
      </c>
      <c r="R20" s="24">
        <f t="shared" si="2"/>
        <v>196.8</v>
      </c>
      <c r="S20" s="24">
        <f t="shared" si="18"/>
        <v>20.5</v>
      </c>
      <c r="T20" s="49">
        <f t="shared" si="3"/>
        <v>660.1</v>
      </c>
      <c r="U20" s="2247"/>
      <c r="V20" s="49">
        <f t="shared" si="19"/>
        <v>660.1</v>
      </c>
      <c r="W20" s="49">
        <f t="shared" si="33"/>
        <v>199.4</v>
      </c>
      <c r="X20" s="23"/>
      <c r="Y20" s="24">
        <v>30</v>
      </c>
      <c r="Z20" s="48">
        <f t="shared" si="4"/>
        <v>0</v>
      </c>
      <c r="AA20" s="23"/>
      <c r="AB20" s="24">
        <v>15</v>
      </c>
      <c r="AC20" s="48">
        <f t="shared" si="5"/>
        <v>0</v>
      </c>
      <c r="AD20" s="23"/>
      <c r="AE20" s="24">
        <v>30</v>
      </c>
      <c r="AF20" s="48">
        <f t="shared" si="6"/>
        <v>0</v>
      </c>
      <c r="AG20" s="48">
        <f t="shared" si="7"/>
        <v>0</v>
      </c>
      <c r="AH20" s="48">
        <f t="shared" si="8"/>
        <v>0</v>
      </c>
      <c r="AI20" s="34">
        <f t="shared" si="9"/>
        <v>55008.3</v>
      </c>
      <c r="AJ20" s="34">
        <f t="shared" si="10"/>
        <v>660.1</v>
      </c>
      <c r="AK20" s="50">
        <f t="shared" si="20"/>
        <v>145.19999999999999</v>
      </c>
      <c r="AL20" s="50">
        <f t="shared" si="38"/>
        <v>26.4</v>
      </c>
      <c r="AM20" s="50">
        <f t="shared" si="11"/>
        <v>35</v>
      </c>
      <c r="AN20" s="50">
        <f t="shared" si="21"/>
        <v>206.6</v>
      </c>
      <c r="AP20" s="51"/>
    </row>
    <row r="21" spans="1:42" ht="27" customHeight="1" x14ac:dyDescent="0.2">
      <c r="A21" s="23">
        <v>13</v>
      </c>
      <c r="B21" s="52" t="s">
        <v>106</v>
      </c>
      <c r="C21" s="47">
        <v>1</v>
      </c>
      <c r="D21" s="53">
        <v>8.4730000000000008</v>
      </c>
      <c r="E21" s="46">
        <f t="shared" ref="E21" si="58">C21*D21</f>
        <v>8.4700000000000006</v>
      </c>
      <c r="F21" s="47">
        <f t="shared" ref="F21" si="59">E21*12</f>
        <v>101.6</v>
      </c>
      <c r="G21" s="24"/>
      <c r="H21" s="24">
        <f>917.9/1000</f>
        <v>0.9</v>
      </c>
      <c r="I21" s="24"/>
      <c r="J21" s="24"/>
      <c r="K21" s="24"/>
      <c r="L21" s="24">
        <f t="shared" ref="L21" si="60">F21*$L$4</f>
        <v>32.700000000000003</v>
      </c>
      <c r="M21" s="24">
        <f t="shared" ref="M21" si="61">F21+G21+H21+I21+J21+K21+L21</f>
        <v>135.19999999999999</v>
      </c>
      <c r="N21" s="48">
        <v>0.47</v>
      </c>
      <c r="O21" s="24">
        <f t="shared" si="1"/>
        <v>63.5</v>
      </c>
      <c r="P21" s="24">
        <f t="shared" si="16"/>
        <v>198.7</v>
      </c>
      <c r="Q21" s="24">
        <f t="shared" si="17"/>
        <v>159</v>
      </c>
      <c r="R21" s="24">
        <f t="shared" si="2"/>
        <v>159</v>
      </c>
      <c r="S21" s="24">
        <f t="shared" si="18"/>
        <v>16.5</v>
      </c>
      <c r="T21" s="49">
        <f t="shared" si="3"/>
        <v>533.20000000000005</v>
      </c>
      <c r="U21" s="2247"/>
      <c r="V21" s="49">
        <f t="shared" si="19"/>
        <v>533.20000000000005</v>
      </c>
      <c r="W21" s="49">
        <f t="shared" si="33"/>
        <v>161</v>
      </c>
      <c r="X21" s="23"/>
      <c r="Y21" s="24">
        <v>30</v>
      </c>
      <c r="Z21" s="48">
        <f t="shared" ref="Z21" si="62">X21*Y21</f>
        <v>0</v>
      </c>
      <c r="AA21" s="23"/>
      <c r="AB21" s="24">
        <v>15</v>
      </c>
      <c r="AC21" s="48">
        <f t="shared" ref="AC21" si="63">AA21*AB21</f>
        <v>0</v>
      </c>
      <c r="AD21" s="23"/>
      <c r="AE21" s="24">
        <v>30</v>
      </c>
      <c r="AF21" s="48">
        <f t="shared" ref="AF21" si="64">AD21*AE21</f>
        <v>0</v>
      </c>
      <c r="AG21" s="48">
        <f t="shared" ref="AG21" si="65">(Z21+AC21+AF21)*1%*30</f>
        <v>0</v>
      </c>
      <c r="AH21" s="48">
        <f t="shared" ref="AH21" si="66">Z21+AC21+AF21+AG21</f>
        <v>0</v>
      </c>
      <c r="AI21" s="34">
        <f t="shared" si="9"/>
        <v>44433.3</v>
      </c>
      <c r="AJ21" s="34">
        <f t="shared" si="10"/>
        <v>533.20000000000005</v>
      </c>
      <c r="AK21" s="50">
        <f t="shared" si="20"/>
        <v>117.3</v>
      </c>
      <c r="AL21" s="50">
        <f t="shared" si="38"/>
        <v>26.4</v>
      </c>
      <c r="AM21" s="50">
        <f t="shared" si="11"/>
        <v>28.3</v>
      </c>
      <c r="AN21" s="50">
        <f t="shared" si="21"/>
        <v>172</v>
      </c>
      <c r="AP21" s="51"/>
    </row>
    <row r="22" spans="1:42" ht="23.25" customHeight="1" x14ac:dyDescent="0.2">
      <c r="A22" s="23">
        <v>14</v>
      </c>
      <c r="B22" s="52" t="s">
        <v>29</v>
      </c>
      <c r="C22" s="57">
        <v>1</v>
      </c>
      <c r="D22" s="53">
        <v>8.4730000000000008</v>
      </c>
      <c r="E22" s="46">
        <f>C22*D22</f>
        <v>8.4700000000000006</v>
      </c>
      <c r="F22" s="47">
        <f>E22*12</f>
        <v>101.6</v>
      </c>
      <c r="G22" s="24"/>
      <c r="H22" s="24">
        <f>1239.1/1000</f>
        <v>1.2</v>
      </c>
      <c r="I22" s="24"/>
      <c r="J22" s="24"/>
      <c r="K22" s="24">
        <f>D22*0.4*12</f>
        <v>40.700000000000003</v>
      </c>
      <c r="L22" s="24">
        <f t="shared" si="12"/>
        <v>32.700000000000003</v>
      </c>
      <c r="M22" s="24">
        <f>F22+G22+H22+I22+J22+K22+L22</f>
        <v>176.2</v>
      </c>
      <c r="N22" s="48">
        <v>0.41</v>
      </c>
      <c r="O22" s="24">
        <f t="shared" si="1"/>
        <v>72.2</v>
      </c>
      <c r="P22" s="24">
        <f t="shared" si="16"/>
        <v>248.4</v>
      </c>
      <c r="Q22" s="24">
        <f t="shared" si="17"/>
        <v>198.7</v>
      </c>
      <c r="R22" s="24">
        <f t="shared" si="2"/>
        <v>198.7</v>
      </c>
      <c r="S22" s="24">
        <f t="shared" si="18"/>
        <v>20.7</v>
      </c>
      <c r="T22" s="49">
        <f t="shared" si="3"/>
        <v>666.5</v>
      </c>
      <c r="U22" s="2247"/>
      <c r="V22" s="49">
        <f t="shared" si="19"/>
        <v>666.5</v>
      </c>
      <c r="W22" s="49">
        <f t="shared" si="33"/>
        <v>201.3</v>
      </c>
      <c r="X22" s="23">
        <v>2</v>
      </c>
      <c r="Y22" s="24">
        <v>30</v>
      </c>
      <c r="Z22" s="48">
        <f t="shared" si="4"/>
        <v>60</v>
      </c>
      <c r="AA22" s="23">
        <v>1</v>
      </c>
      <c r="AB22" s="24">
        <v>15</v>
      </c>
      <c r="AC22" s="48">
        <f t="shared" si="5"/>
        <v>15</v>
      </c>
      <c r="AD22" s="23"/>
      <c r="AE22" s="24">
        <v>30</v>
      </c>
      <c r="AF22" s="48">
        <f t="shared" si="6"/>
        <v>0</v>
      </c>
      <c r="AG22" s="48">
        <f t="shared" si="7"/>
        <v>22.5</v>
      </c>
      <c r="AH22" s="48">
        <f t="shared" si="8"/>
        <v>97.5</v>
      </c>
      <c r="AI22" s="34">
        <f t="shared" si="9"/>
        <v>55541.7</v>
      </c>
      <c r="AJ22" s="34">
        <f t="shared" si="10"/>
        <v>666.5</v>
      </c>
      <c r="AK22" s="50">
        <f t="shared" si="20"/>
        <v>146.6</v>
      </c>
      <c r="AL22" s="50">
        <f t="shared" si="38"/>
        <v>26.4</v>
      </c>
      <c r="AM22" s="50">
        <f t="shared" si="11"/>
        <v>35.299999999999997</v>
      </c>
      <c r="AN22" s="50">
        <f t="shared" si="21"/>
        <v>208.3</v>
      </c>
      <c r="AP22" s="51"/>
    </row>
    <row r="23" spans="1:42" ht="23.25" customHeight="1" x14ac:dyDescent="0.2">
      <c r="A23" s="23">
        <v>15</v>
      </c>
      <c r="B23" s="52" t="s">
        <v>20</v>
      </c>
      <c r="C23" s="47">
        <v>0.5</v>
      </c>
      <c r="D23" s="53">
        <v>8.4730000000000008</v>
      </c>
      <c r="E23" s="46">
        <f>C23*D23</f>
        <v>4.24</v>
      </c>
      <c r="F23" s="47">
        <f>E23*12</f>
        <v>50.9</v>
      </c>
      <c r="G23" s="24"/>
      <c r="H23" s="24"/>
      <c r="I23" s="24"/>
      <c r="J23" s="24"/>
      <c r="K23" s="24"/>
      <c r="L23" s="24">
        <f t="shared" ref="L23" si="67">F23*$L$4</f>
        <v>16.399999999999999</v>
      </c>
      <c r="M23" s="24">
        <f>F23+G23+H23+I23+J23+K23+L23</f>
        <v>67.3</v>
      </c>
      <c r="N23" s="48">
        <v>0.41</v>
      </c>
      <c r="O23" s="24">
        <f t="shared" ref="O23" si="68">M23*N23</f>
        <v>27.6</v>
      </c>
      <c r="P23" s="24">
        <f t="shared" ref="P23" si="69">M23+O23</f>
        <v>94.9</v>
      </c>
      <c r="Q23" s="24">
        <f t="shared" ref="Q23" si="70">P23*0.8</f>
        <v>75.900000000000006</v>
      </c>
      <c r="R23" s="24">
        <f t="shared" ref="R23" si="71">P23*0.8</f>
        <v>75.900000000000006</v>
      </c>
      <c r="S23" s="24">
        <f t="shared" ref="S23" si="72">(P23+Q23+R23)*0.032</f>
        <v>7.9</v>
      </c>
      <c r="T23" s="49">
        <f t="shared" ref="T23" si="73">P23+Q23+R23+S23</f>
        <v>254.6</v>
      </c>
      <c r="U23" s="2247"/>
      <c r="V23" s="49">
        <f t="shared" ref="V23" si="74">T23*$U$9</f>
        <v>254.6</v>
      </c>
      <c r="W23" s="49">
        <f t="shared" si="33"/>
        <v>76.900000000000006</v>
      </c>
      <c r="X23" s="23"/>
      <c r="Y23" s="24">
        <v>30</v>
      </c>
      <c r="Z23" s="48">
        <f t="shared" ref="Z23" si="75">X23*Y23</f>
        <v>0</v>
      </c>
      <c r="AA23" s="23"/>
      <c r="AB23" s="24">
        <v>15</v>
      </c>
      <c r="AC23" s="48">
        <f t="shared" ref="AC23" si="76">AA23*AB23</f>
        <v>0</v>
      </c>
      <c r="AD23" s="23"/>
      <c r="AE23" s="24">
        <v>30</v>
      </c>
      <c r="AF23" s="48">
        <f t="shared" ref="AF23" si="77">AD23*AE23</f>
        <v>0</v>
      </c>
      <c r="AG23" s="48">
        <f t="shared" ref="AG23" si="78">(Z23+AC23+AF23)*1%*30</f>
        <v>0</v>
      </c>
      <c r="AH23" s="48">
        <f t="shared" ref="AH23" si="79">Z23+AC23+AF23+AG23</f>
        <v>0</v>
      </c>
      <c r="AI23" s="34">
        <f t="shared" si="9"/>
        <v>42433.3</v>
      </c>
      <c r="AJ23" s="34">
        <f t="shared" si="10"/>
        <v>509.2</v>
      </c>
      <c r="AK23" s="50">
        <f t="shared" si="20"/>
        <v>56</v>
      </c>
      <c r="AL23" s="50">
        <f t="shared" si="38"/>
        <v>13.2</v>
      </c>
      <c r="AM23" s="50">
        <f t="shared" si="11"/>
        <v>13.5</v>
      </c>
      <c r="AN23" s="50">
        <f t="shared" si="21"/>
        <v>82.7</v>
      </c>
      <c r="AP23" s="51"/>
    </row>
    <row r="24" spans="1:42" ht="23.25" customHeight="1" x14ac:dyDescent="0.2">
      <c r="A24" s="23">
        <v>16</v>
      </c>
      <c r="B24" s="52" t="s">
        <v>30</v>
      </c>
      <c r="C24" s="57">
        <v>2</v>
      </c>
      <c r="D24" s="53">
        <v>8.4730000000000008</v>
      </c>
      <c r="E24" s="46">
        <f>C24*D24</f>
        <v>16.95</v>
      </c>
      <c r="F24" s="47">
        <f>E24*12</f>
        <v>203.4</v>
      </c>
      <c r="G24" s="24"/>
      <c r="H24" s="24">
        <f>1652.1/1000</f>
        <v>1.7</v>
      </c>
      <c r="I24" s="24"/>
      <c r="J24" s="24"/>
      <c r="K24" s="24">
        <f>D24*0.3*12+D24*0.25*12+D24*0.05*1</f>
        <v>56.3</v>
      </c>
      <c r="L24" s="24">
        <f t="shared" si="12"/>
        <v>65.5</v>
      </c>
      <c r="M24" s="24">
        <f>F24+G24+H24+I24+J24+K24+L24</f>
        <v>326.89999999999998</v>
      </c>
      <c r="N24" s="48">
        <v>0.41</v>
      </c>
      <c r="O24" s="24">
        <f t="shared" si="1"/>
        <v>134</v>
      </c>
      <c r="P24" s="24">
        <f t="shared" si="16"/>
        <v>460.9</v>
      </c>
      <c r="Q24" s="24">
        <f t="shared" si="17"/>
        <v>368.7</v>
      </c>
      <c r="R24" s="24">
        <f t="shared" si="2"/>
        <v>368.7</v>
      </c>
      <c r="S24" s="24">
        <f t="shared" si="18"/>
        <v>38.299999999999997</v>
      </c>
      <c r="T24" s="49">
        <f t="shared" si="3"/>
        <v>1236.5999999999999</v>
      </c>
      <c r="U24" s="2247"/>
      <c r="V24" s="49">
        <f t="shared" si="19"/>
        <v>1236.5999999999999</v>
      </c>
      <c r="W24" s="49">
        <f t="shared" si="33"/>
        <v>373.5</v>
      </c>
      <c r="X24" s="23"/>
      <c r="Y24" s="24">
        <v>30</v>
      </c>
      <c r="Z24" s="48">
        <f t="shared" si="4"/>
        <v>0</v>
      </c>
      <c r="AA24" s="23"/>
      <c r="AB24" s="24">
        <v>15</v>
      </c>
      <c r="AC24" s="48">
        <f t="shared" si="5"/>
        <v>0</v>
      </c>
      <c r="AD24" s="23"/>
      <c r="AE24" s="24">
        <v>30</v>
      </c>
      <c r="AF24" s="48">
        <f t="shared" si="6"/>
        <v>0</v>
      </c>
      <c r="AG24" s="48">
        <f t="shared" si="7"/>
        <v>0</v>
      </c>
      <c r="AH24" s="48">
        <f t="shared" si="8"/>
        <v>0</v>
      </c>
      <c r="AI24" s="34">
        <f t="shared" si="9"/>
        <v>51525</v>
      </c>
      <c r="AJ24" s="34">
        <f t="shared" si="10"/>
        <v>618.29999999999995</v>
      </c>
      <c r="AK24" s="50">
        <f t="shared" si="20"/>
        <v>272.10000000000002</v>
      </c>
      <c r="AL24" s="50">
        <f t="shared" si="38"/>
        <v>52.9</v>
      </c>
      <c r="AM24" s="50">
        <f t="shared" si="11"/>
        <v>65.5</v>
      </c>
      <c r="AN24" s="50">
        <f t="shared" si="21"/>
        <v>390.5</v>
      </c>
      <c r="AP24" s="51"/>
    </row>
    <row r="25" spans="1:42" ht="27" customHeight="1" x14ac:dyDescent="0.2">
      <c r="A25" s="23">
        <v>17</v>
      </c>
      <c r="B25" s="52" t="s">
        <v>33</v>
      </c>
      <c r="C25" s="57">
        <v>1</v>
      </c>
      <c r="D25" s="53">
        <v>8.4730000000000008</v>
      </c>
      <c r="E25" s="46">
        <f t="shared" si="14"/>
        <v>8.4700000000000006</v>
      </c>
      <c r="F25" s="47">
        <f t="shared" si="15"/>
        <v>101.6</v>
      </c>
      <c r="G25" s="24"/>
      <c r="H25" s="24">
        <f>826.1/1000</f>
        <v>0.8</v>
      </c>
      <c r="I25" s="24"/>
      <c r="J25" s="24"/>
      <c r="K25" s="24">
        <f>F25*0.2</f>
        <v>20.3</v>
      </c>
      <c r="L25" s="24">
        <f t="shared" si="12"/>
        <v>32.700000000000003</v>
      </c>
      <c r="M25" s="24">
        <f>F25+G25+H25+I25+J25+K25+L25</f>
        <v>155.4</v>
      </c>
      <c r="N25" s="48">
        <v>0.41</v>
      </c>
      <c r="O25" s="24">
        <f t="shared" si="1"/>
        <v>63.7</v>
      </c>
      <c r="P25" s="24">
        <f t="shared" si="16"/>
        <v>219.1</v>
      </c>
      <c r="Q25" s="24">
        <f t="shared" si="17"/>
        <v>175.3</v>
      </c>
      <c r="R25" s="24">
        <f t="shared" si="2"/>
        <v>175.3</v>
      </c>
      <c r="S25" s="24">
        <f t="shared" si="18"/>
        <v>18.2</v>
      </c>
      <c r="T25" s="49">
        <f t="shared" si="3"/>
        <v>587.9</v>
      </c>
      <c r="U25" s="2247"/>
      <c r="V25" s="49">
        <f t="shared" si="19"/>
        <v>587.9</v>
      </c>
      <c r="W25" s="49">
        <f t="shared" si="33"/>
        <v>177.5</v>
      </c>
      <c r="X25" s="23"/>
      <c r="Y25" s="24">
        <v>30</v>
      </c>
      <c r="Z25" s="48">
        <f t="shared" si="4"/>
        <v>0</v>
      </c>
      <c r="AA25" s="23"/>
      <c r="AB25" s="24">
        <v>15</v>
      </c>
      <c r="AC25" s="48">
        <f t="shared" si="5"/>
        <v>0</v>
      </c>
      <c r="AD25" s="23"/>
      <c r="AE25" s="24">
        <v>30</v>
      </c>
      <c r="AF25" s="48">
        <f t="shared" si="6"/>
        <v>0</v>
      </c>
      <c r="AG25" s="48">
        <f t="shared" si="7"/>
        <v>0</v>
      </c>
      <c r="AH25" s="48">
        <f t="shared" si="8"/>
        <v>0</v>
      </c>
      <c r="AI25" s="34">
        <f t="shared" si="9"/>
        <v>48991.7</v>
      </c>
      <c r="AJ25" s="34">
        <f t="shared" si="10"/>
        <v>587.9</v>
      </c>
      <c r="AK25" s="50">
        <f t="shared" si="20"/>
        <v>129.30000000000001</v>
      </c>
      <c r="AL25" s="50">
        <f t="shared" si="38"/>
        <v>26.4</v>
      </c>
      <c r="AM25" s="50">
        <f t="shared" si="11"/>
        <v>31.2</v>
      </c>
      <c r="AN25" s="50">
        <f t="shared" si="21"/>
        <v>186.9</v>
      </c>
      <c r="AP25" s="51"/>
    </row>
    <row r="26" spans="1:42" ht="27" customHeight="1" x14ac:dyDescent="0.2">
      <c r="A26" s="23">
        <v>18</v>
      </c>
      <c r="B26" s="55" t="s">
        <v>92</v>
      </c>
      <c r="C26" s="56">
        <v>3</v>
      </c>
      <c r="D26" s="53">
        <v>4.3769999999999998</v>
      </c>
      <c r="E26" s="46">
        <f t="shared" si="14"/>
        <v>13.13</v>
      </c>
      <c r="F26" s="47">
        <f t="shared" si="15"/>
        <v>157.6</v>
      </c>
      <c r="G26" s="24"/>
      <c r="H26" s="24">
        <f>7681.2/1000</f>
        <v>7.7</v>
      </c>
      <c r="I26" s="24"/>
      <c r="J26" s="24"/>
      <c r="K26" s="24"/>
      <c r="L26" s="24">
        <v>105</v>
      </c>
      <c r="M26" s="24">
        <f t="shared" si="0"/>
        <v>270.3</v>
      </c>
      <c r="N26" s="48">
        <v>0.47</v>
      </c>
      <c r="O26" s="24">
        <f t="shared" si="1"/>
        <v>127</v>
      </c>
      <c r="P26" s="24">
        <f t="shared" si="16"/>
        <v>397.3</v>
      </c>
      <c r="Q26" s="24">
        <f t="shared" si="17"/>
        <v>317.8</v>
      </c>
      <c r="R26" s="24">
        <f t="shared" si="2"/>
        <v>317.8</v>
      </c>
      <c r="S26" s="24">
        <f t="shared" si="18"/>
        <v>33.1</v>
      </c>
      <c r="T26" s="49">
        <f t="shared" si="3"/>
        <v>1066</v>
      </c>
      <c r="U26" s="2247"/>
      <c r="V26" s="49">
        <f>T26*$U$9</f>
        <v>1066</v>
      </c>
      <c r="W26" s="49">
        <f t="shared" si="33"/>
        <v>321.89999999999998</v>
      </c>
      <c r="X26" s="23"/>
      <c r="Y26" s="24">
        <v>30</v>
      </c>
      <c r="Z26" s="48">
        <f>X26*Y26</f>
        <v>0</v>
      </c>
      <c r="AA26" s="23"/>
      <c r="AB26" s="24">
        <v>15</v>
      </c>
      <c r="AC26" s="48">
        <f>AA26*AB26</f>
        <v>0</v>
      </c>
      <c r="AD26" s="23"/>
      <c r="AE26" s="24">
        <v>30</v>
      </c>
      <c r="AF26" s="48">
        <f>AD26*AE26</f>
        <v>0</v>
      </c>
      <c r="AG26" s="48">
        <f>(Z26+AC26+AF26)*1%*30</f>
        <v>0</v>
      </c>
      <c r="AH26" s="48">
        <f>Z26+AC26+AF26+AG26</f>
        <v>0</v>
      </c>
      <c r="AI26" s="34">
        <f t="shared" si="9"/>
        <v>29611.1</v>
      </c>
      <c r="AJ26" s="34">
        <f t="shared" si="10"/>
        <v>355.3</v>
      </c>
      <c r="AK26" s="50">
        <f t="shared" si="20"/>
        <v>234.5</v>
      </c>
      <c r="AL26" s="50">
        <f t="shared" si="38"/>
        <v>79.3</v>
      </c>
      <c r="AM26" s="50">
        <f t="shared" si="11"/>
        <v>56.5</v>
      </c>
      <c r="AN26" s="50">
        <f t="shared" si="21"/>
        <v>370.3</v>
      </c>
      <c r="AP26" s="51"/>
    </row>
    <row r="27" spans="1:42" ht="27" customHeight="1" x14ac:dyDescent="0.2">
      <c r="A27" s="23">
        <v>19</v>
      </c>
      <c r="B27" s="44" t="s">
        <v>102</v>
      </c>
      <c r="C27" s="58">
        <v>2</v>
      </c>
      <c r="D27" s="53">
        <v>4.3769999999999998</v>
      </c>
      <c r="E27" s="46">
        <f t="shared" si="14"/>
        <v>8.75</v>
      </c>
      <c r="F27" s="47">
        <f t="shared" si="15"/>
        <v>105</v>
      </c>
      <c r="G27" s="24"/>
      <c r="H27" s="24">
        <f>948.3/1000</f>
        <v>0.9</v>
      </c>
      <c r="I27" s="24"/>
      <c r="J27" s="24"/>
      <c r="K27" s="24"/>
      <c r="L27" s="24">
        <v>72</v>
      </c>
      <c r="M27" s="24">
        <f t="shared" si="0"/>
        <v>177.9</v>
      </c>
      <c r="N27" s="48">
        <v>0.49</v>
      </c>
      <c r="O27" s="24">
        <f t="shared" si="1"/>
        <v>87.2</v>
      </c>
      <c r="P27" s="24">
        <f t="shared" si="16"/>
        <v>265.10000000000002</v>
      </c>
      <c r="Q27" s="24">
        <f t="shared" si="17"/>
        <v>212.1</v>
      </c>
      <c r="R27" s="24">
        <f t="shared" si="2"/>
        <v>212.1</v>
      </c>
      <c r="S27" s="24">
        <f t="shared" si="18"/>
        <v>22.1</v>
      </c>
      <c r="T27" s="49">
        <f t="shared" si="3"/>
        <v>711.4</v>
      </c>
      <c r="U27" s="2247"/>
      <c r="V27" s="49">
        <f>T27*$U$9-0.2</f>
        <v>711.2</v>
      </c>
      <c r="W27" s="49">
        <f>V27*0.302</f>
        <v>214.8</v>
      </c>
      <c r="X27" s="23"/>
      <c r="Y27" s="24">
        <v>30</v>
      </c>
      <c r="Z27" s="48">
        <f>X27*Y27</f>
        <v>0</v>
      </c>
      <c r="AA27" s="23"/>
      <c r="AB27" s="24">
        <v>15</v>
      </c>
      <c r="AC27" s="48">
        <f>AA27*AB27</f>
        <v>0</v>
      </c>
      <c r="AD27" s="23"/>
      <c r="AE27" s="24">
        <v>30</v>
      </c>
      <c r="AF27" s="48">
        <f>AD27*AE27</f>
        <v>0</v>
      </c>
      <c r="AG27" s="48">
        <f>(Z27+AC27+AF27)*1%*30</f>
        <v>0</v>
      </c>
      <c r="AH27" s="48">
        <f>Z27+AC27+AF27+AG27</f>
        <v>0</v>
      </c>
      <c r="AI27" s="34">
        <f t="shared" si="9"/>
        <v>29633.3</v>
      </c>
      <c r="AJ27" s="34">
        <f t="shared" si="10"/>
        <v>355.6</v>
      </c>
      <c r="AK27" s="50">
        <f t="shared" si="20"/>
        <v>156.5</v>
      </c>
      <c r="AL27" s="50">
        <f t="shared" si="38"/>
        <v>52.9</v>
      </c>
      <c r="AM27" s="50">
        <f t="shared" si="11"/>
        <v>37.700000000000003</v>
      </c>
      <c r="AN27" s="50">
        <f t="shared" si="21"/>
        <v>247.1</v>
      </c>
      <c r="AP27" s="51"/>
    </row>
    <row r="28" spans="1:42" s="62" customFormat="1" ht="20.25" customHeight="1" x14ac:dyDescent="0.2">
      <c r="A28" s="2248" t="s">
        <v>97</v>
      </c>
      <c r="B28" s="2249"/>
      <c r="C28" s="59">
        <f t="shared" ref="C28:AH28" si="80">SUM(C9:C27)</f>
        <v>64.5</v>
      </c>
      <c r="D28" s="25">
        <f t="shared" si="80"/>
        <v>181.9</v>
      </c>
      <c r="E28" s="25">
        <f t="shared" si="80"/>
        <v>527.5</v>
      </c>
      <c r="F28" s="25">
        <f t="shared" si="80"/>
        <v>6321.7</v>
      </c>
      <c r="G28" s="25">
        <f t="shared" si="80"/>
        <v>0</v>
      </c>
      <c r="H28" s="25">
        <f>SUM(H9:H27)</f>
        <v>74.400000000000006</v>
      </c>
      <c r="I28" s="25">
        <f t="shared" si="80"/>
        <v>0</v>
      </c>
      <c r="J28" s="25">
        <f t="shared" si="80"/>
        <v>0</v>
      </c>
      <c r="K28" s="25">
        <f t="shared" si="80"/>
        <v>1143.7</v>
      </c>
      <c r="L28" s="25">
        <f t="shared" si="80"/>
        <v>2252.1999999999998</v>
      </c>
      <c r="M28" s="25">
        <f t="shared" si="80"/>
        <v>9792</v>
      </c>
      <c r="N28" s="25">
        <f t="shared" si="80"/>
        <v>9.1999999999999993</v>
      </c>
      <c r="O28" s="25">
        <f t="shared" si="80"/>
        <v>4877.3</v>
      </c>
      <c r="P28" s="25">
        <f t="shared" si="80"/>
        <v>14669.3</v>
      </c>
      <c r="Q28" s="25">
        <f t="shared" si="80"/>
        <v>11735.5</v>
      </c>
      <c r="R28" s="25">
        <f t="shared" si="80"/>
        <v>11735.5</v>
      </c>
      <c r="S28" s="25">
        <f t="shared" si="80"/>
        <v>1220.3</v>
      </c>
      <c r="T28" s="25">
        <f t="shared" si="80"/>
        <v>39360.6</v>
      </c>
      <c r="U28" s="25">
        <f t="shared" si="80"/>
        <v>1</v>
      </c>
      <c r="V28" s="25">
        <f t="shared" si="80"/>
        <v>39360.400000000001</v>
      </c>
      <c r="W28" s="25">
        <f>SUM(W9:W27)</f>
        <v>11654.6</v>
      </c>
      <c r="X28" s="25">
        <f t="shared" si="80"/>
        <v>29</v>
      </c>
      <c r="Y28" s="25">
        <f t="shared" si="80"/>
        <v>570</v>
      </c>
      <c r="Z28" s="25">
        <f t="shared" si="80"/>
        <v>870</v>
      </c>
      <c r="AA28" s="25">
        <f t="shared" si="80"/>
        <v>12</v>
      </c>
      <c r="AB28" s="25">
        <f t="shared" si="80"/>
        <v>285</v>
      </c>
      <c r="AC28" s="25">
        <f t="shared" si="80"/>
        <v>180</v>
      </c>
      <c r="AD28" s="25">
        <f t="shared" si="80"/>
        <v>8</v>
      </c>
      <c r="AE28" s="25">
        <f t="shared" si="80"/>
        <v>570</v>
      </c>
      <c r="AF28" s="25">
        <f t="shared" si="80"/>
        <v>240</v>
      </c>
      <c r="AG28" s="25">
        <f t="shared" si="80"/>
        <v>387</v>
      </c>
      <c r="AH28" s="25">
        <f t="shared" si="80"/>
        <v>1677</v>
      </c>
      <c r="AI28" s="60"/>
      <c r="AJ28" s="61"/>
      <c r="AN28" s="60">
        <f>SUM(AN9:AN27)</f>
        <v>12276.5</v>
      </c>
    </row>
    <row r="29" spans="1:42" s="62" customFormat="1" ht="20.25" customHeight="1" x14ac:dyDescent="0.2">
      <c r="A29" s="63"/>
      <c r="B29" s="63"/>
      <c r="C29" s="26"/>
      <c r="D29" s="26"/>
      <c r="E29" s="26"/>
      <c r="F29" s="26"/>
      <c r="G29" s="26"/>
      <c r="H29" s="26"/>
      <c r="I29" s="26"/>
      <c r="J29" s="26"/>
      <c r="K29" s="26"/>
      <c r="L29" s="26"/>
      <c r="M29" s="26"/>
      <c r="N29" s="26"/>
      <c r="O29" s="26"/>
      <c r="P29" s="26"/>
      <c r="Q29" s="26"/>
      <c r="R29" s="26"/>
      <c r="S29" s="26"/>
      <c r="T29" s="26"/>
      <c r="U29" s="64"/>
      <c r="V29" s="65"/>
      <c r="W29" s="66"/>
      <c r="X29" s="65"/>
      <c r="Y29" s="65"/>
      <c r="Z29" s="65"/>
      <c r="AA29" s="65"/>
      <c r="AB29" s="65"/>
      <c r="AC29" s="65"/>
      <c r="AD29" s="65"/>
      <c r="AE29" s="65"/>
      <c r="AF29" s="65"/>
      <c r="AG29" s="65"/>
      <c r="AH29" s="65"/>
      <c r="AI29" s="67"/>
      <c r="AJ29" s="61"/>
    </row>
    <row r="30" spans="1:42" s="62" customFormat="1" ht="14.25" x14ac:dyDescent="0.2">
      <c r="A30" s="68"/>
      <c r="B30" s="63"/>
      <c r="C30" s="26"/>
      <c r="D30" s="26"/>
      <c r="E30" s="26"/>
      <c r="F30" s="26"/>
      <c r="G30" s="26"/>
      <c r="H30" s="26"/>
      <c r="I30" s="26"/>
      <c r="J30" s="26"/>
      <c r="K30" s="26"/>
      <c r="L30" s="26"/>
      <c r="M30" s="26"/>
      <c r="N30" s="26"/>
      <c r="O30" s="26"/>
      <c r="P30" s="26"/>
      <c r="Q30" s="26"/>
      <c r="R30" s="26"/>
      <c r="S30" s="26"/>
      <c r="T30" s="26"/>
      <c r="U30" s="64"/>
      <c r="V30" s="69"/>
      <c r="W30" s="69"/>
      <c r="X30" s="65"/>
      <c r="Y30" s="65"/>
      <c r="Z30" s="65"/>
      <c r="AA30" s="65"/>
      <c r="AB30" s="65"/>
      <c r="AC30" s="65"/>
      <c r="AD30" s="65"/>
      <c r="AE30" s="65"/>
      <c r="AF30" s="65"/>
      <c r="AG30" s="65"/>
      <c r="AH30" s="65"/>
      <c r="AI30" s="67"/>
      <c r="AJ30" s="61"/>
    </row>
    <row r="31" spans="1:42" s="75" customFormat="1" ht="15" x14ac:dyDescent="0.2">
      <c r="A31" s="70"/>
      <c r="B31" s="70"/>
      <c r="C31" s="71"/>
      <c r="D31" s="72"/>
      <c r="E31" s="72"/>
      <c r="F31" s="72"/>
      <c r="G31" s="72"/>
      <c r="H31" s="73"/>
      <c r="I31" s="73"/>
      <c r="J31" s="27"/>
      <c r="K31" s="27"/>
      <c r="L31" s="27"/>
      <c r="M31" s="27"/>
      <c r="N31" s="74"/>
      <c r="O31" s="27"/>
      <c r="P31" s="27"/>
      <c r="Q31" s="27"/>
      <c r="R31" s="27"/>
      <c r="S31" s="27"/>
      <c r="T31" s="27"/>
      <c r="U31" s="27"/>
      <c r="V31" s="27"/>
      <c r="W31" s="27"/>
      <c r="X31" s="27"/>
      <c r="Y31" s="27"/>
      <c r="Z31" s="27"/>
      <c r="AA31" s="27"/>
      <c r="AB31" s="27"/>
      <c r="AC31" s="27"/>
      <c r="AD31" s="27"/>
      <c r="AE31" s="27"/>
      <c r="AF31" s="27"/>
      <c r="AG31" s="27"/>
      <c r="AH31" s="27"/>
      <c r="AI31" s="27"/>
      <c r="AK31" s="76"/>
      <c r="AL31" s="76"/>
      <c r="AM31" s="76"/>
      <c r="AN31" s="76"/>
      <c r="AO31" s="76"/>
    </row>
    <row r="32" spans="1:42" s="75" customFormat="1" ht="39.75" customHeight="1" x14ac:dyDescent="0.2">
      <c r="A32" s="70"/>
      <c r="B32" s="70"/>
      <c r="C32" s="71"/>
      <c r="D32" s="77"/>
      <c r="E32" s="77"/>
      <c r="F32" s="27"/>
      <c r="G32" s="2244" t="s">
        <v>140</v>
      </c>
      <c r="H32" s="2244"/>
      <c r="I32" s="2240" t="s">
        <v>141</v>
      </c>
      <c r="J32" s="2241"/>
      <c r="K32" s="2240" t="s">
        <v>128</v>
      </c>
      <c r="L32" s="2241"/>
      <c r="M32" s="70"/>
      <c r="N32" s="70"/>
      <c r="O32" s="70"/>
      <c r="P32" s="70"/>
      <c r="Q32" s="27"/>
      <c r="R32" s="27"/>
      <c r="S32" s="27"/>
      <c r="T32" s="27"/>
      <c r="U32" s="27"/>
      <c r="V32" s="27"/>
      <c r="W32" s="27"/>
      <c r="X32" s="27"/>
      <c r="Y32" s="27"/>
      <c r="Z32" s="27"/>
      <c r="AA32" s="27"/>
      <c r="AB32" s="27"/>
      <c r="AC32" s="27"/>
      <c r="AD32" s="27"/>
      <c r="AE32" s="27"/>
      <c r="AF32" s="27"/>
      <c r="AG32" s="27"/>
      <c r="AH32" s="27"/>
      <c r="AI32" s="27"/>
      <c r="AK32" s="76"/>
      <c r="AL32" s="76"/>
      <c r="AM32" s="76"/>
      <c r="AN32" s="76"/>
      <c r="AO32" s="76"/>
    </row>
    <row r="33" spans="1:41" s="75" customFormat="1" ht="15" x14ac:dyDescent="0.2">
      <c r="A33" s="70"/>
      <c r="B33" s="70"/>
      <c r="C33" s="71"/>
      <c r="D33" s="77"/>
      <c r="E33" s="77"/>
      <c r="F33" s="27"/>
      <c r="G33" s="28">
        <v>991</v>
      </c>
      <c r="H33" s="28">
        <v>992</v>
      </c>
      <c r="I33" s="28">
        <v>991</v>
      </c>
      <c r="J33" s="28">
        <v>992</v>
      </c>
      <c r="K33" s="28">
        <v>991</v>
      </c>
      <c r="L33" s="28">
        <v>992</v>
      </c>
      <c r="M33" s="79"/>
      <c r="N33" s="79"/>
      <c r="O33" s="79"/>
      <c r="P33" s="79"/>
      <c r="Q33" s="27"/>
      <c r="R33" s="27"/>
      <c r="S33" s="27"/>
      <c r="T33" s="27"/>
      <c r="U33" s="27"/>
      <c r="V33" s="27"/>
      <c r="W33" s="27"/>
      <c r="X33" s="27"/>
      <c r="Y33" s="27"/>
      <c r="Z33" s="27"/>
      <c r="AA33" s="27"/>
      <c r="AB33" s="27"/>
      <c r="AC33" s="27"/>
      <c r="AD33" s="27"/>
      <c r="AE33" s="27"/>
      <c r="AF33" s="27"/>
      <c r="AG33" s="27"/>
      <c r="AH33" s="27"/>
      <c r="AI33" s="27"/>
      <c r="AK33" s="76"/>
      <c r="AL33" s="76"/>
      <c r="AM33" s="76"/>
      <c r="AN33" s="76"/>
      <c r="AO33" s="76"/>
    </row>
    <row r="34" spans="1:41" s="75" customFormat="1" ht="15" x14ac:dyDescent="0.2">
      <c r="A34" s="70"/>
      <c r="B34" s="70"/>
      <c r="C34" s="71"/>
      <c r="D34" s="77"/>
      <c r="E34" s="77"/>
      <c r="F34" s="27"/>
      <c r="G34" s="29">
        <v>39360.400000000001</v>
      </c>
      <c r="H34" s="29">
        <v>11661.7</v>
      </c>
      <c r="I34" s="29">
        <f>V28</f>
        <v>39360.400000000001</v>
      </c>
      <c r="J34" s="29">
        <f>W28</f>
        <v>11654.6</v>
      </c>
      <c r="K34" s="29">
        <f>G34-I34</f>
        <v>0</v>
      </c>
      <c r="L34" s="29">
        <f>H34-J34</f>
        <v>7.1</v>
      </c>
      <c r="M34" s="80"/>
      <c r="N34" s="80"/>
      <c r="O34" s="80"/>
      <c r="P34" s="80"/>
      <c r="Q34" s="27"/>
      <c r="R34" s="27"/>
      <c r="S34" s="27"/>
      <c r="T34" s="27"/>
      <c r="U34" s="27"/>
      <c r="V34" s="27"/>
      <c r="W34" s="27"/>
      <c r="X34" s="27"/>
      <c r="Y34" s="27"/>
      <c r="Z34" s="27"/>
      <c r="AA34" s="27"/>
      <c r="AB34" s="27"/>
      <c r="AC34" s="27"/>
      <c r="AD34" s="27"/>
      <c r="AE34" s="27"/>
      <c r="AF34" s="27"/>
      <c r="AG34" s="27"/>
      <c r="AH34" s="27"/>
      <c r="AI34" s="27"/>
      <c r="AK34" s="76"/>
      <c r="AL34" s="76"/>
      <c r="AM34" s="76"/>
      <c r="AN34" s="76"/>
      <c r="AO34" s="76"/>
    </row>
    <row r="35" spans="1:41" s="75" customFormat="1" ht="15" x14ac:dyDescent="0.2">
      <c r="A35" s="70"/>
      <c r="B35" s="70"/>
      <c r="C35" s="71"/>
      <c r="D35" s="77"/>
      <c r="E35" s="77"/>
      <c r="F35" s="27"/>
      <c r="G35" s="27"/>
      <c r="H35" s="73"/>
      <c r="I35" s="73"/>
      <c r="J35" s="27"/>
      <c r="K35" s="27"/>
      <c r="L35" s="27"/>
      <c r="M35" s="27"/>
      <c r="N35" s="74"/>
      <c r="O35" s="27"/>
      <c r="P35" s="27"/>
      <c r="Q35" s="27"/>
      <c r="R35" s="27"/>
      <c r="S35" s="27"/>
      <c r="T35" s="27"/>
      <c r="U35" s="27"/>
      <c r="V35" s="27"/>
      <c r="W35" s="27"/>
      <c r="X35" s="27"/>
      <c r="Y35" s="27"/>
      <c r="Z35" s="27"/>
      <c r="AA35" s="27"/>
      <c r="AB35" s="27"/>
      <c r="AC35" s="27"/>
      <c r="AD35" s="27"/>
      <c r="AE35" s="27"/>
      <c r="AF35" s="27"/>
      <c r="AG35" s="27"/>
      <c r="AH35" s="27"/>
      <c r="AI35" s="27"/>
      <c r="AK35" s="76"/>
      <c r="AL35" s="76"/>
      <c r="AM35" s="76"/>
      <c r="AN35" s="76"/>
      <c r="AO35" s="76"/>
    </row>
    <row r="36" spans="1:41" s="75" customFormat="1" ht="15" x14ac:dyDescent="0.2">
      <c r="A36" s="70"/>
      <c r="B36" s="70"/>
      <c r="C36" s="71"/>
      <c r="D36" s="77"/>
      <c r="E36" s="77"/>
      <c r="F36" s="27"/>
      <c r="G36" s="27"/>
      <c r="H36" s="73"/>
      <c r="I36" s="73"/>
      <c r="J36" s="27"/>
      <c r="K36" s="27"/>
      <c r="L36" s="27"/>
      <c r="M36" s="27"/>
      <c r="N36" s="74"/>
      <c r="O36" s="27"/>
      <c r="P36" s="27"/>
      <c r="Q36" s="27"/>
      <c r="R36" s="27"/>
      <c r="S36" s="27"/>
      <c r="T36" s="27"/>
      <c r="U36" s="27"/>
      <c r="V36" s="27"/>
      <c r="W36" s="27"/>
      <c r="X36" s="27"/>
      <c r="Y36" s="27"/>
      <c r="Z36" s="27"/>
      <c r="AA36" s="27"/>
      <c r="AB36" s="27"/>
      <c r="AC36" s="27"/>
      <c r="AD36" s="27"/>
      <c r="AE36" s="27"/>
      <c r="AF36" s="27"/>
      <c r="AG36" s="27"/>
      <c r="AH36" s="27"/>
      <c r="AI36" s="27"/>
      <c r="AK36" s="76"/>
      <c r="AL36" s="76"/>
      <c r="AM36" s="76"/>
      <c r="AN36" s="76"/>
      <c r="AO36" s="76"/>
    </row>
    <row r="37" spans="1:41" s="35" customFormat="1" ht="20.25" x14ac:dyDescent="0.2">
      <c r="A37" s="81"/>
      <c r="B37" s="82" t="s">
        <v>138</v>
      </c>
      <c r="C37" s="83"/>
      <c r="D37" s="84"/>
      <c r="E37" s="84"/>
      <c r="F37" s="85"/>
      <c r="G37" s="85"/>
      <c r="H37" s="86"/>
      <c r="I37" s="86"/>
      <c r="J37" s="85"/>
      <c r="K37" s="30" t="s">
        <v>166</v>
      </c>
      <c r="L37" s="85"/>
      <c r="M37" s="85"/>
      <c r="N37" s="87"/>
      <c r="O37" s="85"/>
      <c r="P37" s="85"/>
      <c r="Q37" s="85"/>
      <c r="R37" s="85"/>
      <c r="S37" s="85"/>
      <c r="T37" s="85"/>
      <c r="U37" s="85"/>
      <c r="V37" s="85"/>
      <c r="W37" s="85"/>
      <c r="X37" s="85"/>
      <c r="Y37" s="85"/>
      <c r="Z37" s="85"/>
      <c r="AA37" s="85"/>
      <c r="AB37" s="85"/>
      <c r="AC37" s="85"/>
      <c r="AD37" s="85"/>
      <c r="AE37" s="85"/>
      <c r="AF37" s="85"/>
      <c r="AG37" s="85"/>
      <c r="AH37" s="85"/>
      <c r="AI37" s="85"/>
      <c r="AK37" s="88"/>
      <c r="AL37" s="88"/>
      <c r="AM37" s="88"/>
      <c r="AN37" s="88"/>
      <c r="AO37" s="88"/>
    </row>
    <row r="38" spans="1:41" s="75" customFormat="1" ht="15" x14ac:dyDescent="0.2">
      <c r="A38" s="70"/>
      <c r="B38" s="70"/>
      <c r="C38" s="71"/>
      <c r="D38" s="77"/>
      <c r="E38" s="77"/>
      <c r="F38" s="27"/>
      <c r="G38" s="27"/>
      <c r="H38" s="73"/>
      <c r="I38" s="73"/>
      <c r="J38" s="27"/>
      <c r="K38" s="27"/>
      <c r="L38" s="27"/>
      <c r="M38" s="27"/>
      <c r="N38" s="74"/>
      <c r="O38" s="27"/>
      <c r="P38" s="27"/>
      <c r="Q38" s="27"/>
      <c r="R38" s="27"/>
      <c r="S38" s="27"/>
      <c r="T38" s="27"/>
      <c r="U38" s="27"/>
      <c r="V38" s="27"/>
      <c r="W38" s="27"/>
      <c r="X38" s="27"/>
      <c r="Y38" s="27"/>
      <c r="Z38" s="27"/>
      <c r="AA38" s="27"/>
      <c r="AB38" s="27"/>
      <c r="AC38" s="27"/>
      <c r="AD38" s="27"/>
      <c r="AE38" s="27"/>
      <c r="AF38" s="27"/>
      <c r="AG38" s="27"/>
      <c r="AH38" s="27"/>
      <c r="AI38" s="27"/>
      <c r="AK38" s="76"/>
      <c r="AL38" s="76"/>
      <c r="AM38" s="76"/>
      <c r="AN38" s="76"/>
      <c r="AO38" s="76"/>
    </row>
    <row r="39" spans="1:41" s="75" customFormat="1" ht="20.25" customHeight="1" x14ac:dyDescent="0.2">
      <c r="A39" s="89" t="s">
        <v>96</v>
      </c>
      <c r="B39" s="89"/>
      <c r="C39" s="31"/>
      <c r="D39" s="31"/>
      <c r="E39" s="31"/>
      <c r="F39" s="31"/>
      <c r="G39" s="31"/>
      <c r="H39" s="31"/>
      <c r="I39" s="31"/>
      <c r="J39" s="31"/>
      <c r="K39" s="31"/>
      <c r="L39" s="90"/>
      <c r="M39" s="90"/>
      <c r="N39" s="91"/>
      <c r="O39" s="90"/>
      <c r="P39" s="90"/>
      <c r="Q39" s="90"/>
      <c r="R39" s="90"/>
      <c r="S39" s="90"/>
      <c r="T39" s="90"/>
      <c r="U39" s="90"/>
      <c r="V39" s="90"/>
      <c r="W39" s="90"/>
      <c r="X39" s="90"/>
      <c r="Y39" s="90"/>
      <c r="Z39" s="90"/>
      <c r="AA39" s="90"/>
      <c r="AB39" s="90"/>
      <c r="AC39" s="90"/>
      <c r="AD39" s="90"/>
      <c r="AE39" s="90"/>
      <c r="AF39" s="90"/>
      <c r="AG39" s="90"/>
      <c r="AH39" s="90"/>
      <c r="AI39" s="90"/>
      <c r="AK39" s="76"/>
      <c r="AL39" s="76"/>
      <c r="AM39" s="76"/>
      <c r="AN39" s="76"/>
      <c r="AO39" s="76"/>
    </row>
    <row r="40" spans="1:41" s="75" customFormat="1" ht="20.25" customHeight="1" x14ac:dyDescent="0.2">
      <c r="A40" s="89" t="s">
        <v>139</v>
      </c>
      <c r="B40" s="92"/>
      <c r="C40" s="93"/>
      <c r="D40" s="93"/>
      <c r="E40" s="32"/>
      <c r="F40" s="32"/>
      <c r="G40" s="32"/>
      <c r="H40" s="32"/>
      <c r="I40" s="32"/>
      <c r="J40" s="32"/>
      <c r="K40" s="32"/>
      <c r="L40" s="90"/>
      <c r="M40" s="90"/>
      <c r="N40" s="90"/>
      <c r="O40" s="90"/>
      <c r="P40" s="90"/>
      <c r="Q40" s="90"/>
      <c r="R40" s="90"/>
      <c r="S40" s="90"/>
      <c r="T40" s="90"/>
      <c r="U40" s="90"/>
      <c r="V40" s="90"/>
      <c r="W40" s="90"/>
      <c r="X40" s="90"/>
      <c r="Y40" s="90"/>
      <c r="Z40" s="90"/>
      <c r="AA40" s="90"/>
      <c r="AB40" s="90"/>
      <c r="AC40" s="90"/>
      <c r="AD40" s="90"/>
      <c r="AE40" s="90"/>
      <c r="AF40" s="90"/>
      <c r="AG40" s="90"/>
      <c r="AH40" s="90"/>
      <c r="AI40" s="90"/>
      <c r="AK40" s="76"/>
      <c r="AL40" s="76"/>
      <c r="AM40" s="76"/>
      <c r="AN40" s="76"/>
      <c r="AO40" s="76"/>
    </row>
    <row r="41" spans="1:41" ht="15.75" x14ac:dyDescent="0.2">
      <c r="A41" s="2243"/>
      <c r="B41" s="2243"/>
      <c r="C41" s="2243"/>
    </row>
    <row r="43" spans="1:41" x14ac:dyDescent="0.2">
      <c r="E43" s="51"/>
    </row>
    <row r="44" spans="1:41" x14ac:dyDescent="0.2">
      <c r="E44" s="51"/>
    </row>
    <row r="45" spans="1:41" x14ac:dyDescent="0.2">
      <c r="E45" s="51"/>
    </row>
    <row r="46" spans="1:41" x14ac:dyDescent="0.2">
      <c r="E46" s="51"/>
    </row>
    <row r="47" spans="1:41" x14ac:dyDescent="0.2">
      <c r="E47" s="51"/>
    </row>
    <row r="48" spans="1:41" x14ac:dyDescent="0.2">
      <c r="E48" s="51"/>
    </row>
    <row r="49" spans="5:5" x14ac:dyDescent="0.2">
      <c r="E49" s="51"/>
    </row>
    <row r="50" spans="5:5" x14ac:dyDescent="0.2">
      <c r="E50" s="51"/>
    </row>
    <row r="51" spans="5:5" x14ac:dyDescent="0.2">
      <c r="E51" s="51"/>
    </row>
    <row r="52" spans="5:5" x14ac:dyDescent="0.2">
      <c r="E52" s="51"/>
    </row>
    <row r="53" spans="5:5" x14ac:dyDescent="0.2">
      <c r="E53" s="51"/>
    </row>
    <row r="54" spans="5:5" x14ac:dyDescent="0.2">
      <c r="E54" s="51"/>
    </row>
    <row r="55" spans="5:5" x14ac:dyDescent="0.2">
      <c r="E55" s="51"/>
    </row>
    <row r="56" spans="5:5" x14ac:dyDescent="0.2">
      <c r="E56" s="51"/>
    </row>
    <row r="57" spans="5:5" x14ac:dyDescent="0.2">
      <c r="E57" s="51"/>
    </row>
    <row r="58" spans="5:5" x14ac:dyDescent="0.2">
      <c r="E58" s="51"/>
    </row>
    <row r="59" spans="5:5" x14ac:dyDescent="0.2">
      <c r="E59" s="51"/>
    </row>
    <row r="60" spans="5:5" x14ac:dyDescent="0.2">
      <c r="E60" s="51"/>
    </row>
    <row r="61" spans="5:5" x14ac:dyDescent="0.2">
      <c r="E61" s="51"/>
    </row>
    <row r="62" spans="5:5" x14ac:dyDescent="0.2">
      <c r="E62" s="51"/>
    </row>
    <row r="63" spans="5:5" x14ac:dyDescent="0.2">
      <c r="E63" s="51"/>
    </row>
    <row r="64" spans="5:5" x14ac:dyDescent="0.2">
      <c r="E64" s="51"/>
    </row>
    <row r="65" spans="5:5" x14ac:dyDescent="0.2">
      <c r="E65" s="51"/>
    </row>
    <row r="66" spans="5:5" x14ac:dyDescent="0.2">
      <c r="E66" s="51"/>
    </row>
    <row r="67" spans="5:5" x14ac:dyDescent="0.2">
      <c r="E67" s="51"/>
    </row>
    <row r="68" spans="5:5" x14ac:dyDescent="0.2">
      <c r="E68" s="51"/>
    </row>
    <row r="69" spans="5:5" x14ac:dyDescent="0.2">
      <c r="E69" s="51"/>
    </row>
    <row r="70" spans="5:5" x14ac:dyDescent="0.2">
      <c r="E70" s="51"/>
    </row>
    <row r="71" spans="5:5" x14ac:dyDescent="0.2">
      <c r="E71" s="51"/>
    </row>
    <row r="72" spans="5:5" x14ac:dyDescent="0.2">
      <c r="E72" s="51"/>
    </row>
    <row r="73" spans="5:5" x14ac:dyDescent="0.2">
      <c r="E73" s="51"/>
    </row>
    <row r="74" spans="5:5" x14ac:dyDescent="0.2">
      <c r="E74" s="51"/>
    </row>
  </sheetData>
  <autoFilter ref="A8:AP30" xr:uid="{00000000-0009-0000-0000-000002000000}"/>
  <mergeCells count="38">
    <mergeCell ref="AE1:AH1"/>
    <mergeCell ref="A2:AH2"/>
    <mergeCell ref="A3:AH3"/>
    <mergeCell ref="A5:A7"/>
    <mergeCell ref="B5:B7"/>
    <mergeCell ref="C5:C7"/>
    <mergeCell ref="D5:W5"/>
    <mergeCell ref="D6:D7"/>
    <mergeCell ref="E6:E7"/>
    <mergeCell ref="AD6:AF6"/>
    <mergeCell ref="AG6:AG7"/>
    <mergeCell ref="AH6:AH7"/>
    <mergeCell ref="V6:V7"/>
    <mergeCell ref="W6:W7"/>
    <mergeCell ref="X6:Z6"/>
    <mergeCell ref="S6:S7"/>
    <mergeCell ref="U6:U7"/>
    <mergeCell ref="L6:L7"/>
    <mergeCell ref="M6:M7"/>
    <mergeCell ref="N6:O6"/>
    <mergeCell ref="P6:P7"/>
    <mergeCell ref="Q6:Q7"/>
    <mergeCell ref="I32:J32"/>
    <mergeCell ref="K32:L32"/>
    <mergeCell ref="X5:AH5"/>
    <mergeCell ref="A41:C41"/>
    <mergeCell ref="G32:H32"/>
    <mergeCell ref="AA6:AC6"/>
    <mergeCell ref="R6:R7"/>
    <mergeCell ref="F6:F7"/>
    <mergeCell ref="G6:G7"/>
    <mergeCell ref="H6:H7"/>
    <mergeCell ref="I6:I7"/>
    <mergeCell ref="J6:J7"/>
    <mergeCell ref="K6:K7"/>
    <mergeCell ref="U9:U27"/>
    <mergeCell ref="A28:B28"/>
    <mergeCell ref="T6:T7"/>
  </mergeCells>
  <printOptions horizontalCentered="1"/>
  <pageMargins left="0.25" right="0.25" top="0.75" bottom="0.75" header="0.3" footer="0.3"/>
  <pageSetup paperSize="9" scale="33" orientation="landscape"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C000"/>
  </sheetPr>
  <dimension ref="A1:R27"/>
  <sheetViews>
    <sheetView view="pageBreakPreview" topLeftCell="A7" zoomScale="80" zoomScaleNormal="80" zoomScaleSheetLayoutView="80" workbookViewId="0">
      <pane xSplit="2" ySplit="9" topLeftCell="C16" activePane="bottomRight" state="frozen"/>
      <selection activeCell="K31" sqref="K31"/>
      <selection pane="topRight" activeCell="K31" sqref="K31"/>
      <selection pane="bottomLeft" activeCell="K31" sqref="K31"/>
      <selection pane="bottomRight" activeCell="K7" sqref="K7:N7"/>
    </sheetView>
  </sheetViews>
  <sheetFormatPr defaultRowHeight="15" x14ac:dyDescent="0.25"/>
  <cols>
    <col min="1" max="1" width="9.33203125" style="338"/>
    <col min="2" max="2" width="47.33203125" style="338" customWidth="1"/>
    <col min="3" max="3" width="21.83203125" style="338" customWidth="1"/>
    <col min="4" max="4" width="17.83203125" style="338" customWidth="1"/>
    <col min="5" max="5" width="13.83203125" style="338" customWidth="1"/>
    <col min="6" max="6" width="16.6640625" style="338" customWidth="1"/>
    <col min="7" max="7" width="13.83203125" style="338" customWidth="1"/>
    <col min="8" max="8" width="13.6640625" style="338" customWidth="1"/>
    <col min="9" max="9" width="17.6640625" style="338" customWidth="1"/>
    <col min="10" max="11" width="16.33203125" style="338" customWidth="1"/>
    <col min="12" max="12" width="62.83203125" style="338" customWidth="1"/>
    <col min="13" max="13" width="15.83203125" style="338" customWidth="1"/>
    <col min="14" max="14" width="15.33203125" style="338" customWidth="1"/>
    <col min="15" max="16384" width="9.33203125" style="338"/>
  </cols>
  <sheetData>
    <row r="1" spans="1:14" x14ac:dyDescent="0.25">
      <c r="K1" s="2537" t="s">
        <v>470</v>
      </c>
      <c r="L1" s="2538"/>
      <c r="M1" s="2538"/>
      <c r="N1" s="2538"/>
    </row>
    <row r="2" spans="1:14" x14ac:dyDescent="0.25">
      <c r="K2" s="2537" t="s">
        <v>323</v>
      </c>
      <c r="L2" s="2538"/>
      <c r="M2" s="2538"/>
      <c r="N2" s="2538"/>
    </row>
    <row r="3" spans="1:14" x14ac:dyDescent="0.25">
      <c r="K3" s="2537" t="s">
        <v>324</v>
      </c>
      <c r="L3" s="2538"/>
      <c r="M3" s="2538"/>
      <c r="N3" s="2538"/>
    </row>
    <row r="4" spans="1:14" x14ac:dyDescent="0.25">
      <c r="K4" s="2537" t="s">
        <v>325</v>
      </c>
      <c r="L4" s="2538"/>
      <c r="M4" s="2538"/>
      <c r="N4" s="2538"/>
    </row>
    <row r="5" spans="1:14" x14ac:dyDescent="0.25">
      <c r="K5" s="2537" t="s">
        <v>458</v>
      </c>
      <c r="L5" s="2538"/>
      <c r="M5" s="2538"/>
      <c r="N5" s="2538"/>
    </row>
    <row r="6" spans="1:14" x14ac:dyDescent="0.25">
      <c r="K6" s="2537" t="s">
        <v>459</v>
      </c>
      <c r="L6" s="2538"/>
      <c r="M6" s="2538"/>
      <c r="N6" s="2538"/>
    </row>
    <row r="7" spans="1:14" x14ac:dyDescent="0.25">
      <c r="K7" s="2537"/>
      <c r="L7" s="2538"/>
      <c r="M7" s="2538"/>
      <c r="N7" s="2538"/>
    </row>
    <row r="9" spans="1:14" ht="32.25" customHeight="1" x14ac:dyDescent="0.25">
      <c r="A9" s="2539" t="s">
        <v>534</v>
      </c>
      <c r="B9" s="2539"/>
      <c r="C9" s="2539"/>
      <c r="D9" s="2539"/>
      <c r="E9" s="2539"/>
      <c r="F9" s="2539"/>
      <c r="G9" s="2539"/>
      <c r="H9" s="2539"/>
      <c r="I9" s="2539"/>
      <c r="J9" s="2539"/>
      <c r="K9" s="2539"/>
      <c r="L9" s="2539"/>
      <c r="M9" s="2539"/>
      <c r="N9" s="2539"/>
    </row>
    <row r="11" spans="1:14" x14ac:dyDescent="0.25">
      <c r="A11" s="2540" t="s">
        <v>1475</v>
      </c>
      <c r="B11" s="2540"/>
      <c r="C11" s="2540"/>
      <c r="D11" s="2540"/>
      <c r="E11" s="2540"/>
      <c r="F11" s="2540"/>
      <c r="G11" s="2540"/>
      <c r="H11" s="2540"/>
      <c r="I11" s="2540"/>
      <c r="J11" s="2540"/>
      <c r="K11" s="2540"/>
      <c r="L11" s="2540"/>
      <c r="M11" s="2540"/>
      <c r="N11" s="2540"/>
    </row>
    <row r="12" spans="1:14" x14ac:dyDescent="0.25">
      <c r="N12" s="339">
        <v>43829</v>
      </c>
    </row>
    <row r="13" spans="1:14" ht="15.75" customHeight="1" x14ac:dyDescent="0.25">
      <c r="N13" s="338" t="s">
        <v>471</v>
      </c>
    </row>
    <row r="14" spans="1:14" ht="29.25" customHeight="1" x14ac:dyDescent="0.25">
      <c r="A14" s="2541" t="s">
        <v>319</v>
      </c>
      <c r="B14" s="2541" t="s">
        <v>472</v>
      </c>
      <c r="C14" s="2541" t="s">
        <v>473</v>
      </c>
      <c r="D14" s="2541" t="s">
        <v>474</v>
      </c>
      <c r="E14" s="2541"/>
      <c r="F14" s="2541"/>
      <c r="G14" s="2541" t="s">
        <v>232</v>
      </c>
      <c r="H14" s="2541"/>
      <c r="I14" s="2541"/>
      <c r="J14" s="2541"/>
      <c r="K14" s="2541" t="s">
        <v>475</v>
      </c>
      <c r="L14" s="2541" t="s">
        <v>463</v>
      </c>
      <c r="M14" s="2541" t="s">
        <v>233</v>
      </c>
      <c r="N14" s="2541" t="s">
        <v>234</v>
      </c>
    </row>
    <row r="15" spans="1:14" ht="45" x14ac:dyDescent="0.25">
      <c r="A15" s="2541"/>
      <c r="B15" s="2541"/>
      <c r="C15" s="2541"/>
      <c r="D15" s="340" t="s">
        <v>464</v>
      </c>
      <c r="E15" s="340" t="s">
        <v>465</v>
      </c>
      <c r="F15" s="340" t="s">
        <v>466</v>
      </c>
      <c r="G15" s="340" t="s">
        <v>476</v>
      </c>
      <c r="H15" s="340" t="s">
        <v>477</v>
      </c>
      <c r="I15" s="340" t="s">
        <v>478</v>
      </c>
      <c r="J15" s="340" t="s">
        <v>479</v>
      </c>
      <c r="K15" s="2541"/>
      <c r="L15" s="2541"/>
      <c r="M15" s="2541"/>
      <c r="N15" s="2541"/>
    </row>
    <row r="16" spans="1:14" x14ac:dyDescent="0.25">
      <c r="A16" s="340">
        <v>1</v>
      </c>
      <c r="B16" s="340">
        <v>2</v>
      </c>
      <c r="C16" s="340">
        <v>3</v>
      </c>
      <c r="D16" s="340">
        <v>4</v>
      </c>
      <c r="E16" s="340">
        <v>5</v>
      </c>
      <c r="F16" s="340">
        <v>6</v>
      </c>
      <c r="G16" s="340">
        <v>7</v>
      </c>
      <c r="H16" s="340">
        <v>8</v>
      </c>
      <c r="I16" s="340">
        <v>9</v>
      </c>
      <c r="J16" s="340">
        <v>10</v>
      </c>
      <c r="K16" s="340">
        <v>11</v>
      </c>
      <c r="L16" s="340">
        <v>12</v>
      </c>
      <c r="M16" s="340">
        <v>13</v>
      </c>
      <c r="N16" s="340">
        <v>14</v>
      </c>
    </row>
    <row r="17" spans="1:18" ht="45" x14ac:dyDescent="0.25">
      <c r="A17" s="340">
        <v>1</v>
      </c>
      <c r="B17" s="341" t="s">
        <v>1475</v>
      </c>
      <c r="C17" s="342">
        <v>28.7</v>
      </c>
      <c r="D17" s="342"/>
      <c r="E17" s="342">
        <v>18.8</v>
      </c>
      <c r="F17" s="342">
        <v>13.8</v>
      </c>
      <c r="G17" s="340">
        <v>29</v>
      </c>
      <c r="H17" s="340">
        <v>4</v>
      </c>
      <c r="I17" s="342">
        <v>4.5999999999999996</v>
      </c>
      <c r="J17" s="342">
        <v>18.399999999999999</v>
      </c>
      <c r="K17" s="342">
        <v>18.399999999999999</v>
      </c>
      <c r="L17" s="343" t="s">
        <v>1576</v>
      </c>
      <c r="M17" s="342"/>
      <c r="N17" s="342"/>
      <c r="Q17" s="344"/>
      <c r="R17" s="344"/>
    </row>
    <row r="18" spans="1:18" x14ac:dyDescent="0.25">
      <c r="A18" s="345"/>
      <c r="B18" s="346" t="s">
        <v>468</v>
      </c>
      <c r="C18" s="347">
        <f t="shared" ref="C18:N18" si="0">SUM(C17:C17)</f>
        <v>28.7</v>
      </c>
      <c r="D18" s="347">
        <f t="shared" si="0"/>
        <v>0</v>
      </c>
      <c r="E18" s="347">
        <f t="shared" si="0"/>
        <v>18.8</v>
      </c>
      <c r="F18" s="347">
        <f t="shared" si="0"/>
        <v>13.8</v>
      </c>
      <c r="G18" s="348">
        <f t="shared" si="0"/>
        <v>29</v>
      </c>
      <c r="H18" s="348">
        <f t="shared" si="0"/>
        <v>4</v>
      </c>
      <c r="I18" s="347">
        <f t="shared" si="0"/>
        <v>4.5999999999999996</v>
      </c>
      <c r="J18" s="347">
        <f t="shared" si="0"/>
        <v>18.399999999999999</v>
      </c>
      <c r="K18" s="347">
        <f t="shared" si="0"/>
        <v>18.399999999999999</v>
      </c>
      <c r="L18" s="348">
        <f t="shared" si="0"/>
        <v>0</v>
      </c>
      <c r="M18" s="347">
        <f t="shared" si="0"/>
        <v>0</v>
      </c>
      <c r="N18" s="347">
        <f t="shared" si="0"/>
        <v>0</v>
      </c>
    </row>
    <row r="21" spans="1:18" ht="18.75" x14ac:dyDescent="0.3">
      <c r="A21" s="349" t="s">
        <v>480</v>
      </c>
    </row>
    <row r="24" spans="1:18" ht="18.75" x14ac:dyDescent="0.3">
      <c r="A24" s="2542" t="s">
        <v>469</v>
      </c>
      <c r="B24" s="2542"/>
      <c r="C24" s="2542"/>
      <c r="D24" s="2543"/>
      <c r="E24" s="2543"/>
      <c r="F24" s="2543"/>
      <c r="G24" s="335"/>
      <c r="H24" s="2544" t="str">
        <f>'[16]991,992,911 (01.01.20) 2020'!K30</f>
        <v>А.Ю. Касьяненко</v>
      </c>
      <c r="I24" s="2543"/>
      <c r="J24" s="2543"/>
      <c r="K24" s="335"/>
    </row>
    <row r="25" spans="1:18" ht="15.75" x14ac:dyDescent="0.25">
      <c r="A25" s="334"/>
      <c r="B25" s="334"/>
      <c r="C25" s="334"/>
      <c r="D25" s="2535" t="s">
        <v>217</v>
      </c>
      <c r="E25" s="2535"/>
      <c r="F25" s="2535"/>
      <c r="G25" s="337"/>
      <c r="H25" s="2536" t="s">
        <v>211</v>
      </c>
      <c r="I25" s="2536"/>
      <c r="J25" s="2536"/>
      <c r="K25" s="336"/>
    </row>
    <row r="26" spans="1:18" ht="15.75" x14ac:dyDescent="0.25">
      <c r="A26" s="350" t="s">
        <v>96</v>
      </c>
      <c r="B26" s="334"/>
      <c r="C26" s="334"/>
      <c r="D26" s="336"/>
      <c r="E26" s="336"/>
      <c r="F26" s="336"/>
      <c r="G26" s="336"/>
      <c r="H26" s="336"/>
      <c r="I26" s="336"/>
      <c r="J26" s="336"/>
      <c r="K26" s="336"/>
    </row>
    <row r="27" spans="1:18" ht="15.75" x14ac:dyDescent="0.25">
      <c r="A27" s="350" t="s">
        <v>481</v>
      </c>
      <c r="B27" s="334"/>
      <c r="C27" s="334"/>
      <c r="D27" s="336"/>
      <c r="E27" s="336"/>
      <c r="F27" s="336"/>
      <c r="G27" s="336"/>
      <c r="H27" s="336"/>
      <c r="I27" s="336"/>
      <c r="J27" s="336"/>
      <c r="K27" s="336"/>
    </row>
  </sheetData>
  <mergeCells count="23">
    <mergeCell ref="H24:J24"/>
    <mergeCell ref="K6:N6"/>
    <mergeCell ref="K1:N1"/>
    <mergeCell ref="K2:N2"/>
    <mergeCell ref="K3:N3"/>
    <mergeCell ref="K4:N4"/>
    <mergeCell ref="K5:N5"/>
    <mergeCell ref="D25:F25"/>
    <mergeCell ref="H25:J25"/>
    <mergeCell ref="K7:N7"/>
    <mergeCell ref="A9:N9"/>
    <mergeCell ref="A11:N11"/>
    <mergeCell ref="A14:A15"/>
    <mergeCell ref="B14:B15"/>
    <mergeCell ref="C14:C15"/>
    <mergeCell ref="D14:F14"/>
    <mergeCell ref="G14:J14"/>
    <mergeCell ref="K14:K15"/>
    <mergeCell ref="L14:L15"/>
    <mergeCell ref="M14:M15"/>
    <mergeCell ref="N14:N15"/>
    <mergeCell ref="A24:C24"/>
    <mergeCell ref="D24:F24"/>
  </mergeCells>
  <pageMargins left="0.70866141732283472" right="0.70866141732283472" top="0.74803149606299213" bottom="0.74803149606299213" header="0.31496062992125984" footer="0.31496062992125984"/>
  <pageSetup paperSize="9" scale="49"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FFFF"/>
  </sheetPr>
  <dimension ref="A1:E14"/>
  <sheetViews>
    <sheetView view="pageBreakPreview" zoomScale="80" zoomScaleNormal="100" zoomScaleSheetLayoutView="80" workbookViewId="0">
      <selection activeCell="N11" sqref="N11"/>
    </sheetView>
  </sheetViews>
  <sheetFormatPr defaultRowHeight="39.75" customHeight="1" x14ac:dyDescent="0.25"/>
  <cols>
    <col min="1" max="1" width="81.33203125" style="365" customWidth="1"/>
    <col min="2" max="2" width="10" style="365" customWidth="1"/>
    <col min="3" max="5" width="25.83203125" style="365" customWidth="1"/>
    <col min="6" max="16384" width="9.33203125" style="365"/>
  </cols>
  <sheetData>
    <row r="1" spans="1:5" ht="55.5" customHeight="1" x14ac:dyDescent="0.25">
      <c r="A1" s="2509" t="s">
        <v>535</v>
      </c>
      <c r="B1" s="2509"/>
      <c r="C1" s="2509"/>
      <c r="D1" s="2509"/>
      <c r="E1" s="2509"/>
    </row>
    <row r="2" spans="1:5" ht="34.5" customHeight="1" x14ac:dyDescent="0.25">
      <c r="A2" s="2509" t="s">
        <v>1253</v>
      </c>
      <c r="B2" s="2509"/>
      <c r="C2" s="2509"/>
      <c r="D2" s="2509"/>
      <c r="E2" s="2509"/>
    </row>
    <row r="3" spans="1:5" ht="13.5" customHeight="1" x14ac:dyDescent="0.25">
      <c r="A3" s="366"/>
      <c r="B3" s="366"/>
      <c r="C3" s="366"/>
      <c r="D3" s="366"/>
      <c r="E3" s="367">
        <v>43829</v>
      </c>
    </row>
    <row r="4" spans="1:5" ht="39.75" customHeight="1" x14ac:dyDescent="0.25">
      <c r="A4" s="2454" t="s">
        <v>416</v>
      </c>
      <c r="B4" s="2454" t="s">
        <v>417</v>
      </c>
      <c r="C4" s="2454" t="s">
        <v>418</v>
      </c>
      <c r="D4" s="2454"/>
      <c r="E4" s="2454"/>
    </row>
    <row r="5" spans="1:5" ht="39.75" customHeight="1" x14ac:dyDescent="0.25">
      <c r="A5" s="2454"/>
      <c r="B5" s="2454"/>
      <c r="C5" s="368" t="s">
        <v>428</v>
      </c>
      <c r="D5" s="368" t="s">
        <v>429</v>
      </c>
      <c r="E5" s="368" t="s">
        <v>430</v>
      </c>
    </row>
    <row r="6" spans="1:5" ht="39.75" customHeight="1" x14ac:dyDescent="0.25">
      <c r="A6" s="2454"/>
      <c r="B6" s="2454"/>
      <c r="C6" s="368" t="s">
        <v>419</v>
      </c>
      <c r="D6" s="368" t="s">
        <v>420</v>
      </c>
      <c r="E6" s="368" t="s">
        <v>421</v>
      </c>
    </row>
    <row r="7" spans="1:5" ht="16.5" customHeight="1" x14ac:dyDescent="0.25">
      <c r="A7" s="368">
        <v>1</v>
      </c>
      <c r="B7" s="368">
        <v>2</v>
      </c>
      <c r="C7" s="368">
        <v>3</v>
      </c>
      <c r="D7" s="368">
        <v>4</v>
      </c>
      <c r="E7" s="368">
        <v>5</v>
      </c>
    </row>
    <row r="8" spans="1:5" ht="17.25" customHeight="1" x14ac:dyDescent="0.25">
      <c r="A8" s="369" t="s">
        <v>512</v>
      </c>
      <c r="B8" s="368">
        <v>100</v>
      </c>
      <c r="C8" s="370"/>
      <c r="D8" s="370"/>
      <c r="E8" s="370"/>
    </row>
    <row r="9" spans="1:5" ht="17.25" customHeight="1" x14ac:dyDescent="0.25">
      <c r="A9" s="369" t="s">
        <v>513</v>
      </c>
      <c r="B9" s="368">
        <v>200</v>
      </c>
      <c r="C9" s="370"/>
      <c r="D9" s="370"/>
      <c r="E9" s="370"/>
    </row>
    <row r="10" spans="1:5" ht="44.25" customHeight="1" x14ac:dyDescent="0.25">
      <c r="A10" s="369" t="s">
        <v>514</v>
      </c>
      <c r="B10" s="368">
        <v>300</v>
      </c>
      <c r="C10" s="370">
        <f>C11</f>
        <v>188600</v>
      </c>
      <c r="D10" s="370">
        <f t="shared" ref="D10:E10" si="0">D11</f>
        <v>188600</v>
      </c>
      <c r="E10" s="370">
        <f t="shared" si="0"/>
        <v>188600</v>
      </c>
    </row>
    <row r="11" spans="1:5" ht="92.25" customHeight="1" x14ac:dyDescent="0.25">
      <c r="A11" s="369" t="s">
        <v>515</v>
      </c>
      <c r="B11" s="368">
        <v>301</v>
      </c>
      <c r="C11" s="370">
        <f>'б-т 966 (01.01.20)'!S36*1000</f>
        <v>188600</v>
      </c>
      <c r="D11" s="370">
        <f>'б-т 966 (01.01.20)'!X36*1000</f>
        <v>188600</v>
      </c>
      <c r="E11" s="370">
        <f>'б-т 966 (01.01.20)'!Y36*1000</f>
        <v>188600</v>
      </c>
    </row>
    <row r="12" spans="1:5" ht="18" customHeight="1" x14ac:dyDescent="0.25">
      <c r="A12" s="369" t="s">
        <v>516</v>
      </c>
      <c r="B12" s="368">
        <v>400</v>
      </c>
      <c r="C12" s="370"/>
      <c r="D12" s="370"/>
      <c r="E12" s="370"/>
    </row>
    <row r="13" spans="1:5" ht="18" customHeight="1" x14ac:dyDescent="0.25">
      <c r="A13" s="369" t="s">
        <v>517</v>
      </c>
      <c r="B13" s="368">
        <v>500</v>
      </c>
      <c r="C13" s="370"/>
      <c r="D13" s="370"/>
      <c r="E13" s="370"/>
    </row>
    <row r="14" spans="1:5" s="374" customFormat="1" ht="60" customHeight="1" x14ac:dyDescent="0.2">
      <c r="A14" s="371" t="s">
        <v>538</v>
      </c>
      <c r="B14" s="372">
        <v>600</v>
      </c>
      <c r="C14" s="373">
        <f>C8-C9+C10-C12+C13</f>
        <v>188600</v>
      </c>
      <c r="D14" s="373">
        <f t="shared" ref="D14:E14" si="1">D8-D9+D10-D12+D13</f>
        <v>188600</v>
      </c>
      <c r="E14" s="373">
        <f t="shared" si="1"/>
        <v>188600</v>
      </c>
    </row>
  </sheetData>
  <mergeCells count="5">
    <mergeCell ref="A1:E1"/>
    <mergeCell ref="A2:E2"/>
    <mergeCell ref="A4:A6"/>
    <mergeCell ref="B4:B6"/>
    <mergeCell ref="C4:E4"/>
  </mergeCells>
  <pageMargins left="0.7" right="0.7" top="0.75" bottom="0.75" header="0.3" footer="0.3"/>
  <pageSetup paperSize="9" scale="5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C000"/>
    <pageSetUpPr fitToPage="1"/>
  </sheetPr>
  <dimension ref="A1:TZ62"/>
  <sheetViews>
    <sheetView showZeros="0" view="pageBreakPreview" zoomScale="60" zoomScaleNormal="60" workbookViewId="0">
      <pane ySplit="10" topLeftCell="A17" activePane="bottomLeft" state="frozen"/>
      <selection pane="bottomLeft" activeCell="A3" sqref="A3:Z3"/>
    </sheetView>
  </sheetViews>
  <sheetFormatPr defaultColWidth="10.6640625" defaultRowHeight="15.75" x14ac:dyDescent="0.25"/>
  <cols>
    <col min="1" max="1" width="7.33203125" style="1192" customWidth="1"/>
    <col min="2" max="2" width="17.6640625" style="1575" customWidth="1"/>
    <col min="3" max="3" width="42" style="1218" customWidth="1"/>
    <col min="4" max="4" width="17" style="1222" hidden="1" customWidth="1"/>
    <col min="5" max="5" width="19.5" style="1579" hidden="1" customWidth="1"/>
    <col min="6" max="15" width="19.5" style="1222" hidden="1" customWidth="1"/>
    <col min="16" max="18" width="19.5" style="1222" customWidth="1"/>
    <col min="19" max="19" width="24.1640625" style="1222" customWidth="1"/>
    <col min="20" max="21" width="19.5" style="1222" customWidth="1"/>
    <col min="22" max="22" width="14.83203125" style="1222" customWidth="1"/>
    <col min="23" max="23" width="17.33203125" style="1222" customWidth="1"/>
    <col min="24" max="24" width="15.33203125" style="1222" customWidth="1"/>
    <col min="25" max="25" width="17" style="1222" customWidth="1"/>
    <col min="26" max="26" width="94.6640625" style="1192" customWidth="1"/>
    <col min="27" max="27" width="10.6640625" style="1218" customWidth="1"/>
    <col min="28" max="29" width="10.6640625" style="1192"/>
    <col min="30" max="30" width="13.5" style="1192" customWidth="1"/>
    <col min="31" max="34" width="10.6640625" style="1192" customWidth="1"/>
    <col min="35" max="252" width="10.6640625" style="1192"/>
    <col min="253" max="253" width="7.33203125" style="1192" customWidth="1"/>
    <col min="254" max="254" width="14.1640625" style="1192" customWidth="1"/>
    <col min="255" max="255" width="40.83203125" style="1192" customWidth="1"/>
    <col min="256" max="256" width="10.1640625" style="1192" customWidth="1"/>
    <col min="257" max="257" width="24.1640625" style="1192" customWidth="1"/>
    <col min="258" max="259" width="13.1640625" style="1192" customWidth="1"/>
    <col min="260" max="260" width="14.5" style="1192" customWidth="1"/>
    <col min="261" max="261" width="10.1640625" style="1192" customWidth="1"/>
    <col min="262" max="262" width="13.1640625" style="1192" customWidth="1"/>
    <col min="263" max="263" width="14.5" style="1192" customWidth="1"/>
    <col min="264" max="264" width="13.1640625" style="1192" customWidth="1"/>
    <col min="265" max="265" width="12.6640625" style="1192" customWidth="1"/>
    <col min="266" max="266" width="10" style="1192" bestFit="1" customWidth="1"/>
    <col min="267" max="267" width="23.1640625" style="1192" bestFit="1" customWidth="1"/>
    <col min="268" max="269" width="11.5" style="1192" bestFit="1" customWidth="1"/>
    <col min="270" max="270" width="12.33203125" style="1192" bestFit="1" customWidth="1"/>
    <col min="271" max="271" width="15.83203125" style="1192" bestFit="1" customWidth="1"/>
    <col min="272" max="272" width="13" style="1192" bestFit="1" customWidth="1"/>
    <col min="273" max="273" width="14.33203125" style="1192" bestFit="1" customWidth="1"/>
    <col min="274" max="275" width="10.6640625" style="1192" customWidth="1"/>
    <col min="276" max="276" width="17.83203125" style="1192" bestFit="1" customWidth="1"/>
    <col min="277" max="279" width="10.6640625" style="1192" customWidth="1"/>
    <col min="280" max="285" width="10.6640625" style="1192"/>
    <col min="286" max="286" width="7.33203125" style="1192" customWidth="1"/>
    <col min="287" max="290" width="10.6640625" style="1192" customWidth="1"/>
    <col min="291" max="508" width="10.6640625" style="1192"/>
    <col min="509" max="509" width="7.33203125" style="1192" customWidth="1"/>
    <col min="510" max="510" width="14.1640625" style="1192" customWidth="1"/>
    <col min="511" max="511" width="40.83203125" style="1192" customWidth="1"/>
    <col min="512" max="512" width="10.1640625" style="1192" customWidth="1"/>
    <col min="513" max="513" width="24.1640625" style="1192" customWidth="1"/>
    <col min="514" max="515" width="13.1640625" style="1192" customWidth="1"/>
    <col min="516" max="516" width="14.5" style="1192" customWidth="1"/>
    <col min="517" max="517" width="10.1640625" style="1192" customWidth="1"/>
    <col min="518" max="518" width="13.1640625" style="1192" customWidth="1"/>
    <col min="519" max="519" width="14.5" style="1192" customWidth="1"/>
    <col min="520" max="520" width="13.1640625" style="1192" customWidth="1"/>
    <col min="521" max="521" width="12.6640625" style="1192" customWidth="1"/>
    <col min="522" max="522" width="10" style="1192" bestFit="1" customWidth="1"/>
    <col min="523" max="523" width="23.1640625" style="1192" bestFit="1" customWidth="1"/>
    <col min="524" max="525" width="11.5" style="1192" bestFit="1" customWidth="1"/>
    <col min="526" max="526" width="12.33203125" style="1192" bestFit="1" customWidth="1"/>
    <col min="527" max="527" width="15.83203125" style="1192" bestFit="1" customWidth="1"/>
    <col min="528" max="528" width="13" style="1192" bestFit="1" customWidth="1"/>
    <col min="529" max="529" width="14.33203125" style="1192" bestFit="1" customWidth="1"/>
    <col min="530" max="531" width="10.6640625" style="1192" customWidth="1"/>
    <col min="532" max="532" width="17.83203125" style="1192" bestFit="1" customWidth="1"/>
    <col min="533" max="535" width="10.6640625" style="1192" customWidth="1"/>
    <col min="536" max="541" width="10.6640625" style="1192"/>
    <col min="542" max="542" width="7.33203125" style="1192" customWidth="1"/>
    <col min="543" max="546" width="10.6640625" style="1192" customWidth="1"/>
    <col min="547" max="16384" width="10.6640625" style="1192"/>
  </cols>
  <sheetData>
    <row r="1" spans="1:29" s="1184" customFormat="1" x14ac:dyDescent="0.25">
      <c r="B1" s="1500"/>
      <c r="C1" s="1185"/>
      <c r="D1" s="1190"/>
      <c r="E1" s="1501"/>
      <c r="F1" s="1190"/>
      <c r="G1" s="1190"/>
      <c r="H1" s="1190"/>
      <c r="I1" s="1502"/>
      <c r="J1" s="1190"/>
      <c r="K1" s="1502"/>
      <c r="L1" s="1502"/>
      <c r="M1" s="1502"/>
      <c r="N1" s="1190"/>
      <c r="O1" s="1502"/>
      <c r="P1" s="1502"/>
      <c r="Q1" s="1502"/>
      <c r="R1" s="1190"/>
      <c r="S1" s="1190"/>
      <c r="T1" s="1190"/>
      <c r="U1" s="1502"/>
      <c r="V1" s="1190"/>
      <c r="W1" s="1190"/>
      <c r="X1" s="1190"/>
      <c r="Y1" s="1190"/>
      <c r="AA1" s="1185"/>
    </row>
    <row r="2" spans="1:29" s="1184" customFormat="1" ht="23.25" customHeight="1" x14ac:dyDescent="0.25">
      <c r="A2" s="2545" t="s">
        <v>1575</v>
      </c>
      <c r="B2" s="2545"/>
      <c r="C2" s="2545"/>
      <c r="D2" s="2545"/>
      <c r="E2" s="2545"/>
      <c r="F2" s="2545"/>
      <c r="G2" s="2545"/>
      <c r="H2" s="2545"/>
      <c r="I2" s="2545"/>
      <c r="J2" s="2545"/>
      <c r="K2" s="2545"/>
      <c r="L2" s="2545"/>
      <c r="M2" s="2545"/>
      <c r="N2" s="2545"/>
      <c r="O2" s="2545"/>
      <c r="P2" s="2545"/>
      <c r="Q2" s="2545"/>
      <c r="R2" s="2545"/>
      <c r="S2" s="2545"/>
      <c r="T2" s="2545"/>
      <c r="U2" s="2545"/>
      <c r="V2" s="2545"/>
      <c r="W2" s="2545"/>
      <c r="X2" s="2545"/>
      <c r="Y2" s="2545"/>
      <c r="Z2" s="2545"/>
      <c r="AA2" s="1185"/>
    </row>
    <row r="3" spans="1:29" s="1184" customFormat="1" x14ac:dyDescent="0.25">
      <c r="A3" s="2546" t="s">
        <v>1253</v>
      </c>
      <c r="B3" s="2546"/>
      <c r="C3" s="2546"/>
      <c r="D3" s="2546"/>
      <c r="E3" s="2546"/>
      <c r="F3" s="2546"/>
      <c r="G3" s="2546"/>
      <c r="H3" s="2546"/>
      <c r="I3" s="2546"/>
      <c r="J3" s="2546"/>
      <c r="K3" s="2546"/>
      <c r="L3" s="2546"/>
      <c r="M3" s="2546"/>
      <c r="N3" s="2546"/>
      <c r="O3" s="2546"/>
      <c r="P3" s="2546"/>
      <c r="Q3" s="2546"/>
      <c r="R3" s="2546"/>
      <c r="S3" s="2546"/>
      <c r="T3" s="2546"/>
      <c r="U3" s="2546"/>
      <c r="V3" s="2546"/>
      <c r="W3" s="2546"/>
      <c r="X3" s="2546"/>
      <c r="Y3" s="2546"/>
      <c r="Z3" s="2546"/>
      <c r="AA3" s="1185"/>
    </row>
    <row r="4" spans="1:29" s="1184" customFormat="1" x14ac:dyDescent="0.25">
      <c r="B4" s="1500"/>
      <c r="C4" s="1185"/>
      <c r="D4" s="1190"/>
      <c r="E4" s="1501"/>
      <c r="F4" s="1190"/>
      <c r="G4" s="1190"/>
      <c r="H4" s="1190"/>
      <c r="I4" s="1502"/>
      <c r="J4" s="1190"/>
      <c r="K4" s="1502"/>
      <c r="L4" s="1502"/>
      <c r="M4" s="1502"/>
      <c r="N4" s="1190"/>
      <c r="O4" s="1502"/>
      <c r="P4" s="1502"/>
      <c r="Q4" s="1502"/>
      <c r="R4" s="1190"/>
      <c r="S4" s="1190"/>
      <c r="T4" s="1190"/>
      <c r="U4" s="1502"/>
      <c r="V4" s="1190"/>
      <c r="W4" s="1190"/>
      <c r="X4" s="1190"/>
      <c r="Y4" s="1190"/>
      <c r="Z4" s="1582">
        <v>43829</v>
      </c>
      <c r="AA4" s="1185"/>
    </row>
    <row r="5" spans="1:29" x14ac:dyDescent="0.25">
      <c r="A5" s="2560" t="s">
        <v>78</v>
      </c>
      <c r="B5" s="2574" t="s">
        <v>789</v>
      </c>
      <c r="C5" s="2560" t="s">
        <v>416</v>
      </c>
      <c r="D5" s="2577" t="s">
        <v>370</v>
      </c>
      <c r="E5" s="2578"/>
      <c r="F5" s="2578"/>
      <c r="G5" s="2579"/>
      <c r="H5" s="2549" t="s">
        <v>790</v>
      </c>
      <c r="I5" s="2550"/>
      <c r="J5" s="2550"/>
      <c r="K5" s="2550"/>
      <c r="L5" s="2550"/>
      <c r="M5" s="2550"/>
      <c r="N5" s="2550"/>
      <c r="O5" s="2558"/>
      <c r="P5" s="2557" t="s">
        <v>791</v>
      </c>
      <c r="Q5" s="2557"/>
      <c r="R5" s="2557"/>
      <c r="S5" s="2557"/>
      <c r="T5" s="2557"/>
      <c r="U5" s="2557"/>
      <c r="V5" s="2554" t="s">
        <v>737</v>
      </c>
      <c r="W5" s="2554"/>
      <c r="X5" s="2556" t="s">
        <v>180</v>
      </c>
      <c r="Y5" s="2556" t="s">
        <v>181</v>
      </c>
      <c r="Z5" s="2557" t="s">
        <v>792</v>
      </c>
    </row>
    <row r="6" spans="1:29" x14ac:dyDescent="0.25">
      <c r="A6" s="2560"/>
      <c r="B6" s="2575"/>
      <c r="C6" s="2560"/>
      <c r="D6" s="2580"/>
      <c r="E6" s="2581"/>
      <c r="F6" s="2581"/>
      <c r="G6" s="2582"/>
      <c r="H6" s="2549" t="s">
        <v>793</v>
      </c>
      <c r="I6" s="2550"/>
      <c r="J6" s="2550"/>
      <c r="K6" s="2558"/>
      <c r="L6" s="2549" t="s">
        <v>794</v>
      </c>
      <c r="M6" s="2550"/>
      <c r="N6" s="2550"/>
      <c r="O6" s="2558"/>
      <c r="P6" s="2557" t="s">
        <v>357</v>
      </c>
      <c r="Q6" s="2557"/>
      <c r="R6" s="2557"/>
      <c r="S6" s="2557"/>
      <c r="T6" s="2557"/>
      <c r="U6" s="2557"/>
      <c r="V6" s="2554"/>
      <c r="W6" s="2554"/>
      <c r="X6" s="2556"/>
      <c r="Y6" s="2556"/>
      <c r="Z6" s="2557"/>
    </row>
    <row r="7" spans="1:29" x14ac:dyDescent="0.25">
      <c r="A7" s="2560"/>
      <c r="B7" s="2575"/>
      <c r="C7" s="2560"/>
      <c r="D7" s="2560" t="s">
        <v>358</v>
      </c>
      <c r="E7" s="2583" t="s">
        <v>795</v>
      </c>
      <c r="F7" s="2559" t="s">
        <v>796</v>
      </c>
      <c r="G7" s="2559"/>
      <c r="H7" s="2560" t="s">
        <v>358</v>
      </c>
      <c r="I7" s="2571" t="s">
        <v>795</v>
      </c>
      <c r="J7" s="2559" t="s">
        <v>796</v>
      </c>
      <c r="K7" s="2559"/>
      <c r="L7" s="2560" t="s">
        <v>358</v>
      </c>
      <c r="M7" s="2571" t="s">
        <v>795</v>
      </c>
      <c r="N7" s="2559" t="s">
        <v>796</v>
      </c>
      <c r="O7" s="2559"/>
      <c r="P7" s="2560" t="s">
        <v>358</v>
      </c>
      <c r="Q7" s="2571" t="s">
        <v>795</v>
      </c>
      <c r="R7" s="2559" t="s">
        <v>796</v>
      </c>
      <c r="S7" s="2559"/>
      <c r="T7" s="2559"/>
      <c r="U7" s="2559"/>
      <c r="V7" s="2564" t="s">
        <v>797</v>
      </c>
      <c r="W7" s="2564" t="s">
        <v>798</v>
      </c>
      <c r="X7" s="2554" t="s">
        <v>527</v>
      </c>
      <c r="Y7" s="2554"/>
      <c r="Z7" s="2557"/>
      <c r="AC7" s="1193"/>
    </row>
    <row r="8" spans="1:29" x14ac:dyDescent="0.25">
      <c r="A8" s="2560"/>
      <c r="B8" s="2575"/>
      <c r="C8" s="2560"/>
      <c r="D8" s="2560"/>
      <c r="E8" s="2583"/>
      <c r="F8" s="770"/>
      <c r="G8" s="770"/>
      <c r="H8" s="2560"/>
      <c r="I8" s="2572"/>
      <c r="J8" s="770"/>
      <c r="K8" s="770"/>
      <c r="L8" s="2560"/>
      <c r="M8" s="2572"/>
      <c r="N8" s="770"/>
      <c r="O8" s="770"/>
      <c r="P8" s="2560"/>
      <c r="Q8" s="2572"/>
      <c r="R8" s="2565" t="s">
        <v>799</v>
      </c>
      <c r="S8" s="2567" t="s">
        <v>800</v>
      </c>
      <c r="T8" s="2568"/>
      <c r="U8" s="2569" t="s">
        <v>801</v>
      </c>
      <c r="V8" s="2564"/>
      <c r="W8" s="2564"/>
      <c r="X8" s="1503"/>
      <c r="Y8" s="1503"/>
      <c r="Z8" s="2557"/>
      <c r="AC8" s="1193"/>
    </row>
    <row r="9" spans="1:29" ht="75" x14ac:dyDescent="0.25">
      <c r="A9" s="2560"/>
      <c r="B9" s="2576"/>
      <c r="C9" s="2560"/>
      <c r="D9" s="2560"/>
      <c r="E9" s="2583"/>
      <c r="F9" s="1504" t="s">
        <v>802</v>
      </c>
      <c r="G9" s="1195" t="s">
        <v>801</v>
      </c>
      <c r="H9" s="2560"/>
      <c r="I9" s="2573"/>
      <c r="J9" s="1504" t="s">
        <v>802</v>
      </c>
      <c r="K9" s="1195" t="s">
        <v>801</v>
      </c>
      <c r="L9" s="2560"/>
      <c r="M9" s="2573"/>
      <c r="N9" s="1504" t="s">
        <v>802</v>
      </c>
      <c r="O9" s="1195" t="s">
        <v>801</v>
      </c>
      <c r="P9" s="2560"/>
      <c r="Q9" s="2573"/>
      <c r="R9" s="2566"/>
      <c r="S9" s="1504" t="s">
        <v>803</v>
      </c>
      <c r="T9" s="1504" t="s">
        <v>528</v>
      </c>
      <c r="U9" s="2570"/>
      <c r="V9" s="2564"/>
      <c r="W9" s="2564"/>
      <c r="X9" s="2555" t="s">
        <v>236</v>
      </c>
      <c r="Y9" s="2555"/>
      <c r="Z9" s="2557"/>
    </row>
    <row r="10" spans="1:29" s="1199" customFormat="1" ht="16.5" x14ac:dyDescent="0.25">
      <c r="A10" s="1196">
        <v>1</v>
      </c>
      <c r="B10" s="1196">
        <v>2</v>
      </c>
      <c r="C10" s="1196">
        <v>3</v>
      </c>
      <c r="D10" s="1196">
        <v>4</v>
      </c>
      <c r="E10" s="1505">
        <v>5</v>
      </c>
      <c r="F10" s="1506">
        <v>6</v>
      </c>
      <c r="G10" s="1196">
        <v>7</v>
      </c>
      <c r="H10" s="1196">
        <v>8</v>
      </c>
      <c r="I10" s="1196">
        <v>9</v>
      </c>
      <c r="J10" s="1506">
        <v>10</v>
      </c>
      <c r="K10" s="1196">
        <v>11</v>
      </c>
      <c r="L10" s="1196">
        <v>12</v>
      </c>
      <c r="M10" s="1196">
        <v>13</v>
      </c>
      <c r="N10" s="1506">
        <v>14</v>
      </c>
      <c r="O10" s="1196">
        <v>15</v>
      </c>
      <c r="P10" s="1196">
        <v>16</v>
      </c>
      <c r="Q10" s="1196">
        <v>17</v>
      </c>
      <c r="R10" s="1507">
        <v>18</v>
      </c>
      <c r="S10" s="1508" t="s">
        <v>804</v>
      </c>
      <c r="T10" s="1508" t="s">
        <v>805</v>
      </c>
      <c r="U10" s="1509">
        <v>19</v>
      </c>
      <c r="V10" s="1196">
        <v>20</v>
      </c>
      <c r="W10" s="1196">
        <v>21</v>
      </c>
      <c r="X10" s="1506">
        <v>22</v>
      </c>
      <c r="Y10" s="1506">
        <v>23</v>
      </c>
      <c r="Z10" s="1196">
        <v>24</v>
      </c>
      <c r="AA10" s="1218"/>
    </row>
    <row r="11" spans="1:29" ht="23.25" customHeight="1" x14ac:dyDescent="0.25">
      <c r="A11" s="2547" t="s">
        <v>1253</v>
      </c>
      <c r="B11" s="2548"/>
      <c r="C11" s="2548"/>
      <c r="D11" s="2548"/>
      <c r="E11" s="2548"/>
      <c r="F11" s="2548"/>
      <c r="G11" s="2548"/>
      <c r="H11" s="2548"/>
      <c r="I11" s="2548"/>
      <c r="J11" s="2548"/>
      <c r="K11" s="2548"/>
      <c r="L11" s="2548"/>
      <c r="M11" s="2548"/>
      <c r="N11" s="2548"/>
      <c r="O11" s="2548"/>
      <c r="P11" s="2548"/>
      <c r="Q11" s="2548"/>
      <c r="R11" s="2548"/>
      <c r="S11" s="2548"/>
      <c r="T11" s="2548"/>
      <c r="U11" s="2548"/>
      <c r="V11" s="2548"/>
      <c r="W11" s="2548"/>
      <c r="X11" s="2548"/>
      <c r="Y11" s="2548"/>
      <c r="Z11" s="1510"/>
      <c r="AA11" s="1185" t="s">
        <v>1562</v>
      </c>
    </row>
    <row r="12" spans="1:29" ht="15.75" customHeight="1" x14ac:dyDescent="0.25">
      <c r="A12" s="2549" t="s">
        <v>806</v>
      </c>
      <c r="B12" s="2550"/>
      <c r="C12" s="2550"/>
      <c r="D12" s="2550"/>
      <c r="E12" s="2550"/>
      <c r="F12" s="2550"/>
      <c r="G12" s="2550"/>
      <c r="H12" s="2550"/>
      <c r="I12" s="2550"/>
      <c r="J12" s="2550"/>
      <c r="K12" s="2550"/>
      <c r="L12" s="2550"/>
      <c r="M12" s="2550"/>
      <c r="N12" s="2550"/>
      <c r="O12" s="2550"/>
      <c r="P12" s="2550"/>
      <c r="Q12" s="2550"/>
      <c r="R12" s="2550"/>
      <c r="S12" s="2550"/>
      <c r="T12" s="2550"/>
      <c r="U12" s="2550"/>
      <c r="V12" s="2550"/>
      <c r="W12" s="2550"/>
      <c r="X12" s="2550"/>
      <c r="Y12" s="2550"/>
      <c r="Z12" s="1511"/>
      <c r="AA12" s="1185" t="s">
        <v>1562</v>
      </c>
    </row>
    <row r="13" spans="1:29" s="1517" customFormat="1" ht="63" x14ac:dyDescent="0.25">
      <c r="A13" s="1512">
        <v>1</v>
      </c>
      <c r="B13" s="1512"/>
      <c r="C13" s="1513" t="s">
        <v>1397</v>
      </c>
      <c r="D13" s="1514"/>
      <c r="E13" s="1514"/>
      <c r="F13" s="1515">
        <f>F14+F18+F23</f>
        <v>30.1</v>
      </c>
      <c r="G13" s="1515"/>
      <c r="H13" s="1515"/>
      <c r="I13" s="1515"/>
      <c r="J13" s="1515">
        <f>J14+J18</f>
        <v>213.6</v>
      </c>
      <c r="K13" s="1515">
        <f>K14+K18</f>
        <v>30</v>
      </c>
      <c r="L13" s="1515"/>
      <c r="M13" s="1515"/>
      <c r="N13" s="1515">
        <f>N14+N18</f>
        <v>213.6</v>
      </c>
      <c r="O13" s="1515">
        <f>O14+O18</f>
        <v>30</v>
      </c>
      <c r="P13" s="1515"/>
      <c r="Q13" s="1515"/>
      <c r="R13" s="1515">
        <f>R14+R18+R24</f>
        <v>213.6</v>
      </c>
      <c r="S13" s="1515">
        <f t="shared" ref="S13:S27" si="0">R13</f>
        <v>213.6</v>
      </c>
      <c r="T13" s="1515"/>
      <c r="U13" s="1515">
        <f>U14+U18</f>
        <v>30</v>
      </c>
      <c r="V13" s="1516">
        <f t="shared" ref="V13:V27" si="1">R13-J13</f>
        <v>0</v>
      </c>
      <c r="W13" s="1516">
        <f t="shared" ref="W13:W27" si="2">IFERROR((R13)/J13*100,0)</f>
        <v>100</v>
      </c>
      <c r="X13" s="1512">
        <f>X14+X18+X24</f>
        <v>213.6</v>
      </c>
      <c r="Y13" s="1512">
        <f>Y14+Y18+Y24</f>
        <v>213.6</v>
      </c>
      <c r="Z13" s="1512"/>
      <c r="AA13" s="1185" t="s">
        <v>1562</v>
      </c>
    </row>
    <row r="14" spans="1:29" s="1525" customFormat="1" x14ac:dyDescent="0.25">
      <c r="A14" s="1518"/>
      <c r="B14" s="1518">
        <v>963</v>
      </c>
      <c r="C14" s="1519" t="s">
        <v>765</v>
      </c>
      <c r="D14" s="1520"/>
      <c r="E14" s="1520"/>
      <c r="F14" s="1521">
        <f>SUM(F15:F16)</f>
        <v>0</v>
      </c>
      <c r="G14" s="1521"/>
      <c r="H14" s="1521"/>
      <c r="I14" s="1521"/>
      <c r="J14" s="1521">
        <f>SUM(J15:J16)</f>
        <v>208</v>
      </c>
      <c r="K14" s="1521">
        <f>SUM(K15:K16)</f>
        <v>30</v>
      </c>
      <c r="L14" s="1521"/>
      <c r="M14" s="1521"/>
      <c r="N14" s="1521">
        <f>SUM(N15:N16)</f>
        <v>208</v>
      </c>
      <c r="O14" s="1521">
        <f>SUM(O15:O16)</f>
        <v>30</v>
      </c>
      <c r="P14" s="1522"/>
      <c r="Q14" s="1522"/>
      <c r="R14" s="1522">
        <f>SUM(R15:R16)</f>
        <v>0</v>
      </c>
      <c r="S14" s="1522">
        <f t="shared" si="0"/>
        <v>0</v>
      </c>
      <c r="T14" s="1522"/>
      <c r="U14" s="1522">
        <f>SUM(U15:U17)</f>
        <v>20</v>
      </c>
      <c r="V14" s="1523">
        <f t="shared" si="1"/>
        <v>-208</v>
      </c>
      <c r="W14" s="1524">
        <f t="shared" si="2"/>
        <v>0</v>
      </c>
      <c r="X14" s="1518"/>
      <c r="Y14" s="1518"/>
      <c r="Z14" s="2551"/>
      <c r="AA14" s="1185" t="s">
        <v>1562</v>
      </c>
    </row>
    <row r="15" spans="1:29" s="1184" customFormat="1" x14ac:dyDescent="0.25">
      <c r="A15" s="1526"/>
      <c r="B15" s="1526"/>
      <c r="C15" s="1527" t="s">
        <v>1563</v>
      </c>
      <c r="D15" s="1528"/>
      <c r="E15" s="1529"/>
      <c r="F15" s="1530">
        <f>D15*E15/1000</f>
        <v>0</v>
      </c>
      <c r="G15" s="1530"/>
      <c r="H15" s="1528">
        <v>800</v>
      </c>
      <c r="I15" s="1530">
        <v>35</v>
      </c>
      <c r="J15" s="1530">
        <f>H15*I15/1000</f>
        <v>28</v>
      </c>
      <c r="K15" s="1530"/>
      <c r="L15" s="1528">
        <v>800</v>
      </c>
      <c r="M15" s="1530">
        <v>35</v>
      </c>
      <c r="N15" s="1530">
        <f>L15*M15/1000</f>
        <v>28</v>
      </c>
      <c r="O15" s="1530"/>
      <c r="P15" s="1526"/>
      <c r="Q15" s="1531"/>
      <c r="R15" s="1531">
        <f>P15*Q15/1000</f>
        <v>0</v>
      </c>
      <c r="S15" s="1531">
        <f t="shared" si="0"/>
        <v>0</v>
      </c>
      <c r="T15" s="1531"/>
      <c r="U15" s="1531"/>
      <c r="V15" s="1523">
        <f t="shared" si="1"/>
        <v>-28</v>
      </c>
      <c r="W15" s="1532">
        <f t="shared" si="2"/>
        <v>0</v>
      </c>
      <c r="X15" s="1526"/>
      <c r="Y15" s="1526"/>
      <c r="Z15" s="2552"/>
      <c r="AA15" s="1185" t="s">
        <v>1562</v>
      </c>
    </row>
    <row r="16" spans="1:29" s="1184" customFormat="1" ht="31.5" x14ac:dyDescent="0.25">
      <c r="A16" s="1526"/>
      <c r="B16" s="1526"/>
      <c r="C16" s="1527" t="s">
        <v>1564</v>
      </c>
      <c r="D16" s="1528"/>
      <c r="E16" s="1529"/>
      <c r="F16" s="1530">
        <f>D16*E16/1000</f>
        <v>0</v>
      </c>
      <c r="G16" s="1530"/>
      <c r="H16" s="1530">
        <v>150</v>
      </c>
      <c r="I16" s="1530">
        <v>400</v>
      </c>
      <c r="J16" s="1530">
        <f>H16*I16/1000/2+150</f>
        <v>180</v>
      </c>
      <c r="K16" s="1530">
        <f>H16*I16/1000/2</f>
        <v>30</v>
      </c>
      <c r="L16" s="1530">
        <v>150</v>
      </c>
      <c r="M16" s="1530">
        <v>400</v>
      </c>
      <c r="N16" s="1530">
        <f>L16*M16/1000/2+150</f>
        <v>180</v>
      </c>
      <c r="O16" s="1530">
        <f>L16*M16/1000/2</f>
        <v>30</v>
      </c>
      <c r="P16" s="1531"/>
      <c r="Q16" s="1531"/>
      <c r="R16" s="1531"/>
      <c r="S16" s="1531">
        <f t="shared" si="0"/>
        <v>0</v>
      </c>
      <c r="T16" s="1531"/>
      <c r="U16" s="1531">
        <f>P16*Q16/1000/2</f>
        <v>0</v>
      </c>
      <c r="V16" s="1523">
        <f t="shared" si="1"/>
        <v>-180</v>
      </c>
      <c r="W16" s="1532">
        <f t="shared" si="2"/>
        <v>0</v>
      </c>
      <c r="X16" s="1526"/>
      <c r="Y16" s="1526"/>
      <c r="Z16" s="2552"/>
      <c r="AA16" s="1185" t="s">
        <v>1562</v>
      </c>
    </row>
    <row r="17" spans="1:546" s="1184" customFormat="1" x14ac:dyDescent="0.25">
      <c r="A17" s="1526"/>
      <c r="B17" s="1526"/>
      <c r="C17" s="1527" t="s">
        <v>1565</v>
      </c>
      <c r="D17" s="1528"/>
      <c r="E17" s="1529"/>
      <c r="F17" s="1530"/>
      <c r="G17" s="1530"/>
      <c r="H17" s="1530"/>
      <c r="I17" s="1530"/>
      <c r="J17" s="1530"/>
      <c r="K17" s="1530"/>
      <c r="L17" s="1530"/>
      <c r="M17" s="1530"/>
      <c r="N17" s="1530"/>
      <c r="O17" s="1530"/>
      <c r="P17" s="1533">
        <v>1</v>
      </c>
      <c r="Q17" s="1534">
        <v>20000</v>
      </c>
      <c r="R17" s="1531"/>
      <c r="S17" s="1531">
        <f t="shared" si="0"/>
        <v>0</v>
      </c>
      <c r="T17" s="1531"/>
      <c r="U17" s="1523">
        <f>P17*Q17/1000</f>
        <v>20</v>
      </c>
      <c r="V17" s="1523">
        <f t="shared" si="1"/>
        <v>0</v>
      </c>
      <c r="W17" s="1532">
        <f t="shared" si="2"/>
        <v>0</v>
      </c>
      <c r="X17" s="1526"/>
      <c r="Y17" s="1526"/>
      <c r="Z17" s="2552"/>
      <c r="AA17" s="1185" t="s">
        <v>1562</v>
      </c>
    </row>
    <row r="18" spans="1:546" s="1525" customFormat="1" x14ac:dyDescent="0.25">
      <c r="A18" s="1518"/>
      <c r="B18" s="1518">
        <v>981</v>
      </c>
      <c r="C18" s="1519" t="s">
        <v>766</v>
      </c>
      <c r="D18" s="1520"/>
      <c r="E18" s="1520"/>
      <c r="F18" s="1521">
        <f>F19</f>
        <v>3.8</v>
      </c>
      <c r="G18" s="1521"/>
      <c r="H18" s="1520"/>
      <c r="I18" s="1521"/>
      <c r="J18" s="1521">
        <f>J19</f>
        <v>5.6</v>
      </c>
      <c r="K18" s="1521">
        <f>K19</f>
        <v>0</v>
      </c>
      <c r="L18" s="1520"/>
      <c r="M18" s="1521"/>
      <c r="N18" s="1521">
        <f>N19</f>
        <v>5.6</v>
      </c>
      <c r="O18" s="1521">
        <f>O19</f>
        <v>0</v>
      </c>
      <c r="P18" s="1535"/>
      <c r="Q18" s="1522"/>
      <c r="R18" s="1522">
        <f>SUM(R19:R22)</f>
        <v>184.1</v>
      </c>
      <c r="S18" s="1522">
        <f t="shared" si="0"/>
        <v>184.1</v>
      </c>
      <c r="T18" s="1522"/>
      <c r="U18" s="1522">
        <f>SUM(U19:U22)</f>
        <v>10</v>
      </c>
      <c r="V18" s="1523">
        <f t="shared" si="1"/>
        <v>178.5</v>
      </c>
      <c r="W18" s="1524">
        <f t="shared" si="2"/>
        <v>3287.5</v>
      </c>
      <c r="X18" s="1518">
        <f>SUM(X19:X22)</f>
        <v>184.1</v>
      </c>
      <c r="Y18" s="1518">
        <f>SUM(Y19:Y22)</f>
        <v>184.1</v>
      </c>
      <c r="Z18" s="2552"/>
      <c r="AA18" s="1185" t="s">
        <v>1562</v>
      </c>
    </row>
    <row r="19" spans="1:546" s="1184" customFormat="1" x14ac:dyDescent="0.25">
      <c r="A19" s="1526"/>
      <c r="B19" s="1533"/>
      <c r="C19" s="1527" t="s">
        <v>1566</v>
      </c>
      <c r="D19" s="1528">
        <v>69</v>
      </c>
      <c r="E19" s="1529">
        <v>54.9</v>
      </c>
      <c r="F19" s="1530">
        <f>D19*E19/1000</f>
        <v>3.8</v>
      </c>
      <c r="G19" s="1530"/>
      <c r="H19" s="1528">
        <v>80</v>
      </c>
      <c r="I19" s="1530">
        <v>70</v>
      </c>
      <c r="J19" s="1530">
        <f>H19*I19/1000</f>
        <v>5.6</v>
      </c>
      <c r="K19" s="1530"/>
      <c r="L19" s="1528">
        <v>80</v>
      </c>
      <c r="M19" s="1530">
        <v>70</v>
      </c>
      <c r="N19" s="1530">
        <f>L19*M19/1000</f>
        <v>5.6</v>
      </c>
      <c r="O19" s="1530"/>
      <c r="P19" s="1526">
        <v>1</v>
      </c>
      <c r="Q19" s="1531">
        <v>10000</v>
      </c>
      <c r="R19" s="1531"/>
      <c r="S19" s="1531">
        <f t="shared" si="0"/>
        <v>0</v>
      </c>
      <c r="T19" s="1531"/>
      <c r="U19" s="1531">
        <f>P19*Q19/1000</f>
        <v>10</v>
      </c>
      <c r="V19" s="1523">
        <f t="shared" si="1"/>
        <v>-5.6</v>
      </c>
      <c r="W19" s="1532">
        <f t="shared" si="2"/>
        <v>0</v>
      </c>
      <c r="X19" s="1526"/>
      <c r="Y19" s="1526"/>
      <c r="Z19" s="2553"/>
      <c r="AA19" s="1185" t="s">
        <v>1562</v>
      </c>
    </row>
    <row r="20" spans="1:546" s="1184" customFormat="1" x14ac:dyDescent="0.25">
      <c r="A20" s="1526"/>
      <c r="B20" s="1533"/>
      <c r="C20" s="1527" t="s">
        <v>1198</v>
      </c>
      <c r="D20" s="1528"/>
      <c r="E20" s="1529"/>
      <c r="F20" s="1530"/>
      <c r="G20" s="1530"/>
      <c r="H20" s="1530"/>
      <c r="I20" s="1530"/>
      <c r="J20" s="1530">
        <v>0</v>
      </c>
      <c r="K20" s="1530"/>
      <c r="L20" s="1530"/>
      <c r="M20" s="1530"/>
      <c r="N20" s="1530">
        <v>0</v>
      </c>
      <c r="O20" s="1530"/>
      <c r="P20" s="1531">
        <v>50</v>
      </c>
      <c r="Q20" s="1536">
        <v>150</v>
      </c>
      <c r="R20" s="1531">
        <f>P20*Q20/1000</f>
        <v>7.5</v>
      </c>
      <c r="S20" s="1531">
        <f t="shared" si="0"/>
        <v>7.5</v>
      </c>
      <c r="T20" s="1531"/>
      <c r="U20" s="1531"/>
      <c r="V20" s="1523">
        <f t="shared" si="1"/>
        <v>7.5</v>
      </c>
      <c r="W20" s="1532">
        <f t="shared" si="2"/>
        <v>0</v>
      </c>
      <c r="X20" s="1526">
        <v>7.5</v>
      </c>
      <c r="Y20" s="1526">
        <v>7.5</v>
      </c>
      <c r="Z20" s="1526"/>
      <c r="AA20" s="1185" t="s">
        <v>1562</v>
      </c>
    </row>
    <row r="21" spans="1:546" s="1184" customFormat="1" x14ac:dyDescent="0.25">
      <c r="A21" s="1526"/>
      <c r="B21" s="1533"/>
      <c r="C21" s="1527" t="s">
        <v>1567</v>
      </c>
      <c r="D21" s="1528"/>
      <c r="E21" s="1529"/>
      <c r="F21" s="1530"/>
      <c r="G21" s="1530"/>
      <c r="H21" s="1530"/>
      <c r="I21" s="1530"/>
      <c r="J21" s="1530">
        <v>0</v>
      </c>
      <c r="K21" s="1530">
        <v>0</v>
      </c>
      <c r="L21" s="1530"/>
      <c r="M21" s="1530"/>
      <c r="N21" s="1530">
        <v>0</v>
      </c>
      <c r="O21" s="1530">
        <v>0</v>
      </c>
      <c r="P21" s="1531">
        <v>70</v>
      </c>
      <c r="Q21" s="1536">
        <v>928</v>
      </c>
      <c r="R21" s="1531">
        <f>P21*Q21/1000</f>
        <v>65</v>
      </c>
      <c r="S21" s="1531">
        <f t="shared" si="0"/>
        <v>65</v>
      </c>
      <c r="T21" s="1531"/>
      <c r="U21" s="1531">
        <v>0</v>
      </c>
      <c r="V21" s="1523">
        <f t="shared" si="1"/>
        <v>65</v>
      </c>
      <c r="W21" s="1532">
        <f t="shared" si="2"/>
        <v>0</v>
      </c>
      <c r="X21" s="1526">
        <v>65</v>
      </c>
      <c r="Y21" s="1526">
        <v>65</v>
      </c>
      <c r="Z21" s="1526"/>
      <c r="AA21" s="1185" t="s">
        <v>1562</v>
      </c>
    </row>
    <row r="22" spans="1:546" s="1184" customFormat="1" ht="31.5" x14ac:dyDescent="0.25">
      <c r="A22" s="1526"/>
      <c r="B22" s="1533"/>
      <c r="C22" s="1527" t="s">
        <v>1568</v>
      </c>
      <c r="D22" s="1528"/>
      <c r="E22" s="1529"/>
      <c r="F22" s="1530"/>
      <c r="G22" s="1530"/>
      <c r="H22" s="1530"/>
      <c r="I22" s="1530"/>
      <c r="J22" s="1530"/>
      <c r="K22" s="1530"/>
      <c r="L22" s="1530"/>
      <c r="M22" s="1530"/>
      <c r="N22" s="1530"/>
      <c r="O22" s="1530"/>
      <c r="P22" s="1526">
        <v>1</v>
      </c>
      <c r="Q22" s="1536">
        <v>111640</v>
      </c>
      <c r="R22" s="1531">
        <f>P22*Q22/1000</f>
        <v>111.6</v>
      </c>
      <c r="S22" s="1531">
        <f t="shared" si="0"/>
        <v>111.6</v>
      </c>
      <c r="T22" s="1531"/>
      <c r="U22" s="1531">
        <v>0</v>
      </c>
      <c r="V22" s="1523">
        <f t="shared" si="1"/>
        <v>111.6</v>
      </c>
      <c r="W22" s="1532">
        <f t="shared" si="2"/>
        <v>0</v>
      </c>
      <c r="X22" s="1526">
        <v>111.6</v>
      </c>
      <c r="Y22" s="1526">
        <v>111.6</v>
      </c>
      <c r="Z22" s="1526"/>
      <c r="AA22" s="1185" t="s">
        <v>1562</v>
      </c>
    </row>
    <row r="23" spans="1:546" s="1525" customFormat="1" x14ac:dyDescent="0.25">
      <c r="A23" s="1518"/>
      <c r="B23" s="1537">
        <v>921</v>
      </c>
      <c r="C23" s="1519" t="s">
        <v>1569</v>
      </c>
      <c r="D23" s="1538">
        <v>175</v>
      </c>
      <c r="E23" s="1520">
        <v>150</v>
      </c>
      <c r="F23" s="1521">
        <f>D23*E23/1000</f>
        <v>26.3</v>
      </c>
      <c r="G23" s="1521"/>
      <c r="H23" s="1521"/>
      <c r="I23" s="1521"/>
      <c r="J23" s="1521"/>
      <c r="K23" s="1521"/>
      <c r="L23" s="1521"/>
      <c r="M23" s="1521"/>
      <c r="N23" s="1521"/>
      <c r="O23" s="1521"/>
      <c r="P23" s="1518"/>
      <c r="Q23" s="1535"/>
      <c r="R23" s="1522"/>
      <c r="S23" s="1522">
        <f t="shared" si="0"/>
        <v>0</v>
      </c>
      <c r="T23" s="1522"/>
      <c r="U23" s="1522"/>
      <c r="V23" s="1539">
        <f t="shared" si="1"/>
        <v>0</v>
      </c>
      <c r="W23" s="1524">
        <f t="shared" si="2"/>
        <v>0</v>
      </c>
      <c r="X23" s="1518"/>
      <c r="Y23" s="1518"/>
      <c r="Z23" s="1518"/>
      <c r="AA23" s="1185" t="s">
        <v>1562</v>
      </c>
    </row>
    <row r="24" spans="1:546" s="1184" customFormat="1" ht="47.25" x14ac:dyDescent="0.25">
      <c r="A24" s="1526"/>
      <c r="B24" s="1518">
        <v>966</v>
      </c>
      <c r="C24" s="1540" t="s">
        <v>1570</v>
      </c>
      <c r="D24" s="1528"/>
      <c r="E24" s="1529"/>
      <c r="F24" s="1530"/>
      <c r="G24" s="1530"/>
      <c r="H24" s="1530"/>
      <c r="I24" s="1530"/>
      <c r="J24" s="1530"/>
      <c r="K24" s="1530"/>
      <c r="L24" s="1530"/>
      <c r="M24" s="1530"/>
      <c r="N24" s="1530"/>
      <c r="O24" s="1530"/>
      <c r="P24" s="1537">
        <v>1</v>
      </c>
      <c r="Q24" s="1541">
        <v>29500</v>
      </c>
      <c r="R24" s="1522">
        <f>P24*Q24/1000</f>
        <v>29.5</v>
      </c>
      <c r="S24" s="1522">
        <f t="shared" si="0"/>
        <v>29.5</v>
      </c>
      <c r="T24" s="1522"/>
      <c r="U24" s="1539"/>
      <c r="V24" s="1523">
        <f t="shared" si="1"/>
        <v>29.5</v>
      </c>
      <c r="W24" s="1524">
        <f t="shared" si="2"/>
        <v>0</v>
      </c>
      <c r="X24" s="1518">
        <v>29.5</v>
      </c>
      <c r="Y24" s="1518">
        <v>29.5</v>
      </c>
      <c r="Z24" s="1526"/>
      <c r="AA24" s="1185" t="s">
        <v>1562</v>
      </c>
    </row>
    <row r="25" spans="1:546" s="1517" customFormat="1" x14ac:dyDescent="0.25">
      <c r="A25" s="1512">
        <v>2</v>
      </c>
      <c r="B25" s="1542"/>
      <c r="C25" s="1513" t="s">
        <v>1571</v>
      </c>
      <c r="D25" s="1543"/>
      <c r="E25" s="1544"/>
      <c r="F25" s="1545"/>
      <c r="G25" s="1545"/>
      <c r="H25" s="1545"/>
      <c r="I25" s="1545"/>
      <c r="J25" s="1545">
        <f>J26</f>
        <v>263.5</v>
      </c>
      <c r="K25" s="1545"/>
      <c r="L25" s="1545"/>
      <c r="M25" s="1545"/>
      <c r="N25" s="1545">
        <f>N26</f>
        <v>263.5</v>
      </c>
      <c r="O25" s="1545"/>
      <c r="P25" s="1515"/>
      <c r="Q25" s="1515"/>
      <c r="R25" s="1515">
        <f>SUM(R26:R27)</f>
        <v>263.5</v>
      </c>
      <c r="S25" s="1515">
        <f t="shared" si="0"/>
        <v>263.5</v>
      </c>
      <c r="T25" s="1515"/>
      <c r="U25" s="1515"/>
      <c r="V25" s="1516">
        <f t="shared" si="1"/>
        <v>0</v>
      </c>
      <c r="W25" s="1516">
        <f t="shared" si="2"/>
        <v>100</v>
      </c>
      <c r="X25" s="1512">
        <f>SUM(X26:X27)</f>
        <v>263.5</v>
      </c>
      <c r="Y25" s="1512">
        <f>SUM(Y26:Y27)</f>
        <v>263.5</v>
      </c>
      <c r="Z25" s="1512"/>
      <c r="AA25" s="1185" t="s">
        <v>1562</v>
      </c>
    </row>
    <row r="26" spans="1:546" s="1184" customFormat="1" ht="63" x14ac:dyDescent="0.25">
      <c r="A26" s="1526"/>
      <c r="B26" s="1533">
        <v>966</v>
      </c>
      <c r="C26" s="1546" t="s">
        <v>1572</v>
      </c>
      <c r="D26" s="1528"/>
      <c r="E26" s="1529"/>
      <c r="F26" s="1530"/>
      <c r="G26" s="1530"/>
      <c r="H26" s="1530"/>
      <c r="I26" s="1530"/>
      <c r="J26" s="1530">
        <v>263.5</v>
      </c>
      <c r="K26" s="1530"/>
      <c r="L26" s="1530"/>
      <c r="M26" s="1530"/>
      <c r="N26" s="1530">
        <v>263.5</v>
      </c>
      <c r="O26" s="1530"/>
      <c r="P26" s="1531">
        <v>3</v>
      </c>
      <c r="Q26" s="1531">
        <v>53033</v>
      </c>
      <c r="R26" s="1531">
        <f>P26*Q26/1000</f>
        <v>159.1</v>
      </c>
      <c r="S26" s="1531">
        <f t="shared" si="0"/>
        <v>159.1</v>
      </c>
      <c r="T26" s="1531"/>
      <c r="U26" s="1531"/>
      <c r="V26" s="1523">
        <f t="shared" si="1"/>
        <v>-104.4</v>
      </c>
      <c r="W26" s="1532">
        <f t="shared" si="2"/>
        <v>60.4</v>
      </c>
      <c r="X26" s="1526">
        <v>159.1</v>
      </c>
      <c r="Y26" s="1526">
        <v>159.1</v>
      </c>
      <c r="Z26" s="1526"/>
      <c r="AA26" s="1185" t="s">
        <v>1562</v>
      </c>
    </row>
    <row r="27" spans="1:546" s="1184" customFormat="1" ht="31.5" x14ac:dyDescent="0.25">
      <c r="A27" s="1526"/>
      <c r="B27" s="1533">
        <v>954</v>
      </c>
      <c r="C27" s="1527" t="s">
        <v>1573</v>
      </c>
      <c r="D27" s="1528"/>
      <c r="E27" s="1529"/>
      <c r="F27" s="1530"/>
      <c r="G27" s="1530"/>
      <c r="H27" s="1530"/>
      <c r="I27" s="1530"/>
      <c r="J27" s="1530"/>
      <c r="K27" s="1530"/>
      <c r="L27" s="1530"/>
      <c r="M27" s="1530"/>
      <c r="N27" s="1530"/>
      <c r="O27" s="1530"/>
      <c r="P27" s="1531">
        <v>3</v>
      </c>
      <c r="Q27" s="1531">
        <v>34800</v>
      </c>
      <c r="R27" s="1531">
        <f>P27*Q27/1000</f>
        <v>104.4</v>
      </c>
      <c r="S27" s="1531">
        <f t="shared" si="0"/>
        <v>104.4</v>
      </c>
      <c r="T27" s="1531"/>
      <c r="U27" s="1531"/>
      <c r="V27" s="1523">
        <f t="shared" si="1"/>
        <v>104.4</v>
      </c>
      <c r="W27" s="1532">
        <f t="shared" si="2"/>
        <v>0</v>
      </c>
      <c r="X27" s="1526">
        <v>104.4</v>
      </c>
      <c r="Y27" s="1526">
        <v>104.4</v>
      </c>
      <c r="Z27" s="1526"/>
      <c r="AA27" s="1185" t="s">
        <v>1562</v>
      </c>
    </row>
    <row r="28" spans="1:546" s="1184" customFormat="1" x14ac:dyDescent="0.25">
      <c r="A28" s="1547"/>
      <c r="B28" s="1548"/>
      <c r="C28" s="1549"/>
      <c r="D28" s="1550"/>
      <c r="E28" s="1551"/>
      <c r="F28" s="1552"/>
      <c r="G28" s="1552"/>
      <c r="H28" s="1552"/>
      <c r="I28" s="1552"/>
      <c r="J28" s="1552"/>
      <c r="K28" s="1552"/>
      <c r="L28" s="1552"/>
      <c r="M28" s="1552"/>
      <c r="N28" s="1552"/>
      <c r="O28" s="1552"/>
      <c r="P28" s="1553"/>
      <c r="Q28" s="1553"/>
      <c r="R28" s="1553"/>
      <c r="S28" s="1553"/>
      <c r="T28" s="1553"/>
      <c r="U28" s="1553"/>
      <c r="V28" s="1188"/>
      <c r="W28" s="1554"/>
      <c r="X28" s="1547"/>
      <c r="Y28" s="1547"/>
      <c r="Z28" s="1547"/>
      <c r="AA28" s="1185"/>
    </row>
    <row r="29" spans="1:546" s="1555" customFormat="1" ht="18.75" x14ac:dyDescent="0.3">
      <c r="B29" s="1556"/>
      <c r="C29" s="1557"/>
      <c r="D29" s="1558"/>
      <c r="E29" s="1559"/>
      <c r="F29" s="1560"/>
      <c r="G29" s="1558"/>
      <c r="H29" s="1558"/>
      <c r="I29" s="1558"/>
      <c r="J29" s="1560"/>
      <c r="K29" s="1558"/>
      <c r="L29" s="1558"/>
      <c r="M29" s="1558"/>
      <c r="N29" s="1560"/>
      <c r="O29" s="1558"/>
      <c r="P29" s="1558"/>
      <c r="Q29" s="1558"/>
      <c r="R29" s="1560"/>
      <c r="S29" s="1560"/>
      <c r="T29" s="1560"/>
      <c r="U29" s="1558"/>
      <c r="V29" s="1558"/>
      <c r="W29" s="1558"/>
      <c r="X29" s="1560"/>
      <c r="Y29" s="1560"/>
      <c r="AA29" s="1557"/>
    </row>
    <row r="30" spans="1:546" s="1561" customFormat="1" ht="18.75" x14ac:dyDescent="0.3">
      <c r="B30" s="1562"/>
      <c r="C30" s="1563"/>
      <c r="D30" s="1564"/>
      <c r="E30" s="1565"/>
      <c r="F30" s="2561">
        <v>2018</v>
      </c>
      <c r="G30" s="2561"/>
      <c r="H30" s="1564"/>
      <c r="I30" s="1564"/>
      <c r="J30" s="2561" t="s">
        <v>807</v>
      </c>
      <c r="K30" s="2561"/>
      <c r="L30" s="1564"/>
      <c r="M30" s="1564"/>
      <c r="N30" s="2562" t="s">
        <v>808</v>
      </c>
      <c r="O30" s="2562"/>
      <c r="P30" s="1564"/>
      <c r="Q30" s="1564"/>
      <c r="R30" s="2563">
        <v>2020</v>
      </c>
      <c r="S30" s="2563"/>
      <c r="T30" s="2563"/>
      <c r="U30" s="2563"/>
      <c r="V30" s="1580"/>
      <c r="W30" s="1580"/>
      <c r="X30" s="1581">
        <v>2021</v>
      </c>
      <c r="Y30" s="1581">
        <v>2022</v>
      </c>
      <c r="AA30" s="1567"/>
    </row>
    <row r="31" spans="1:546" s="1184" customFormat="1" x14ac:dyDescent="0.25">
      <c r="B31" s="1533">
        <v>1</v>
      </c>
      <c r="C31" s="1568">
        <v>1</v>
      </c>
      <c r="D31" s="1569">
        <v>1</v>
      </c>
      <c r="E31" s="1570">
        <v>1</v>
      </c>
      <c r="F31" s="1523" t="s">
        <v>371</v>
      </c>
      <c r="G31" s="1523" t="s">
        <v>809</v>
      </c>
      <c r="H31" s="1569">
        <v>1</v>
      </c>
      <c r="I31" s="1569">
        <v>1</v>
      </c>
      <c r="J31" s="1523" t="s">
        <v>371</v>
      </c>
      <c r="K31" s="1523" t="s">
        <v>809</v>
      </c>
      <c r="L31" s="1569">
        <v>1</v>
      </c>
      <c r="M31" s="1569">
        <v>1</v>
      </c>
      <c r="N31" s="1523" t="s">
        <v>371</v>
      </c>
      <c r="O31" s="1523" t="s">
        <v>809</v>
      </c>
      <c r="P31" s="1569">
        <v>1</v>
      </c>
      <c r="Q31" s="1569">
        <v>1</v>
      </c>
      <c r="R31" s="1523" t="s">
        <v>371</v>
      </c>
      <c r="S31" s="1523"/>
      <c r="T31" s="1523"/>
      <c r="U31" s="1523" t="s">
        <v>809</v>
      </c>
      <c r="V31" s="1569">
        <v>1</v>
      </c>
      <c r="W31" s="1569">
        <v>1</v>
      </c>
      <c r="X31" s="1523">
        <v>1</v>
      </c>
      <c r="Y31" s="1523">
        <v>1</v>
      </c>
      <c r="AA31" s="1185"/>
    </row>
    <row r="32" spans="1:546" s="1571" customFormat="1" x14ac:dyDescent="0.25">
      <c r="B32" s="1542"/>
      <c r="C32" s="1542" t="s">
        <v>1574</v>
      </c>
      <c r="D32" s="1516"/>
      <c r="E32" s="1572"/>
      <c r="F32" s="1516">
        <f>F33+F34+F35+F36+F37</f>
        <v>30.1</v>
      </c>
      <c r="G32" s="1516">
        <f t="shared" ref="G32:Y32" si="3">G33+G34+G35+G36+G37</f>
        <v>0</v>
      </c>
      <c r="H32" s="1516">
        <f t="shared" si="3"/>
        <v>0</v>
      </c>
      <c r="I32" s="1516">
        <f t="shared" si="3"/>
        <v>0</v>
      </c>
      <c r="J32" s="1516">
        <f t="shared" si="3"/>
        <v>477.1</v>
      </c>
      <c r="K32" s="1516">
        <f t="shared" si="3"/>
        <v>30</v>
      </c>
      <c r="L32" s="1516">
        <f t="shared" si="3"/>
        <v>0</v>
      </c>
      <c r="M32" s="1516">
        <f t="shared" si="3"/>
        <v>0</v>
      </c>
      <c r="N32" s="1516">
        <f t="shared" si="3"/>
        <v>477.1</v>
      </c>
      <c r="O32" s="1516">
        <f t="shared" si="3"/>
        <v>30</v>
      </c>
      <c r="P32" s="1516"/>
      <c r="Q32" s="1516"/>
      <c r="R32" s="1516">
        <f t="shared" si="3"/>
        <v>477.1</v>
      </c>
      <c r="S32" s="1516">
        <f t="shared" si="3"/>
        <v>477.1</v>
      </c>
      <c r="T32" s="1516">
        <f t="shared" si="3"/>
        <v>0</v>
      </c>
      <c r="U32" s="1516">
        <f t="shared" si="3"/>
        <v>30</v>
      </c>
      <c r="V32" s="1516"/>
      <c r="W32" s="1516"/>
      <c r="X32" s="1516">
        <f t="shared" si="3"/>
        <v>477.1</v>
      </c>
      <c r="Y32" s="1516">
        <f t="shared" si="3"/>
        <v>477.1</v>
      </c>
      <c r="AE32" s="1192"/>
      <c r="AF32" s="1192"/>
      <c r="AG32" s="1192"/>
      <c r="AH32" s="1192"/>
      <c r="JN32" s="1192"/>
      <c r="JO32" s="1192"/>
      <c r="JQ32" s="1192"/>
      <c r="JR32" s="1192"/>
      <c r="JS32" s="1192"/>
      <c r="KA32" s="1192"/>
      <c r="KB32" s="1192"/>
      <c r="KC32" s="1192"/>
      <c r="KD32" s="1192"/>
      <c r="TJ32" s="1192"/>
      <c r="TK32" s="1192"/>
      <c r="TM32" s="1192"/>
      <c r="TN32" s="1192"/>
      <c r="TO32" s="1192"/>
      <c r="TW32" s="1192"/>
      <c r="TX32" s="1192"/>
      <c r="TY32" s="1192"/>
      <c r="TZ32" s="1192"/>
    </row>
    <row r="33" spans="2:546" s="1500" customFormat="1" x14ac:dyDescent="0.25">
      <c r="B33" s="1533">
        <v>921</v>
      </c>
      <c r="C33" s="1533"/>
      <c r="D33" s="1523"/>
      <c r="E33" s="1534"/>
      <c r="F33" s="1523">
        <f t="shared" ref="F33:O33" si="4">F23</f>
        <v>26.3</v>
      </c>
      <c r="G33" s="1523">
        <f t="shared" si="4"/>
        <v>0</v>
      </c>
      <c r="H33" s="1523">
        <f t="shared" si="4"/>
        <v>0</v>
      </c>
      <c r="I33" s="1523">
        <f t="shared" si="4"/>
        <v>0</v>
      </c>
      <c r="J33" s="1523">
        <f t="shared" si="4"/>
        <v>0</v>
      </c>
      <c r="K33" s="1523">
        <f t="shared" si="4"/>
        <v>0</v>
      </c>
      <c r="L33" s="1523">
        <f t="shared" si="4"/>
        <v>0</v>
      </c>
      <c r="M33" s="1523">
        <f t="shared" si="4"/>
        <v>0</v>
      </c>
      <c r="N33" s="1523">
        <f t="shared" si="4"/>
        <v>0</v>
      </c>
      <c r="O33" s="1523">
        <f t="shared" si="4"/>
        <v>0</v>
      </c>
      <c r="P33" s="1523"/>
      <c r="Q33" s="1523"/>
      <c r="R33" s="1523">
        <f>R23</f>
        <v>0</v>
      </c>
      <c r="S33" s="1523">
        <f>S23</f>
        <v>0</v>
      </c>
      <c r="T33" s="1523">
        <f>T23</f>
        <v>0</v>
      </c>
      <c r="U33" s="1523">
        <f>U23</f>
        <v>0</v>
      </c>
      <c r="V33" s="1523"/>
      <c r="W33" s="1523"/>
      <c r="X33" s="1523">
        <f>X23</f>
        <v>0</v>
      </c>
      <c r="Y33" s="1523">
        <f>Y23</f>
        <v>0</v>
      </c>
      <c r="Z33" s="1571"/>
      <c r="AE33" s="1184"/>
      <c r="AF33" s="1184"/>
      <c r="AG33" s="1184"/>
      <c r="AH33" s="1184"/>
      <c r="JN33" s="1184"/>
      <c r="JO33" s="1184"/>
      <c r="JQ33" s="1184"/>
      <c r="JR33" s="1184"/>
      <c r="JS33" s="1184"/>
      <c r="KA33" s="1184"/>
      <c r="KB33" s="1184"/>
      <c r="KC33" s="1184"/>
      <c r="KD33" s="1184"/>
      <c r="TJ33" s="1184"/>
      <c r="TK33" s="1184"/>
      <c r="TM33" s="1184"/>
      <c r="TN33" s="1184"/>
      <c r="TO33" s="1184"/>
      <c r="TW33" s="1184"/>
      <c r="TX33" s="1184"/>
      <c r="TY33" s="1184"/>
      <c r="TZ33" s="1184"/>
    </row>
    <row r="34" spans="2:546" s="1500" customFormat="1" x14ac:dyDescent="0.25">
      <c r="B34" s="1533">
        <v>954</v>
      </c>
      <c r="C34" s="1533"/>
      <c r="D34" s="1523"/>
      <c r="E34" s="1534"/>
      <c r="F34" s="1523">
        <f t="shared" ref="F34:O34" si="5">F27</f>
        <v>0</v>
      </c>
      <c r="G34" s="1523">
        <f t="shared" si="5"/>
        <v>0</v>
      </c>
      <c r="H34" s="1523">
        <f t="shared" si="5"/>
        <v>0</v>
      </c>
      <c r="I34" s="1523">
        <f t="shared" si="5"/>
        <v>0</v>
      </c>
      <c r="J34" s="1523">
        <f t="shared" si="5"/>
        <v>0</v>
      </c>
      <c r="K34" s="1523">
        <f t="shared" si="5"/>
        <v>0</v>
      </c>
      <c r="L34" s="1523">
        <f t="shared" si="5"/>
        <v>0</v>
      </c>
      <c r="M34" s="1523">
        <f t="shared" si="5"/>
        <v>0</v>
      </c>
      <c r="N34" s="1523">
        <f t="shared" si="5"/>
        <v>0</v>
      </c>
      <c r="O34" s="1523">
        <f t="shared" si="5"/>
        <v>0</v>
      </c>
      <c r="P34" s="1523"/>
      <c r="Q34" s="1523"/>
      <c r="R34" s="1523">
        <f>R27</f>
        <v>104.4</v>
      </c>
      <c r="S34" s="1523">
        <f>S27</f>
        <v>104.4</v>
      </c>
      <c r="T34" s="1523">
        <f>T27</f>
        <v>0</v>
      </c>
      <c r="U34" s="1523">
        <f>U27</f>
        <v>0</v>
      </c>
      <c r="V34" s="1523"/>
      <c r="W34" s="1523"/>
      <c r="X34" s="1523">
        <f>X27</f>
        <v>104.4</v>
      </c>
      <c r="Y34" s="1523">
        <f>Y27</f>
        <v>104.4</v>
      </c>
      <c r="Z34" s="1571"/>
      <c r="AE34" s="1184"/>
      <c r="AF34" s="1184"/>
      <c r="AG34" s="1184"/>
      <c r="AH34" s="1184"/>
      <c r="JN34" s="1184"/>
      <c r="JO34" s="1184"/>
      <c r="JQ34" s="1184"/>
      <c r="JR34" s="1184"/>
      <c r="JS34" s="1184"/>
      <c r="KA34" s="1184"/>
      <c r="KB34" s="1184"/>
      <c r="KC34" s="1184"/>
      <c r="KD34" s="1184"/>
      <c r="TJ34" s="1184"/>
      <c r="TK34" s="1184"/>
      <c r="TM34" s="1184"/>
      <c r="TN34" s="1184"/>
      <c r="TO34" s="1184"/>
      <c r="TW34" s="1184"/>
      <c r="TX34" s="1184"/>
      <c r="TY34" s="1184"/>
      <c r="TZ34" s="1184"/>
    </row>
    <row r="35" spans="2:546" s="1184" customFormat="1" x14ac:dyDescent="0.25">
      <c r="B35" s="1533">
        <v>963</v>
      </c>
      <c r="C35" s="1568"/>
      <c r="D35" s="1573"/>
      <c r="E35" s="1574"/>
      <c r="F35" s="1523">
        <f t="shared" ref="F35:O35" si="6">F14</f>
        <v>0</v>
      </c>
      <c r="G35" s="1523">
        <f t="shared" si="6"/>
        <v>0</v>
      </c>
      <c r="H35" s="1523">
        <f t="shared" si="6"/>
        <v>0</v>
      </c>
      <c r="I35" s="1523">
        <f t="shared" si="6"/>
        <v>0</v>
      </c>
      <c r="J35" s="1523">
        <f t="shared" si="6"/>
        <v>208</v>
      </c>
      <c r="K35" s="1523">
        <f t="shared" si="6"/>
        <v>30</v>
      </c>
      <c r="L35" s="1523">
        <f t="shared" si="6"/>
        <v>0</v>
      </c>
      <c r="M35" s="1523">
        <f t="shared" si="6"/>
        <v>0</v>
      </c>
      <c r="N35" s="1523">
        <f t="shared" si="6"/>
        <v>208</v>
      </c>
      <c r="O35" s="1523">
        <f t="shared" si="6"/>
        <v>30</v>
      </c>
      <c r="P35" s="1523"/>
      <c r="Q35" s="1523"/>
      <c r="R35" s="1523">
        <f>R14</f>
        <v>0</v>
      </c>
      <c r="S35" s="1523">
        <f>S14</f>
        <v>0</v>
      </c>
      <c r="T35" s="1523">
        <f>T14</f>
        <v>0</v>
      </c>
      <c r="U35" s="1523">
        <f>U14</f>
        <v>20</v>
      </c>
      <c r="V35" s="1523"/>
      <c r="W35" s="1523"/>
      <c r="X35" s="1523">
        <f>X14</f>
        <v>0</v>
      </c>
      <c r="Y35" s="1523">
        <f>Y14</f>
        <v>0</v>
      </c>
      <c r="AA35" s="1185"/>
    </row>
    <row r="36" spans="2:546" s="1184" customFormat="1" x14ac:dyDescent="0.25">
      <c r="B36" s="1533">
        <v>966</v>
      </c>
      <c r="C36" s="1568"/>
      <c r="D36" s="1573"/>
      <c r="E36" s="1574"/>
      <c r="F36" s="1523">
        <f t="shared" ref="F36:O36" si="7">F24+F26</f>
        <v>0</v>
      </c>
      <c r="G36" s="1523">
        <f t="shared" si="7"/>
        <v>0</v>
      </c>
      <c r="H36" s="1523">
        <f t="shared" si="7"/>
        <v>0</v>
      </c>
      <c r="I36" s="1523">
        <f t="shared" si="7"/>
        <v>0</v>
      </c>
      <c r="J36" s="1523">
        <f t="shared" si="7"/>
        <v>263.5</v>
      </c>
      <c r="K36" s="1523">
        <f t="shared" si="7"/>
        <v>0</v>
      </c>
      <c r="L36" s="1523">
        <f t="shared" si="7"/>
        <v>0</v>
      </c>
      <c r="M36" s="1523">
        <f t="shared" si="7"/>
        <v>0</v>
      </c>
      <c r="N36" s="1523">
        <f t="shared" si="7"/>
        <v>263.5</v>
      </c>
      <c r="O36" s="1523">
        <f t="shared" si="7"/>
        <v>0</v>
      </c>
      <c r="P36" s="1523"/>
      <c r="Q36" s="1523"/>
      <c r="R36" s="1523">
        <f>R24+R26</f>
        <v>188.6</v>
      </c>
      <c r="S36" s="1523">
        <f>S24+S26</f>
        <v>188.6</v>
      </c>
      <c r="T36" s="1523">
        <f>T24+T26</f>
        <v>0</v>
      </c>
      <c r="U36" s="1523">
        <f>U24+U26</f>
        <v>0</v>
      </c>
      <c r="V36" s="1523"/>
      <c r="W36" s="1523"/>
      <c r="X36" s="1523">
        <f>X24+X26</f>
        <v>188.6</v>
      </c>
      <c r="Y36" s="1523">
        <f>Y24+Y26</f>
        <v>188.6</v>
      </c>
      <c r="AA36" s="1185"/>
    </row>
    <row r="37" spans="2:546" s="1184" customFormat="1" x14ac:dyDescent="0.25">
      <c r="B37" s="1533">
        <v>981</v>
      </c>
      <c r="C37" s="1568"/>
      <c r="D37" s="1573"/>
      <c r="E37" s="1574"/>
      <c r="F37" s="1523">
        <f t="shared" ref="F37:O37" si="8">F18</f>
        <v>3.8</v>
      </c>
      <c r="G37" s="1523">
        <f t="shared" si="8"/>
        <v>0</v>
      </c>
      <c r="H37" s="1523">
        <f t="shared" si="8"/>
        <v>0</v>
      </c>
      <c r="I37" s="1523">
        <f t="shared" si="8"/>
        <v>0</v>
      </c>
      <c r="J37" s="1523">
        <f t="shared" si="8"/>
        <v>5.6</v>
      </c>
      <c r="K37" s="1523">
        <f t="shared" si="8"/>
        <v>0</v>
      </c>
      <c r="L37" s="1523">
        <f t="shared" si="8"/>
        <v>0</v>
      </c>
      <c r="M37" s="1523">
        <f t="shared" si="8"/>
        <v>0</v>
      </c>
      <c r="N37" s="1523">
        <f t="shared" si="8"/>
        <v>5.6</v>
      </c>
      <c r="O37" s="1523">
        <f t="shared" si="8"/>
        <v>0</v>
      </c>
      <c r="P37" s="1523"/>
      <c r="Q37" s="1523"/>
      <c r="R37" s="1523">
        <f>R18</f>
        <v>184.1</v>
      </c>
      <c r="S37" s="1523">
        <f>S18</f>
        <v>184.1</v>
      </c>
      <c r="T37" s="1523">
        <f>T18</f>
        <v>0</v>
      </c>
      <c r="U37" s="1523">
        <f>U18</f>
        <v>10</v>
      </c>
      <c r="V37" s="1523"/>
      <c r="W37" s="1523"/>
      <c r="X37" s="1523">
        <f>X18</f>
        <v>184.1</v>
      </c>
      <c r="Y37" s="1523">
        <f>Y18</f>
        <v>184.1</v>
      </c>
      <c r="AA37" s="1185"/>
    </row>
    <row r="38" spans="2:546" x14ac:dyDescent="0.25">
      <c r="D38" s="1576"/>
      <c r="E38" s="1577"/>
      <c r="F38" s="1220"/>
      <c r="G38" s="1220"/>
      <c r="H38" s="1220"/>
      <c r="I38" s="1220"/>
      <c r="J38" s="1220"/>
      <c r="K38" s="1220"/>
      <c r="L38" s="1220"/>
      <c r="M38" s="1220"/>
      <c r="N38" s="1220"/>
      <c r="O38" s="1220"/>
      <c r="P38" s="1220"/>
      <c r="Q38" s="1220"/>
      <c r="R38" s="1220"/>
      <c r="S38" s="1220"/>
      <c r="T38" s="1220"/>
      <c r="U38" s="1220"/>
      <c r="V38" s="1220"/>
      <c r="W38" s="1220"/>
      <c r="X38" s="1220"/>
      <c r="Y38" s="1220"/>
    </row>
    <row r="39" spans="2:546" s="1184" customFormat="1" hidden="1" x14ac:dyDescent="0.25">
      <c r="B39" s="1533">
        <v>912</v>
      </c>
      <c r="C39" s="1568"/>
      <c r="D39" s="1569"/>
      <c r="E39" s="1570"/>
      <c r="F39" s="1578" t="e">
        <f>#REF!+#REF!+#REF!</f>
        <v>#REF!</v>
      </c>
      <c r="G39" s="1578" t="e">
        <f>#REF!+#REF!+#REF!</f>
        <v>#REF!</v>
      </c>
      <c r="H39" s="1578" t="e">
        <f>#REF!+#REF!+#REF!</f>
        <v>#REF!</v>
      </c>
      <c r="I39" s="1578" t="e">
        <f>#REF!+#REF!+#REF!</f>
        <v>#REF!</v>
      </c>
      <c r="J39" s="1578" t="e">
        <f>#REF!+#REF!+#REF!</f>
        <v>#REF!</v>
      </c>
      <c r="K39" s="1578" t="e">
        <f>#REF!+#REF!+#REF!</f>
        <v>#REF!</v>
      </c>
      <c r="L39" s="1578" t="e">
        <f>#REF!+#REF!+#REF!</f>
        <v>#REF!</v>
      </c>
      <c r="M39" s="1578" t="e">
        <f>#REF!+#REF!+#REF!</f>
        <v>#REF!</v>
      </c>
      <c r="N39" s="1578" t="e">
        <f>#REF!+#REF!+#REF!</f>
        <v>#REF!</v>
      </c>
      <c r="O39" s="1578" t="e">
        <f>#REF!+#REF!+#REF!</f>
        <v>#REF!</v>
      </c>
      <c r="P39" s="1578" t="e">
        <f>#REF!+#REF!+#REF!</f>
        <v>#REF!</v>
      </c>
      <c r="Q39" s="1578" t="e">
        <f>#REF!+#REF!+#REF!</f>
        <v>#REF!</v>
      </c>
      <c r="R39" s="1578" t="e">
        <f>#REF!+#REF!+#REF!</f>
        <v>#REF!</v>
      </c>
      <c r="S39" s="1578"/>
      <c r="T39" s="1578"/>
      <c r="U39" s="1578" t="e">
        <f>#REF!+#REF!+#REF!</f>
        <v>#REF!</v>
      </c>
      <c r="V39" s="1578" t="e">
        <f>#REF!+#REF!+#REF!</f>
        <v>#REF!</v>
      </c>
      <c r="W39" s="1578" t="e">
        <f>#REF!+#REF!+#REF!</f>
        <v>#REF!</v>
      </c>
      <c r="X39" s="1578" t="e">
        <f>#REF!+#REF!+#REF!</f>
        <v>#REF!</v>
      </c>
      <c r="Y39" s="1578" t="e">
        <f>#REF!+#REF!+#REF!</f>
        <v>#REF!</v>
      </c>
      <c r="AA39" s="1185"/>
    </row>
    <row r="40" spans="2:546" s="1184" customFormat="1" hidden="1" x14ac:dyDescent="0.25">
      <c r="B40" s="1533">
        <v>921</v>
      </c>
      <c r="C40" s="1568"/>
      <c r="D40" s="1569"/>
      <c r="E40" s="1570"/>
      <c r="F40" s="1578" t="e">
        <f>F33+#REF!+#REF!+#REF!</f>
        <v>#REF!</v>
      </c>
      <c r="G40" s="1578" t="e">
        <f>G33+#REF!+#REF!+#REF!</f>
        <v>#REF!</v>
      </c>
      <c r="H40" s="1578" t="e">
        <f>H33+#REF!+#REF!+#REF!</f>
        <v>#REF!</v>
      </c>
      <c r="I40" s="1578" t="e">
        <f>I33+#REF!+#REF!+#REF!</f>
        <v>#REF!</v>
      </c>
      <c r="J40" s="1578" t="e">
        <f>J33+#REF!+#REF!+#REF!</f>
        <v>#REF!</v>
      </c>
      <c r="K40" s="1578" t="e">
        <f>K33+#REF!+#REF!+#REF!</f>
        <v>#REF!</v>
      </c>
      <c r="L40" s="1578" t="e">
        <f>L33+#REF!+#REF!+#REF!</f>
        <v>#REF!</v>
      </c>
      <c r="M40" s="1578" t="e">
        <f>M33+#REF!+#REF!+#REF!</f>
        <v>#REF!</v>
      </c>
      <c r="N40" s="1578" t="e">
        <f>N33+#REF!+#REF!+#REF!</f>
        <v>#REF!</v>
      </c>
      <c r="O40" s="1578" t="e">
        <f>O33+#REF!+#REF!+#REF!</f>
        <v>#REF!</v>
      </c>
      <c r="P40" s="1578" t="e">
        <f>P33+#REF!+#REF!+#REF!</f>
        <v>#REF!</v>
      </c>
      <c r="Q40" s="1578" t="e">
        <f>Q33+#REF!+#REF!+#REF!</f>
        <v>#REF!</v>
      </c>
      <c r="R40" s="1578" t="e">
        <f>R33+#REF!+#REF!+#REF!</f>
        <v>#REF!</v>
      </c>
      <c r="S40" s="1578"/>
      <c r="T40" s="1578"/>
      <c r="U40" s="1578" t="e">
        <f>U33+#REF!+#REF!+#REF!</f>
        <v>#REF!</v>
      </c>
      <c r="V40" s="1578" t="e">
        <f>V33+#REF!+#REF!+#REF!</f>
        <v>#REF!</v>
      </c>
      <c r="W40" s="1578" t="e">
        <f>W33+#REF!+#REF!+#REF!</f>
        <v>#REF!</v>
      </c>
      <c r="X40" s="1578" t="e">
        <f>X33+#REF!+#REF!+#REF!</f>
        <v>#REF!</v>
      </c>
      <c r="Y40" s="1578" t="e">
        <f>Y33+#REF!+#REF!+#REF!</f>
        <v>#REF!</v>
      </c>
      <c r="AA40" s="1185"/>
    </row>
    <row r="41" spans="2:546" s="1184" customFormat="1" hidden="1" x14ac:dyDescent="0.25">
      <c r="B41" s="1533">
        <v>922</v>
      </c>
      <c r="C41" s="1568"/>
      <c r="D41" s="1569"/>
      <c r="E41" s="1570"/>
      <c r="F41" s="1578" t="e">
        <f>#REF!+#REF!+#REF!+#REF!</f>
        <v>#REF!</v>
      </c>
      <c r="G41" s="1578" t="e">
        <f>#REF!+#REF!+#REF!+#REF!</f>
        <v>#REF!</v>
      </c>
      <c r="H41" s="1578" t="e">
        <f>#REF!+#REF!+#REF!+#REF!</f>
        <v>#REF!</v>
      </c>
      <c r="I41" s="1578" t="e">
        <f>#REF!+#REF!+#REF!+#REF!</f>
        <v>#REF!</v>
      </c>
      <c r="J41" s="1578" t="e">
        <f>#REF!+#REF!+#REF!+#REF!</f>
        <v>#REF!</v>
      </c>
      <c r="K41" s="1578" t="e">
        <f>#REF!+#REF!+#REF!+#REF!</f>
        <v>#REF!</v>
      </c>
      <c r="L41" s="1578" t="e">
        <f>#REF!+#REF!+#REF!+#REF!</f>
        <v>#REF!</v>
      </c>
      <c r="M41" s="1578" t="e">
        <f>#REF!+#REF!+#REF!+#REF!</f>
        <v>#REF!</v>
      </c>
      <c r="N41" s="1578" t="e">
        <f>#REF!+#REF!+#REF!+#REF!</f>
        <v>#REF!</v>
      </c>
      <c r="O41" s="1578" t="e">
        <f>#REF!+#REF!+#REF!+#REF!</f>
        <v>#REF!</v>
      </c>
      <c r="P41" s="1578" t="e">
        <f>#REF!+#REF!+#REF!+#REF!</f>
        <v>#REF!</v>
      </c>
      <c r="Q41" s="1578" t="e">
        <f>#REF!+#REF!+#REF!+#REF!</f>
        <v>#REF!</v>
      </c>
      <c r="R41" s="1578" t="e">
        <f>#REF!+#REF!+#REF!+#REF!</f>
        <v>#REF!</v>
      </c>
      <c r="S41" s="1578"/>
      <c r="T41" s="1578"/>
      <c r="U41" s="1578" t="e">
        <f>#REF!+#REF!+#REF!+#REF!</f>
        <v>#REF!</v>
      </c>
      <c r="V41" s="1578" t="e">
        <f>#REF!+#REF!+#REF!+#REF!</f>
        <v>#REF!</v>
      </c>
      <c r="W41" s="1578" t="e">
        <f>#REF!+#REF!+#REF!+#REF!</f>
        <v>#REF!</v>
      </c>
      <c r="X41" s="1578" t="e">
        <f>#REF!+#REF!+#REF!+#REF!</f>
        <v>#REF!</v>
      </c>
      <c r="Y41" s="1578" t="e">
        <f>#REF!+#REF!+#REF!+#REF!</f>
        <v>#REF!</v>
      </c>
      <c r="AA41" s="1185"/>
    </row>
    <row r="42" spans="2:546" s="1184" customFormat="1" hidden="1" x14ac:dyDescent="0.25">
      <c r="B42" s="1533">
        <v>925</v>
      </c>
      <c r="C42" s="1568"/>
      <c r="D42" s="1569"/>
      <c r="E42" s="1570"/>
      <c r="F42" s="1578" t="e">
        <f>#REF!</f>
        <v>#REF!</v>
      </c>
      <c r="G42" s="1578" t="e">
        <f>#REF!</f>
        <v>#REF!</v>
      </c>
      <c r="H42" s="1578" t="e">
        <f>#REF!</f>
        <v>#REF!</v>
      </c>
      <c r="I42" s="1578" t="e">
        <f>#REF!</f>
        <v>#REF!</v>
      </c>
      <c r="J42" s="1578" t="e">
        <f>#REF!</f>
        <v>#REF!</v>
      </c>
      <c r="K42" s="1578" t="e">
        <f>#REF!</f>
        <v>#REF!</v>
      </c>
      <c r="L42" s="1578" t="e">
        <f>#REF!</f>
        <v>#REF!</v>
      </c>
      <c r="M42" s="1578" t="e">
        <f>#REF!</f>
        <v>#REF!</v>
      </c>
      <c r="N42" s="1578" t="e">
        <f>#REF!</f>
        <v>#REF!</v>
      </c>
      <c r="O42" s="1578" t="e">
        <f>#REF!</f>
        <v>#REF!</v>
      </c>
      <c r="P42" s="1578" t="e">
        <f>#REF!</f>
        <v>#REF!</v>
      </c>
      <c r="Q42" s="1578" t="e">
        <f>#REF!</f>
        <v>#REF!</v>
      </c>
      <c r="R42" s="1578" t="e">
        <f>#REF!</f>
        <v>#REF!</v>
      </c>
      <c r="S42" s="1578"/>
      <c r="T42" s="1578"/>
      <c r="U42" s="1578" t="e">
        <f>#REF!</f>
        <v>#REF!</v>
      </c>
      <c r="V42" s="1578" t="e">
        <f>#REF!</f>
        <v>#REF!</v>
      </c>
      <c r="W42" s="1578" t="e">
        <f>#REF!</f>
        <v>#REF!</v>
      </c>
      <c r="X42" s="1578" t="e">
        <f>#REF!</f>
        <v>#REF!</v>
      </c>
      <c r="Y42" s="1578" t="e">
        <f>#REF!</f>
        <v>#REF!</v>
      </c>
      <c r="AA42" s="1185"/>
    </row>
    <row r="43" spans="2:546" s="1184" customFormat="1" hidden="1" x14ac:dyDescent="0.25">
      <c r="B43" s="1533">
        <v>926</v>
      </c>
      <c r="C43" s="1568"/>
      <c r="D43" s="1569"/>
      <c r="E43" s="1570"/>
      <c r="F43" s="1578" t="e">
        <f>#REF!</f>
        <v>#REF!</v>
      </c>
      <c r="G43" s="1578" t="e">
        <f>#REF!</f>
        <v>#REF!</v>
      </c>
      <c r="H43" s="1578" t="e">
        <f>#REF!</f>
        <v>#REF!</v>
      </c>
      <c r="I43" s="1578" t="e">
        <f>#REF!</f>
        <v>#REF!</v>
      </c>
      <c r="J43" s="1578" t="e">
        <f>#REF!</f>
        <v>#REF!</v>
      </c>
      <c r="K43" s="1578" t="e">
        <f>#REF!</f>
        <v>#REF!</v>
      </c>
      <c r="L43" s="1578" t="e">
        <f>#REF!</f>
        <v>#REF!</v>
      </c>
      <c r="M43" s="1578" t="e">
        <f>#REF!</f>
        <v>#REF!</v>
      </c>
      <c r="N43" s="1578" t="e">
        <f>#REF!</f>
        <v>#REF!</v>
      </c>
      <c r="O43" s="1578" t="e">
        <f>#REF!</f>
        <v>#REF!</v>
      </c>
      <c r="P43" s="1578" t="e">
        <f>#REF!</f>
        <v>#REF!</v>
      </c>
      <c r="Q43" s="1578" t="e">
        <f>#REF!</f>
        <v>#REF!</v>
      </c>
      <c r="R43" s="1578" t="e">
        <f>#REF!</f>
        <v>#REF!</v>
      </c>
      <c r="S43" s="1578"/>
      <c r="T43" s="1578"/>
      <c r="U43" s="1578" t="e">
        <f>#REF!</f>
        <v>#REF!</v>
      </c>
      <c r="V43" s="1578" t="e">
        <f>#REF!</f>
        <v>#REF!</v>
      </c>
      <c r="W43" s="1578" t="e">
        <f>#REF!</f>
        <v>#REF!</v>
      </c>
      <c r="X43" s="1578" t="e">
        <f>#REF!</f>
        <v>#REF!</v>
      </c>
      <c r="Y43" s="1578" t="e">
        <f>#REF!</f>
        <v>#REF!</v>
      </c>
      <c r="AA43" s="1185"/>
    </row>
    <row r="44" spans="2:546" s="1184" customFormat="1" hidden="1" x14ac:dyDescent="0.25">
      <c r="B44" s="1533">
        <v>951</v>
      </c>
      <c r="C44" s="1568"/>
      <c r="D44" s="1569"/>
      <c r="E44" s="1570"/>
      <c r="F44" s="1578" t="e">
        <f>#REF!</f>
        <v>#REF!</v>
      </c>
      <c r="G44" s="1578" t="e">
        <f>#REF!</f>
        <v>#REF!</v>
      </c>
      <c r="H44" s="1578" t="e">
        <f>#REF!</f>
        <v>#REF!</v>
      </c>
      <c r="I44" s="1578" t="e">
        <f>#REF!</f>
        <v>#REF!</v>
      </c>
      <c r="J44" s="1578" t="e">
        <f>#REF!</f>
        <v>#REF!</v>
      </c>
      <c r="K44" s="1578" t="e">
        <f>#REF!</f>
        <v>#REF!</v>
      </c>
      <c r="L44" s="1578" t="e">
        <f>#REF!</f>
        <v>#REF!</v>
      </c>
      <c r="M44" s="1578" t="e">
        <f>#REF!</f>
        <v>#REF!</v>
      </c>
      <c r="N44" s="1578" t="e">
        <f>#REF!</f>
        <v>#REF!</v>
      </c>
      <c r="O44" s="1578" t="e">
        <f>#REF!</f>
        <v>#REF!</v>
      </c>
      <c r="P44" s="1578" t="e">
        <f>#REF!</f>
        <v>#REF!</v>
      </c>
      <c r="Q44" s="1578" t="e">
        <f>#REF!</f>
        <v>#REF!</v>
      </c>
      <c r="R44" s="1578" t="e">
        <f>#REF!</f>
        <v>#REF!</v>
      </c>
      <c r="S44" s="1578"/>
      <c r="T44" s="1578"/>
      <c r="U44" s="1578" t="e">
        <f>#REF!</f>
        <v>#REF!</v>
      </c>
      <c r="V44" s="1578" t="e">
        <f>#REF!</f>
        <v>#REF!</v>
      </c>
      <c r="W44" s="1578" t="e">
        <f>#REF!</f>
        <v>#REF!</v>
      </c>
      <c r="X44" s="1578" t="e">
        <f>#REF!</f>
        <v>#REF!</v>
      </c>
      <c r="Y44" s="1578" t="e">
        <f>#REF!</f>
        <v>#REF!</v>
      </c>
      <c r="AA44" s="1185"/>
    </row>
    <row r="45" spans="2:546" s="1184" customFormat="1" hidden="1" x14ac:dyDescent="0.25">
      <c r="B45" s="1533">
        <v>952</v>
      </c>
      <c r="C45" s="1568"/>
      <c r="D45" s="1569"/>
      <c r="E45" s="1570"/>
      <c r="F45" s="1578" t="e">
        <f>#REF!+#REF!+#REF!</f>
        <v>#REF!</v>
      </c>
      <c r="G45" s="1578" t="e">
        <f>#REF!+#REF!+#REF!</f>
        <v>#REF!</v>
      </c>
      <c r="H45" s="1578" t="e">
        <f>#REF!+#REF!+#REF!</f>
        <v>#REF!</v>
      </c>
      <c r="I45" s="1578" t="e">
        <f>#REF!+#REF!+#REF!</f>
        <v>#REF!</v>
      </c>
      <c r="J45" s="1578" t="e">
        <f>#REF!+#REF!+#REF!</f>
        <v>#REF!</v>
      </c>
      <c r="K45" s="1578" t="e">
        <f>#REF!+#REF!+#REF!</f>
        <v>#REF!</v>
      </c>
      <c r="L45" s="1578" t="e">
        <f>#REF!+#REF!+#REF!</f>
        <v>#REF!</v>
      </c>
      <c r="M45" s="1578" t="e">
        <f>#REF!+#REF!+#REF!</f>
        <v>#REF!</v>
      </c>
      <c r="N45" s="1578" t="e">
        <f>#REF!+#REF!+#REF!</f>
        <v>#REF!</v>
      </c>
      <c r="O45" s="1578" t="e">
        <f>#REF!+#REF!+#REF!</f>
        <v>#REF!</v>
      </c>
      <c r="P45" s="1578" t="e">
        <f>#REF!+#REF!+#REF!</f>
        <v>#REF!</v>
      </c>
      <c r="Q45" s="1578" t="e">
        <f>#REF!+#REF!+#REF!</f>
        <v>#REF!</v>
      </c>
      <c r="R45" s="1578" t="e">
        <f>#REF!+#REF!+#REF!</f>
        <v>#REF!</v>
      </c>
      <c r="S45" s="1578"/>
      <c r="T45" s="1578"/>
      <c r="U45" s="1578" t="e">
        <f>#REF!+#REF!+#REF!</f>
        <v>#REF!</v>
      </c>
      <c r="V45" s="1578" t="e">
        <f>#REF!+#REF!+#REF!</f>
        <v>#REF!</v>
      </c>
      <c r="W45" s="1578" t="e">
        <f>#REF!+#REF!+#REF!</f>
        <v>#REF!</v>
      </c>
      <c r="X45" s="1578" t="e">
        <f>#REF!+#REF!+#REF!</f>
        <v>#REF!</v>
      </c>
      <c r="Y45" s="1578" t="e">
        <f>#REF!+#REF!+#REF!</f>
        <v>#REF!</v>
      </c>
      <c r="AA45" s="1185"/>
    </row>
    <row r="46" spans="2:546" s="1184" customFormat="1" hidden="1" x14ac:dyDescent="0.25">
      <c r="B46" s="1533">
        <v>953</v>
      </c>
      <c r="C46" s="1568"/>
      <c r="D46" s="1569"/>
      <c r="E46" s="1570"/>
      <c r="F46" s="1578" t="e">
        <f>#REF!+#REF!</f>
        <v>#REF!</v>
      </c>
      <c r="G46" s="1578" t="e">
        <f>#REF!+#REF!</f>
        <v>#REF!</v>
      </c>
      <c r="H46" s="1578" t="e">
        <f>#REF!+#REF!</f>
        <v>#REF!</v>
      </c>
      <c r="I46" s="1578" t="e">
        <f>#REF!+#REF!</f>
        <v>#REF!</v>
      </c>
      <c r="J46" s="1578" t="e">
        <f>#REF!+#REF!</f>
        <v>#REF!</v>
      </c>
      <c r="K46" s="1578" t="e">
        <f>#REF!+#REF!</f>
        <v>#REF!</v>
      </c>
      <c r="L46" s="1578" t="e">
        <f>#REF!+#REF!</f>
        <v>#REF!</v>
      </c>
      <c r="M46" s="1578" t="e">
        <f>#REF!+#REF!</f>
        <v>#REF!</v>
      </c>
      <c r="N46" s="1578" t="e">
        <f>#REF!+#REF!</f>
        <v>#REF!</v>
      </c>
      <c r="O46" s="1578" t="e">
        <f>#REF!+#REF!</f>
        <v>#REF!</v>
      </c>
      <c r="P46" s="1578" t="e">
        <f>#REF!+#REF!</f>
        <v>#REF!</v>
      </c>
      <c r="Q46" s="1578" t="e">
        <f>#REF!+#REF!</f>
        <v>#REF!</v>
      </c>
      <c r="R46" s="1578" t="e">
        <f>#REF!+#REF!</f>
        <v>#REF!</v>
      </c>
      <c r="S46" s="1578"/>
      <c r="T46" s="1578"/>
      <c r="U46" s="1578" t="e">
        <f>#REF!+#REF!</f>
        <v>#REF!</v>
      </c>
      <c r="V46" s="1578" t="e">
        <f>#REF!+#REF!</f>
        <v>#REF!</v>
      </c>
      <c r="W46" s="1578" t="e">
        <f>#REF!+#REF!</f>
        <v>#REF!</v>
      </c>
      <c r="X46" s="1578" t="e">
        <f>#REF!+#REF!</f>
        <v>#REF!</v>
      </c>
      <c r="Y46" s="1578" t="e">
        <f>#REF!+#REF!</f>
        <v>#REF!</v>
      </c>
      <c r="AA46" s="1185"/>
    </row>
    <row r="47" spans="2:546" s="1184" customFormat="1" hidden="1" x14ac:dyDescent="0.25">
      <c r="B47" s="1533">
        <v>954</v>
      </c>
      <c r="C47" s="1568"/>
      <c r="D47" s="1569"/>
      <c r="E47" s="1570"/>
      <c r="F47" s="1578" t="e">
        <f>#REF!+#REF!+#REF!+#REF!+#REF!+#REF!+#REF!</f>
        <v>#REF!</v>
      </c>
      <c r="G47" s="1578" t="e">
        <f>#REF!+#REF!+#REF!+#REF!+#REF!+#REF!+#REF!</f>
        <v>#REF!</v>
      </c>
      <c r="H47" s="1578" t="e">
        <f>#REF!+#REF!+#REF!+#REF!+#REF!+#REF!+#REF!</f>
        <v>#REF!</v>
      </c>
      <c r="I47" s="1578" t="e">
        <f>#REF!+#REF!+#REF!+#REF!+#REF!+#REF!+#REF!</f>
        <v>#REF!</v>
      </c>
      <c r="J47" s="1578" t="e">
        <f>#REF!+#REF!+#REF!+#REF!+#REF!+#REF!+#REF!</f>
        <v>#REF!</v>
      </c>
      <c r="K47" s="1578" t="e">
        <f>#REF!+#REF!+#REF!+#REF!+#REF!+#REF!+#REF!</f>
        <v>#REF!</v>
      </c>
      <c r="L47" s="1578" t="e">
        <f>#REF!+#REF!+#REF!+#REF!+#REF!+#REF!+#REF!</f>
        <v>#REF!</v>
      </c>
      <c r="M47" s="1578" t="e">
        <f>#REF!+#REF!+#REF!+#REF!+#REF!+#REF!+#REF!</f>
        <v>#REF!</v>
      </c>
      <c r="N47" s="1578" t="e">
        <f>#REF!+#REF!+#REF!+#REF!+#REF!+#REF!+#REF!</f>
        <v>#REF!</v>
      </c>
      <c r="O47" s="1578" t="e">
        <f>#REF!+#REF!+#REF!+#REF!+#REF!+#REF!+#REF!</f>
        <v>#REF!</v>
      </c>
      <c r="P47" s="1578" t="e">
        <f>#REF!+#REF!+#REF!+#REF!+#REF!+#REF!+#REF!</f>
        <v>#REF!</v>
      </c>
      <c r="Q47" s="1578" t="e">
        <f>#REF!+#REF!+#REF!+#REF!+#REF!+#REF!+#REF!</f>
        <v>#REF!</v>
      </c>
      <c r="R47" s="1578" t="e">
        <f>#REF!+#REF!+#REF!+#REF!+#REF!+#REF!+#REF!+R34</f>
        <v>#REF!</v>
      </c>
      <c r="S47" s="1578"/>
      <c r="T47" s="1578"/>
      <c r="U47" s="1578" t="e">
        <f>#REF!+#REF!+#REF!+#REF!+#REF!+#REF!+#REF!</f>
        <v>#REF!</v>
      </c>
      <c r="V47" s="1578" t="e">
        <f>#REF!+#REF!+#REF!+#REF!+#REF!+#REF!+#REF!</f>
        <v>#REF!</v>
      </c>
      <c r="W47" s="1578" t="e">
        <f>#REF!+#REF!+#REF!+#REF!+#REF!+#REF!+#REF!</f>
        <v>#REF!</v>
      </c>
      <c r="X47" s="1578" t="e">
        <f>#REF!+#REF!+#REF!+#REF!+#REF!+#REF!+#REF!+X34</f>
        <v>#REF!</v>
      </c>
      <c r="Y47" s="1578" t="e">
        <f>#REF!+#REF!+#REF!+#REF!+#REF!+#REF!+#REF!+Y34</f>
        <v>#REF!</v>
      </c>
      <c r="AA47" s="1185"/>
    </row>
    <row r="48" spans="2:546" s="1184" customFormat="1" hidden="1" x14ac:dyDescent="0.25">
      <c r="B48" s="1533">
        <v>955</v>
      </c>
      <c r="C48" s="1568"/>
      <c r="D48" s="1569"/>
      <c r="E48" s="1570"/>
      <c r="F48" s="1578" t="e">
        <f>F34+#REF!+#REF!+#REF!+#REF!+#REF!+#REF!</f>
        <v>#REF!</v>
      </c>
      <c r="G48" s="1578" t="e">
        <f>G34+#REF!+#REF!+#REF!+#REF!+#REF!+#REF!</f>
        <v>#REF!</v>
      </c>
      <c r="H48" s="1578" t="e">
        <f>H34+#REF!+#REF!+#REF!+#REF!+#REF!+#REF!</f>
        <v>#REF!</v>
      </c>
      <c r="I48" s="1578" t="e">
        <f>I34+#REF!+#REF!+#REF!+#REF!+#REF!+#REF!</f>
        <v>#REF!</v>
      </c>
      <c r="J48" s="1578" t="e">
        <f>J34+#REF!+#REF!+#REF!+#REF!+#REF!+#REF!</f>
        <v>#REF!</v>
      </c>
      <c r="K48" s="1578" t="e">
        <f>K34+#REF!+#REF!+#REF!+#REF!+#REF!+#REF!</f>
        <v>#REF!</v>
      </c>
      <c r="L48" s="1578" t="e">
        <f>L34+#REF!+#REF!+#REF!+#REF!+#REF!+#REF!</f>
        <v>#REF!</v>
      </c>
      <c r="M48" s="1578" t="e">
        <f>M34+#REF!+#REF!+#REF!+#REF!+#REF!+#REF!</f>
        <v>#REF!</v>
      </c>
      <c r="N48" s="1578" t="e">
        <f>N34+#REF!+#REF!+#REF!+#REF!+#REF!+#REF!</f>
        <v>#REF!</v>
      </c>
      <c r="O48" s="1578" t="e">
        <f>O34+#REF!+#REF!+#REF!+#REF!+#REF!+#REF!</f>
        <v>#REF!</v>
      </c>
      <c r="P48" s="1578" t="e">
        <f>P34+#REF!+#REF!+#REF!+#REF!+#REF!+#REF!</f>
        <v>#REF!</v>
      </c>
      <c r="Q48" s="1578" t="e">
        <f>Q34+#REF!+#REF!+#REF!+#REF!+#REF!+#REF!</f>
        <v>#REF!</v>
      </c>
      <c r="R48" s="1578" t="e">
        <f>R34+#REF!+#REF!+#REF!+#REF!+#REF!+#REF!</f>
        <v>#REF!</v>
      </c>
      <c r="S48" s="1578"/>
      <c r="T48" s="1578"/>
      <c r="U48" s="1578" t="e">
        <f>U34+#REF!+#REF!+#REF!+#REF!+#REF!+#REF!</f>
        <v>#REF!</v>
      </c>
      <c r="V48" s="1578" t="e">
        <f>V34+#REF!+#REF!+#REF!+#REF!+#REF!+#REF!</f>
        <v>#REF!</v>
      </c>
      <c r="W48" s="1578" t="e">
        <f>W34+#REF!+#REF!+#REF!+#REF!+#REF!+#REF!</f>
        <v>#REF!</v>
      </c>
      <c r="X48" s="1578" t="e">
        <f>#REF!+#REF!+#REF!+#REF!+#REF!+#REF!</f>
        <v>#REF!</v>
      </c>
      <c r="Y48" s="1578" t="e">
        <f>#REF!+#REF!+#REF!+#REF!+#REF!+#REF!</f>
        <v>#REF!</v>
      </c>
      <c r="AA48" s="1185"/>
    </row>
    <row r="49" spans="2:27" s="1184" customFormat="1" hidden="1" x14ac:dyDescent="0.25">
      <c r="B49" s="1533">
        <v>958</v>
      </c>
      <c r="C49" s="1568"/>
      <c r="D49" s="1569"/>
      <c r="E49" s="1570"/>
      <c r="F49" s="1578" t="e">
        <f>#REF!</f>
        <v>#REF!</v>
      </c>
      <c r="G49" s="1578" t="e">
        <f>#REF!</f>
        <v>#REF!</v>
      </c>
      <c r="H49" s="1578" t="e">
        <f>#REF!</f>
        <v>#REF!</v>
      </c>
      <c r="I49" s="1578" t="e">
        <f>#REF!</f>
        <v>#REF!</v>
      </c>
      <c r="J49" s="1578" t="e">
        <f>#REF!</f>
        <v>#REF!</v>
      </c>
      <c r="K49" s="1578" t="e">
        <f>#REF!</f>
        <v>#REF!</v>
      </c>
      <c r="L49" s="1578" t="e">
        <f>#REF!</f>
        <v>#REF!</v>
      </c>
      <c r="M49" s="1578" t="e">
        <f>#REF!</f>
        <v>#REF!</v>
      </c>
      <c r="N49" s="1578" t="e">
        <f>#REF!</f>
        <v>#REF!</v>
      </c>
      <c r="O49" s="1578" t="e">
        <f>#REF!</f>
        <v>#REF!</v>
      </c>
      <c r="P49" s="1578" t="e">
        <f>#REF!</f>
        <v>#REF!</v>
      </c>
      <c r="Q49" s="1578" t="e">
        <f>#REF!</f>
        <v>#REF!</v>
      </c>
      <c r="R49" s="1578" t="e">
        <f>#REF!</f>
        <v>#REF!</v>
      </c>
      <c r="S49" s="1578"/>
      <c r="T49" s="1578"/>
      <c r="U49" s="1578" t="e">
        <f>#REF!</f>
        <v>#REF!</v>
      </c>
      <c r="V49" s="1578" t="e">
        <f>#REF!</f>
        <v>#REF!</v>
      </c>
      <c r="W49" s="1578" t="e">
        <f>#REF!</f>
        <v>#REF!</v>
      </c>
      <c r="X49" s="1578" t="e">
        <f>#REF!</f>
        <v>#REF!</v>
      </c>
      <c r="Y49" s="1578" t="e">
        <f>#REF!</f>
        <v>#REF!</v>
      </c>
      <c r="AA49" s="1185"/>
    </row>
    <row r="50" spans="2:27" s="1184" customFormat="1" hidden="1" x14ac:dyDescent="0.25">
      <c r="B50" s="1533">
        <v>963</v>
      </c>
      <c r="C50" s="1568"/>
      <c r="D50" s="1569"/>
      <c r="E50" s="1570"/>
      <c r="F50" s="1578" t="e">
        <f>#REF!+#REF!+F35+#REF!+#REF!+#REF!+#REF!+#REF!+#REF!+#REF!+#REF!+#REF!+#REF!</f>
        <v>#REF!</v>
      </c>
      <c r="G50" s="1578" t="e">
        <f>#REF!+#REF!+G35+#REF!+#REF!+#REF!+#REF!+#REF!+#REF!+#REF!+#REF!+#REF!+#REF!</f>
        <v>#REF!</v>
      </c>
      <c r="H50" s="1578" t="e">
        <f>#REF!+#REF!+H35+#REF!+#REF!+#REF!+#REF!+#REF!+#REF!+#REF!+#REF!+#REF!+#REF!</f>
        <v>#REF!</v>
      </c>
      <c r="I50" s="1578" t="e">
        <f>#REF!+#REF!+I35+#REF!+#REF!+#REF!+#REF!+#REF!+#REF!+#REF!+#REF!+#REF!+#REF!</f>
        <v>#REF!</v>
      </c>
      <c r="J50" s="1578" t="e">
        <f>#REF!+#REF!+J35+#REF!+#REF!+#REF!+#REF!+#REF!+#REF!+#REF!+#REF!+#REF!+#REF!</f>
        <v>#REF!</v>
      </c>
      <c r="K50" s="1578" t="e">
        <f>#REF!+#REF!+K35+#REF!+#REF!+#REF!+#REF!+#REF!+#REF!+#REF!+#REF!+#REF!+#REF!</f>
        <v>#REF!</v>
      </c>
      <c r="L50" s="1578" t="e">
        <f>#REF!+#REF!+L35+#REF!+#REF!+#REF!+#REF!+#REF!+#REF!+#REF!+#REF!+#REF!+#REF!</f>
        <v>#REF!</v>
      </c>
      <c r="M50" s="1578" t="e">
        <f>#REF!+#REF!+M35+#REF!+#REF!+#REF!+#REF!+#REF!+#REF!+#REF!+#REF!+#REF!+#REF!</f>
        <v>#REF!</v>
      </c>
      <c r="N50" s="1578" t="e">
        <f>#REF!+#REF!+N35+#REF!+#REF!+#REF!+#REF!+#REF!+#REF!+#REF!+#REF!+#REF!+#REF!</f>
        <v>#REF!</v>
      </c>
      <c r="O50" s="1578" t="e">
        <f>#REF!+#REF!+O35+#REF!+#REF!+#REF!+#REF!+#REF!+#REF!+#REF!+#REF!+#REF!+#REF!</f>
        <v>#REF!</v>
      </c>
      <c r="P50" s="1578" t="e">
        <f>#REF!+#REF!+P35+#REF!+#REF!+#REF!+#REF!+#REF!+#REF!+#REF!+#REF!+#REF!+#REF!</f>
        <v>#REF!</v>
      </c>
      <c r="Q50" s="1578" t="e">
        <f>#REF!+#REF!+Q35+#REF!+#REF!+#REF!+#REF!+#REF!+#REF!+#REF!+#REF!+#REF!+#REF!</f>
        <v>#REF!</v>
      </c>
      <c r="R50" s="1578" t="e">
        <f>#REF!+#REF!+R35+#REF!+#REF!+#REF!+#REF!+#REF!+#REF!+#REF!+#REF!+#REF!+#REF!</f>
        <v>#REF!</v>
      </c>
      <c r="S50" s="1578"/>
      <c r="T50" s="1578"/>
      <c r="U50" s="1578" t="e">
        <f>#REF!+#REF!+U35+#REF!+#REF!+#REF!+#REF!+#REF!+#REF!+#REF!+#REF!+#REF!+#REF!</f>
        <v>#REF!</v>
      </c>
      <c r="V50" s="1578" t="e">
        <f>#REF!+#REF!+V35+#REF!+#REF!+#REF!+#REF!+#REF!+#REF!+#REF!+#REF!+#REF!+#REF!</f>
        <v>#REF!</v>
      </c>
      <c r="W50" s="1578" t="e">
        <f>#REF!+#REF!+W35+#REF!+#REF!+#REF!+#REF!+#REF!+#REF!+#REF!+#REF!+#REF!+#REF!</f>
        <v>#REF!</v>
      </c>
      <c r="X50" s="1578" t="e">
        <f>#REF!+#REF!+X35+#REF!+#REF!+#REF!+#REF!+#REF!+#REF!+#REF!+#REF!+#REF!+#REF!</f>
        <v>#REF!</v>
      </c>
      <c r="Y50" s="1578" t="e">
        <f>#REF!+#REF!+Y35+#REF!+#REF!+#REF!+#REF!+#REF!+#REF!+#REF!+#REF!+#REF!+#REF!</f>
        <v>#REF!</v>
      </c>
      <c r="AA50" s="1185"/>
    </row>
    <row r="51" spans="2:27" s="1184" customFormat="1" hidden="1" x14ac:dyDescent="0.25">
      <c r="B51" s="1533">
        <v>966</v>
      </c>
      <c r="C51" s="1568"/>
      <c r="D51" s="1569"/>
      <c r="E51" s="1570"/>
      <c r="F51" s="1578" t="e">
        <f>F36+#REF!+#REF!+#REF!+#REF!+#REF!+#REF!</f>
        <v>#REF!</v>
      </c>
      <c r="G51" s="1578" t="e">
        <f>G36+#REF!+#REF!+#REF!+#REF!+#REF!+#REF!</f>
        <v>#REF!</v>
      </c>
      <c r="H51" s="1578" t="e">
        <f>H36+#REF!+#REF!+#REF!+#REF!+#REF!+#REF!</f>
        <v>#REF!</v>
      </c>
      <c r="I51" s="1578" t="e">
        <f>I36+#REF!+#REF!+#REF!+#REF!+#REF!+#REF!</f>
        <v>#REF!</v>
      </c>
      <c r="J51" s="1578" t="e">
        <f>J36+#REF!+#REF!+#REF!+#REF!+#REF!+#REF!</f>
        <v>#REF!</v>
      </c>
      <c r="K51" s="1578" t="e">
        <f>K36+#REF!+#REF!+#REF!+#REF!+#REF!+#REF!</f>
        <v>#REF!</v>
      </c>
      <c r="L51" s="1578" t="e">
        <f>L36+#REF!+#REF!+#REF!+#REF!+#REF!+#REF!</f>
        <v>#REF!</v>
      </c>
      <c r="M51" s="1578" t="e">
        <f>M36+#REF!+#REF!+#REF!+#REF!+#REF!+#REF!</f>
        <v>#REF!</v>
      </c>
      <c r="N51" s="1578" t="e">
        <f>N36+#REF!+#REF!+#REF!+#REF!+#REF!+#REF!</f>
        <v>#REF!</v>
      </c>
      <c r="O51" s="1578" t="e">
        <f>O36+#REF!+#REF!+#REF!+#REF!+#REF!+#REF!</f>
        <v>#REF!</v>
      </c>
      <c r="P51" s="1578" t="e">
        <f>P36+#REF!+#REF!+#REF!+#REF!+#REF!+#REF!</f>
        <v>#REF!</v>
      </c>
      <c r="Q51" s="1578" t="e">
        <f>Q36+#REF!+#REF!+#REF!+#REF!+#REF!+#REF!</f>
        <v>#REF!</v>
      </c>
      <c r="R51" s="1578" t="e">
        <f>R36+#REF!+#REF!+#REF!+#REF!+#REF!+#REF!</f>
        <v>#REF!</v>
      </c>
      <c r="S51" s="1578"/>
      <c r="T51" s="1578"/>
      <c r="U51" s="1578" t="e">
        <f>U36+#REF!+#REF!+#REF!+#REF!+#REF!+#REF!</f>
        <v>#REF!</v>
      </c>
      <c r="V51" s="1578" t="e">
        <f>V36+#REF!+#REF!+#REF!+#REF!+#REF!+#REF!</f>
        <v>#REF!</v>
      </c>
      <c r="W51" s="1578" t="e">
        <f>W36+#REF!+#REF!+#REF!+#REF!+#REF!+#REF!</f>
        <v>#REF!</v>
      </c>
      <c r="X51" s="1578" t="e">
        <f>X36+#REF!+#REF!+#REF!+#REF!+#REF!+#REF!</f>
        <v>#REF!</v>
      </c>
      <c r="Y51" s="1578" t="e">
        <f>Y36+#REF!+#REF!+#REF!+#REF!+#REF!+#REF!</f>
        <v>#REF!</v>
      </c>
      <c r="AA51" s="1185"/>
    </row>
    <row r="52" spans="2:27" s="1184" customFormat="1" hidden="1" x14ac:dyDescent="0.25">
      <c r="B52" s="1533">
        <v>971</v>
      </c>
      <c r="C52" s="1568"/>
      <c r="D52" s="1569"/>
      <c r="E52" s="1570"/>
      <c r="F52" s="1578" t="e">
        <f>#REF!+#REF!+#REF!+#REF!+#REF!+#REF!</f>
        <v>#REF!</v>
      </c>
      <c r="G52" s="1578" t="e">
        <f>#REF!+#REF!+#REF!+#REF!+#REF!+#REF!</f>
        <v>#REF!</v>
      </c>
      <c r="H52" s="1578" t="e">
        <f>#REF!+#REF!+#REF!+#REF!+#REF!+#REF!</f>
        <v>#REF!</v>
      </c>
      <c r="I52" s="1578" t="e">
        <f>#REF!+#REF!+#REF!+#REF!+#REF!+#REF!</f>
        <v>#REF!</v>
      </c>
      <c r="J52" s="1578" t="e">
        <f>#REF!+#REF!+#REF!+#REF!+#REF!+#REF!</f>
        <v>#REF!</v>
      </c>
      <c r="K52" s="1578" t="e">
        <f>#REF!+#REF!+#REF!+#REF!+#REF!+#REF!</f>
        <v>#REF!</v>
      </c>
      <c r="L52" s="1578" t="e">
        <f>#REF!+#REF!+#REF!+#REF!+#REF!+#REF!</f>
        <v>#REF!</v>
      </c>
      <c r="M52" s="1578" t="e">
        <f>#REF!+#REF!+#REF!+#REF!+#REF!+#REF!</f>
        <v>#REF!</v>
      </c>
      <c r="N52" s="1578" t="e">
        <f>#REF!+#REF!+#REF!+#REF!+#REF!+#REF!</f>
        <v>#REF!</v>
      </c>
      <c r="O52" s="1578" t="e">
        <f>#REF!+#REF!+#REF!+#REF!+#REF!+#REF!</f>
        <v>#REF!</v>
      </c>
      <c r="P52" s="1578" t="e">
        <f>#REF!+#REF!+#REF!+#REF!+#REF!+#REF!</f>
        <v>#REF!</v>
      </c>
      <c r="Q52" s="1578" t="e">
        <f>#REF!+#REF!+#REF!+#REF!+#REF!+#REF!</f>
        <v>#REF!</v>
      </c>
      <c r="R52" s="1578" t="e">
        <f>#REF!+#REF!+#REF!+#REF!+#REF!+#REF!</f>
        <v>#REF!</v>
      </c>
      <c r="S52" s="1578"/>
      <c r="T52" s="1578"/>
      <c r="U52" s="1578" t="e">
        <f>#REF!+#REF!+#REF!+#REF!+#REF!+#REF!</f>
        <v>#REF!</v>
      </c>
      <c r="V52" s="1578" t="e">
        <f>#REF!+#REF!+#REF!+#REF!+#REF!+#REF!</f>
        <v>#REF!</v>
      </c>
      <c r="W52" s="1578" t="e">
        <f>#REF!+#REF!+#REF!+#REF!+#REF!+#REF!</f>
        <v>#REF!</v>
      </c>
      <c r="X52" s="1578" t="e">
        <f>#REF!+#REF!+#REF!+#REF!+#REF!+#REF!</f>
        <v>#REF!</v>
      </c>
      <c r="Y52" s="1578" t="e">
        <f>#REF!+#REF!+#REF!+#REF!+#REF!+#REF!</f>
        <v>#REF!</v>
      </c>
      <c r="AA52" s="1185"/>
    </row>
    <row r="53" spans="2:27" s="1184" customFormat="1" hidden="1" x14ac:dyDescent="0.25">
      <c r="B53" s="1533">
        <v>981</v>
      </c>
      <c r="C53" s="1568"/>
      <c r="D53" s="1569"/>
      <c r="E53" s="1570"/>
      <c r="F53" s="1578" t="e">
        <f>#REF!+F37+#REF!+#REF!+#REF!+#REF!+#REF!+#REF!+#REF!+#REF!+#REF!</f>
        <v>#REF!</v>
      </c>
      <c r="G53" s="1578" t="e">
        <f>#REF!+G37+#REF!+#REF!+#REF!+#REF!+#REF!+#REF!+#REF!+#REF!+#REF!</f>
        <v>#REF!</v>
      </c>
      <c r="H53" s="1578" t="e">
        <f>#REF!+H37+#REF!+#REF!+#REF!+#REF!+#REF!+#REF!+#REF!+#REF!+#REF!</f>
        <v>#REF!</v>
      </c>
      <c r="I53" s="1578" t="e">
        <f>#REF!+I37+#REF!+#REF!+#REF!+#REF!+#REF!+#REF!+#REF!+#REF!+#REF!</f>
        <v>#REF!</v>
      </c>
      <c r="J53" s="1578" t="e">
        <f>#REF!+J37+#REF!+#REF!+#REF!+#REF!+#REF!+#REF!+#REF!+#REF!+#REF!</f>
        <v>#REF!</v>
      </c>
      <c r="K53" s="1578" t="e">
        <f>#REF!+K37+#REF!+#REF!+#REF!+#REF!+#REF!+#REF!+#REF!+#REF!+#REF!</f>
        <v>#REF!</v>
      </c>
      <c r="L53" s="1578" t="e">
        <f>#REF!+L37+#REF!+#REF!+#REF!+#REF!+#REF!+#REF!+#REF!+#REF!+#REF!</f>
        <v>#REF!</v>
      </c>
      <c r="M53" s="1578" t="e">
        <f>#REF!+M37+#REF!+#REF!+#REF!+#REF!+#REF!+#REF!+#REF!+#REF!+#REF!</f>
        <v>#REF!</v>
      </c>
      <c r="N53" s="1578" t="e">
        <f>#REF!+N37+#REF!+#REF!+#REF!+#REF!+#REF!+#REF!+#REF!+#REF!+#REF!</f>
        <v>#REF!</v>
      </c>
      <c r="O53" s="1578" t="e">
        <f>#REF!+O37+#REF!+#REF!+#REF!+#REF!+#REF!+#REF!+#REF!+#REF!+#REF!</f>
        <v>#REF!</v>
      </c>
      <c r="P53" s="1578" t="e">
        <f>#REF!+P37+#REF!+#REF!+#REF!+#REF!+#REF!+#REF!+#REF!+#REF!+#REF!</f>
        <v>#REF!</v>
      </c>
      <c r="Q53" s="1578" t="e">
        <f>#REF!+Q37+#REF!+#REF!+#REF!+#REF!+#REF!+#REF!+#REF!+#REF!+#REF!</f>
        <v>#REF!</v>
      </c>
      <c r="R53" s="1578" t="e">
        <f>#REF!+R37+#REF!+#REF!+#REF!+#REF!+#REF!+#REF!+#REF!+#REF!+#REF!</f>
        <v>#REF!</v>
      </c>
      <c r="S53" s="1578"/>
      <c r="T53" s="1578"/>
      <c r="U53" s="1578" t="e">
        <f>#REF!+U37+#REF!+#REF!+#REF!+#REF!+#REF!+#REF!+#REF!+#REF!+#REF!</f>
        <v>#REF!</v>
      </c>
      <c r="V53" s="1578" t="e">
        <f>#REF!+V37+#REF!+#REF!+#REF!+#REF!+#REF!+#REF!+#REF!+#REF!+#REF!</f>
        <v>#REF!</v>
      </c>
      <c r="W53" s="1578" t="e">
        <f>#REF!+W37+#REF!+#REF!+#REF!+#REF!+#REF!+#REF!+#REF!+#REF!+#REF!</f>
        <v>#REF!</v>
      </c>
      <c r="X53" s="1578" t="e">
        <f>#REF!+X37+#REF!+#REF!+#REF!+#REF!+#REF!+#REF!+#REF!+#REF!+#REF!</f>
        <v>#REF!</v>
      </c>
      <c r="Y53" s="1578" t="e">
        <f>#REF!+Y37+#REF!+#REF!+#REF!+#REF!+#REF!+#REF!+#REF!+#REF!+#REF!</f>
        <v>#REF!</v>
      </c>
      <c r="AA53" s="1185"/>
    </row>
    <row r="54" spans="2:27" s="1184" customFormat="1" hidden="1" x14ac:dyDescent="0.25">
      <c r="B54" s="1533">
        <v>982</v>
      </c>
      <c r="C54" s="1568"/>
      <c r="D54" s="1569"/>
      <c r="E54" s="1570"/>
      <c r="F54" s="1578" t="e">
        <f>#REF!</f>
        <v>#REF!</v>
      </c>
      <c r="G54" s="1578" t="e">
        <f>#REF!</f>
        <v>#REF!</v>
      </c>
      <c r="H54" s="1578" t="e">
        <f>#REF!</f>
        <v>#REF!</v>
      </c>
      <c r="I54" s="1578" t="e">
        <f>#REF!</f>
        <v>#REF!</v>
      </c>
      <c r="J54" s="1578" t="e">
        <f>#REF!</f>
        <v>#REF!</v>
      </c>
      <c r="K54" s="1578" t="e">
        <f>#REF!</f>
        <v>#REF!</v>
      </c>
      <c r="L54" s="1578" t="e">
        <f>#REF!</f>
        <v>#REF!</v>
      </c>
      <c r="M54" s="1578" t="e">
        <f>#REF!</f>
        <v>#REF!</v>
      </c>
      <c r="N54" s="1578" t="e">
        <f>#REF!</f>
        <v>#REF!</v>
      </c>
      <c r="O54" s="1578" t="e">
        <f>#REF!</f>
        <v>#REF!</v>
      </c>
      <c r="P54" s="1578" t="e">
        <f>#REF!</f>
        <v>#REF!</v>
      </c>
      <c r="Q54" s="1578" t="e">
        <f>#REF!</f>
        <v>#REF!</v>
      </c>
      <c r="R54" s="1578" t="e">
        <f>#REF!</f>
        <v>#REF!</v>
      </c>
      <c r="S54" s="1578"/>
      <c r="T54" s="1578"/>
      <c r="U54" s="1578" t="e">
        <f>#REF!</f>
        <v>#REF!</v>
      </c>
      <c r="V54" s="1578" t="e">
        <f>#REF!</f>
        <v>#REF!</v>
      </c>
      <c r="W54" s="1578" t="e">
        <f>#REF!</f>
        <v>#REF!</v>
      </c>
      <c r="X54" s="1578" t="e">
        <f>#REF!</f>
        <v>#REF!</v>
      </c>
      <c r="Y54" s="1578" t="e">
        <f>#REF!</f>
        <v>#REF!</v>
      </c>
      <c r="AA54" s="1185"/>
    </row>
    <row r="55" spans="2:27" s="1184" customFormat="1" hidden="1" x14ac:dyDescent="0.25">
      <c r="B55" s="1533">
        <v>983</v>
      </c>
      <c r="C55" s="1568"/>
      <c r="D55" s="1569"/>
      <c r="E55" s="1570"/>
      <c r="F55" s="1578" t="e">
        <f>#REF!+#REF!</f>
        <v>#REF!</v>
      </c>
      <c r="G55" s="1578" t="e">
        <f>#REF!+#REF!</f>
        <v>#REF!</v>
      </c>
      <c r="H55" s="1578" t="e">
        <f>#REF!+#REF!</f>
        <v>#REF!</v>
      </c>
      <c r="I55" s="1578" t="e">
        <f>#REF!+#REF!</f>
        <v>#REF!</v>
      </c>
      <c r="J55" s="1578" t="e">
        <f>#REF!+#REF!</f>
        <v>#REF!</v>
      </c>
      <c r="K55" s="1578" t="e">
        <f>#REF!+#REF!</f>
        <v>#REF!</v>
      </c>
      <c r="L55" s="1578" t="e">
        <f>#REF!+#REF!</f>
        <v>#REF!</v>
      </c>
      <c r="M55" s="1578" t="e">
        <f>#REF!+#REF!</f>
        <v>#REF!</v>
      </c>
      <c r="N55" s="1578" t="e">
        <f>#REF!+#REF!</f>
        <v>#REF!</v>
      </c>
      <c r="O55" s="1578" t="e">
        <f>#REF!+#REF!</f>
        <v>#REF!</v>
      </c>
      <c r="P55" s="1578" t="e">
        <f>#REF!+#REF!</f>
        <v>#REF!</v>
      </c>
      <c r="Q55" s="1578" t="e">
        <f>#REF!+#REF!</f>
        <v>#REF!</v>
      </c>
      <c r="R55" s="1578" t="e">
        <f>#REF!+#REF!</f>
        <v>#REF!</v>
      </c>
      <c r="S55" s="1578"/>
      <c r="T55" s="1578"/>
      <c r="U55" s="1578" t="e">
        <f>#REF!+#REF!</f>
        <v>#REF!</v>
      </c>
      <c r="V55" s="1578" t="e">
        <f>#REF!+#REF!</f>
        <v>#REF!</v>
      </c>
      <c r="W55" s="1578" t="e">
        <f>#REF!+#REF!</f>
        <v>#REF!</v>
      </c>
      <c r="X55" s="1578" t="e">
        <f>#REF!+#REF!</f>
        <v>#REF!</v>
      </c>
      <c r="Y55" s="1578" t="e">
        <f>#REF!+#REF!</f>
        <v>#REF!</v>
      </c>
      <c r="AA55" s="1185"/>
    </row>
    <row r="56" spans="2:27" s="1184" customFormat="1" hidden="1" x14ac:dyDescent="0.25">
      <c r="B56" s="1533">
        <v>985</v>
      </c>
      <c r="C56" s="1568"/>
      <c r="D56" s="1569"/>
      <c r="E56" s="1570"/>
      <c r="F56" s="1578" t="e">
        <f>#REF!+#REF!+#REF!+#REF!</f>
        <v>#REF!</v>
      </c>
      <c r="G56" s="1578" t="e">
        <f>#REF!+#REF!+#REF!+#REF!</f>
        <v>#REF!</v>
      </c>
      <c r="H56" s="1578" t="e">
        <f>#REF!+#REF!+#REF!+#REF!</f>
        <v>#REF!</v>
      </c>
      <c r="I56" s="1578" t="e">
        <f>#REF!+#REF!+#REF!+#REF!</f>
        <v>#REF!</v>
      </c>
      <c r="J56" s="1578" t="e">
        <f>#REF!+#REF!+#REF!+#REF!</f>
        <v>#REF!</v>
      </c>
      <c r="K56" s="1578" t="e">
        <f>#REF!+#REF!+#REF!+#REF!</f>
        <v>#REF!</v>
      </c>
      <c r="L56" s="1578" t="e">
        <f>#REF!+#REF!+#REF!+#REF!</f>
        <v>#REF!</v>
      </c>
      <c r="M56" s="1578" t="e">
        <f>#REF!+#REF!+#REF!+#REF!</f>
        <v>#REF!</v>
      </c>
      <c r="N56" s="1578" t="e">
        <f>#REF!+#REF!+#REF!+#REF!</f>
        <v>#REF!</v>
      </c>
      <c r="O56" s="1578" t="e">
        <f>#REF!+#REF!+#REF!+#REF!</f>
        <v>#REF!</v>
      </c>
      <c r="P56" s="1578" t="e">
        <f>#REF!+#REF!+#REF!+#REF!</f>
        <v>#REF!</v>
      </c>
      <c r="Q56" s="1578" t="e">
        <f>#REF!+#REF!+#REF!+#REF!</f>
        <v>#REF!</v>
      </c>
      <c r="R56" s="1578" t="e">
        <f>#REF!+#REF!+#REF!+#REF!</f>
        <v>#REF!</v>
      </c>
      <c r="S56" s="1578"/>
      <c r="T56" s="1578"/>
      <c r="U56" s="1578" t="e">
        <f>#REF!+#REF!+#REF!+#REF!</f>
        <v>#REF!</v>
      </c>
      <c r="V56" s="1578" t="e">
        <f>#REF!+#REF!+#REF!+#REF!</f>
        <v>#REF!</v>
      </c>
      <c r="W56" s="1578" t="e">
        <f>#REF!+#REF!+#REF!+#REF!</f>
        <v>#REF!</v>
      </c>
      <c r="X56" s="1578" t="e">
        <f>#REF!+#REF!+#REF!+#REF!</f>
        <v>#REF!</v>
      </c>
      <c r="Y56" s="1578" t="e">
        <f>#REF!+#REF!+#REF!+#REF!</f>
        <v>#REF!</v>
      </c>
      <c r="AA56" s="1185"/>
    </row>
    <row r="57" spans="2:27" s="1184" customFormat="1" hidden="1" x14ac:dyDescent="0.25">
      <c r="B57" s="1533">
        <v>986</v>
      </c>
      <c r="C57" s="1568"/>
      <c r="D57" s="1569"/>
      <c r="E57" s="1570"/>
      <c r="F57" s="1578" t="e">
        <f>#REF!</f>
        <v>#REF!</v>
      </c>
      <c r="G57" s="1578" t="e">
        <f>#REF!</f>
        <v>#REF!</v>
      </c>
      <c r="H57" s="1578" t="e">
        <f>#REF!</f>
        <v>#REF!</v>
      </c>
      <c r="I57" s="1578" t="e">
        <f>#REF!</f>
        <v>#REF!</v>
      </c>
      <c r="J57" s="1578" t="e">
        <f>#REF!</f>
        <v>#REF!</v>
      </c>
      <c r="K57" s="1578" t="e">
        <f>#REF!</f>
        <v>#REF!</v>
      </c>
      <c r="L57" s="1578" t="e">
        <f>#REF!</f>
        <v>#REF!</v>
      </c>
      <c r="M57" s="1578" t="e">
        <f>#REF!</f>
        <v>#REF!</v>
      </c>
      <c r="N57" s="1578" t="e">
        <f>#REF!</f>
        <v>#REF!</v>
      </c>
      <c r="O57" s="1578" t="e">
        <f>#REF!</f>
        <v>#REF!</v>
      </c>
      <c r="P57" s="1578" t="e">
        <f>#REF!</f>
        <v>#REF!</v>
      </c>
      <c r="Q57" s="1578" t="e">
        <f>#REF!</f>
        <v>#REF!</v>
      </c>
      <c r="R57" s="1578" t="e">
        <f>#REF!</f>
        <v>#REF!</v>
      </c>
      <c r="S57" s="1578"/>
      <c r="T57" s="1578"/>
      <c r="U57" s="1578" t="e">
        <f>#REF!</f>
        <v>#REF!</v>
      </c>
      <c r="V57" s="1578" t="e">
        <f>#REF!</f>
        <v>#REF!</v>
      </c>
      <c r="W57" s="1578" t="e">
        <f>#REF!</f>
        <v>#REF!</v>
      </c>
      <c r="X57" s="1578" t="e">
        <f>#REF!</f>
        <v>#REF!</v>
      </c>
      <c r="Y57" s="1578" t="e">
        <f>#REF!</f>
        <v>#REF!</v>
      </c>
      <c r="AA57" s="1185"/>
    </row>
    <row r="58" spans="2:27" s="1184" customFormat="1" hidden="1" x14ac:dyDescent="0.25">
      <c r="B58" s="1500"/>
      <c r="C58" s="1185"/>
      <c r="D58" s="1222"/>
      <c r="E58" s="1579"/>
      <c r="F58" s="1186" t="e">
        <f>SUM(F39:F57)</f>
        <v>#REF!</v>
      </c>
      <c r="G58" s="1186" t="e">
        <f t="shared" ref="G58:Y58" si="9">SUM(G39:G57)</f>
        <v>#REF!</v>
      </c>
      <c r="H58" s="1186" t="e">
        <f t="shared" si="9"/>
        <v>#REF!</v>
      </c>
      <c r="I58" s="1186" t="e">
        <f t="shared" si="9"/>
        <v>#REF!</v>
      </c>
      <c r="J58" s="1186" t="e">
        <f t="shared" si="9"/>
        <v>#REF!</v>
      </c>
      <c r="K58" s="1186" t="e">
        <f t="shared" si="9"/>
        <v>#REF!</v>
      </c>
      <c r="L58" s="1186" t="e">
        <f t="shared" si="9"/>
        <v>#REF!</v>
      </c>
      <c r="M58" s="1186" t="e">
        <f t="shared" si="9"/>
        <v>#REF!</v>
      </c>
      <c r="N58" s="1186" t="e">
        <f t="shared" si="9"/>
        <v>#REF!</v>
      </c>
      <c r="O58" s="1186" t="e">
        <f t="shared" si="9"/>
        <v>#REF!</v>
      </c>
      <c r="P58" s="1186" t="e">
        <f t="shared" si="9"/>
        <v>#REF!</v>
      </c>
      <c r="Q58" s="1186" t="e">
        <f t="shared" si="9"/>
        <v>#REF!</v>
      </c>
      <c r="R58" s="1186" t="e">
        <f>SUM(R39:R57)</f>
        <v>#REF!</v>
      </c>
      <c r="S58" s="1186"/>
      <c r="T58" s="1186"/>
      <c r="U58" s="1186" t="e">
        <f t="shared" si="9"/>
        <v>#REF!</v>
      </c>
      <c r="V58" s="1186" t="e">
        <f t="shared" si="9"/>
        <v>#REF!</v>
      </c>
      <c r="W58" s="1186" t="e">
        <f t="shared" si="9"/>
        <v>#REF!</v>
      </c>
      <c r="X58" s="1186" t="e">
        <f t="shared" si="9"/>
        <v>#REF!</v>
      </c>
      <c r="Y58" s="1186" t="e">
        <f t="shared" si="9"/>
        <v>#REF!</v>
      </c>
      <c r="AA58" s="1185"/>
    </row>
    <row r="59" spans="2:27" s="1184" customFormat="1" hidden="1" x14ac:dyDescent="0.25">
      <c r="B59" s="1500"/>
      <c r="C59" s="1185"/>
      <c r="D59" s="1222"/>
      <c r="E59" s="1579"/>
      <c r="F59" s="1186" t="e">
        <f>#REF!-F58</f>
        <v>#REF!</v>
      </c>
      <c r="G59" s="1186" t="e">
        <f>#REF!-G58</f>
        <v>#REF!</v>
      </c>
      <c r="H59" s="1186" t="e">
        <f>#REF!-H58</f>
        <v>#REF!</v>
      </c>
      <c r="I59" s="1186" t="e">
        <f>#REF!-I58</f>
        <v>#REF!</v>
      </c>
      <c r="J59" s="1186" t="e">
        <f>#REF!-J58</f>
        <v>#REF!</v>
      </c>
      <c r="K59" s="1186" t="e">
        <f>#REF!-K58</f>
        <v>#REF!</v>
      </c>
      <c r="L59" s="1186" t="e">
        <f>#REF!-L58</f>
        <v>#REF!</v>
      </c>
      <c r="M59" s="1186" t="e">
        <f>#REF!-M58</f>
        <v>#REF!</v>
      </c>
      <c r="N59" s="1186" t="e">
        <f>#REF!-N58</f>
        <v>#REF!</v>
      </c>
      <c r="O59" s="1186" t="e">
        <f>#REF!-O58</f>
        <v>#REF!</v>
      </c>
      <c r="P59" s="1186" t="e">
        <f>#REF!-P58</f>
        <v>#REF!</v>
      </c>
      <c r="Q59" s="1186" t="e">
        <f>#REF!-Q58</f>
        <v>#REF!</v>
      </c>
      <c r="R59" s="1186" t="e">
        <f>#REF!-R58</f>
        <v>#REF!</v>
      </c>
      <c r="S59" s="1186"/>
      <c r="T59" s="1186"/>
      <c r="U59" s="1186" t="e">
        <f>#REF!-U58</f>
        <v>#REF!</v>
      </c>
      <c r="V59" s="1186" t="e">
        <f>#REF!-V58</f>
        <v>#REF!</v>
      </c>
      <c r="W59" s="1186" t="e">
        <f>#REF!-W58</f>
        <v>#REF!</v>
      </c>
      <c r="X59" s="1186" t="e">
        <f>#REF!-X58</f>
        <v>#REF!</v>
      </c>
      <c r="Y59" s="1186" t="e">
        <f>#REF!-Y58</f>
        <v>#REF!</v>
      </c>
      <c r="AA59" s="1185"/>
    </row>
    <row r="60" spans="2:27" s="1184" customFormat="1" hidden="1" x14ac:dyDescent="0.25">
      <c r="B60" s="1500"/>
      <c r="C60" s="1185"/>
      <c r="D60" s="1222"/>
      <c r="E60" s="1579"/>
      <c r="F60" s="1222" t="e">
        <f>F59</f>
        <v>#REF!</v>
      </c>
      <c r="G60" s="1222"/>
      <c r="H60" s="1222"/>
      <c r="I60" s="1222"/>
      <c r="J60" s="1222"/>
      <c r="K60" s="1222"/>
      <c r="L60" s="1222"/>
      <c r="M60" s="1222"/>
      <c r="N60" s="1222"/>
      <c r="O60" s="1222"/>
      <c r="P60" s="1222"/>
      <c r="Q60" s="1222"/>
      <c r="R60" s="1222"/>
      <c r="S60" s="1222"/>
      <c r="T60" s="1222"/>
      <c r="U60" s="1222"/>
      <c r="V60" s="1222"/>
      <c r="W60" s="1222"/>
      <c r="X60" s="1222"/>
      <c r="Y60" s="1222"/>
      <c r="Z60" s="1222" t="e">
        <f>#REF!-Z59</f>
        <v>#REF!</v>
      </c>
      <c r="AA60" s="1185"/>
    </row>
    <row r="61" spans="2:27" x14ac:dyDescent="0.25">
      <c r="D61" s="1576"/>
      <c r="E61" s="1576"/>
      <c r="F61" s="1576"/>
      <c r="G61" s="1576"/>
      <c r="H61" s="1576"/>
      <c r="I61" s="1576"/>
      <c r="J61" s="1576"/>
      <c r="K61" s="1576"/>
      <c r="L61" s="1576"/>
      <c r="M61" s="1576"/>
      <c r="N61" s="1576"/>
      <c r="O61" s="1576"/>
      <c r="P61" s="1576"/>
      <c r="Q61" s="1576"/>
      <c r="R61" s="1576"/>
      <c r="S61" s="1576"/>
      <c r="T61" s="1576"/>
      <c r="U61" s="1576"/>
      <c r="V61" s="1576"/>
      <c r="W61" s="1576"/>
      <c r="X61" s="1576"/>
      <c r="Y61" s="1576"/>
      <c r="Z61" s="1576"/>
    </row>
    <row r="62" spans="2:27" x14ac:dyDescent="0.25">
      <c r="D62" s="1576"/>
      <c r="E62" s="1576"/>
      <c r="F62" s="1576"/>
      <c r="G62" s="1576"/>
      <c r="H62" s="1576"/>
      <c r="I62" s="1576"/>
      <c r="J62" s="1576"/>
      <c r="K62" s="1576"/>
      <c r="L62" s="1576"/>
      <c r="M62" s="1576"/>
      <c r="N62" s="1576"/>
      <c r="O62" s="1576"/>
      <c r="P62" s="1576"/>
      <c r="Q62" s="1576"/>
      <c r="R62" s="1576"/>
      <c r="S62" s="1576"/>
      <c r="T62" s="1576"/>
      <c r="U62" s="1576"/>
      <c r="V62" s="1576"/>
      <c r="W62" s="1576"/>
      <c r="X62" s="1576"/>
      <c r="Y62" s="1576"/>
      <c r="Z62" s="1576"/>
    </row>
  </sheetData>
  <autoFilter ref="A10:XEJ27" xr:uid="{00000000-0009-0000-0000-00001F000000}"/>
  <mergeCells count="41">
    <mergeCell ref="B5:B9"/>
    <mergeCell ref="C5:C9"/>
    <mergeCell ref="D5:G6"/>
    <mergeCell ref="H5:O5"/>
    <mergeCell ref="P5:U5"/>
    <mergeCell ref="D7:D9"/>
    <mergeCell ref="E7:E9"/>
    <mergeCell ref="F7:G7"/>
    <mergeCell ref="L7:L9"/>
    <mergeCell ref="F30:G30"/>
    <mergeCell ref="J30:K30"/>
    <mergeCell ref="N30:O30"/>
    <mergeCell ref="R30:U30"/>
    <mergeCell ref="W7:W9"/>
    <mergeCell ref="R8:R9"/>
    <mergeCell ref="S8:T8"/>
    <mergeCell ref="U8:U9"/>
    <mergeCell ref="M7:M9"/>
    <mergeCell ref="N7:O7"/>
    <mergeCell ref="P7:P9"/>
    <mergeCell ref="Q7:Q9"/>
    <mergeCell ref="R7:U7"/>
    <mergeCell ref="V7:V9"/>
    <mergeCell ref="H7:H9"/>
    <mergeCell ref="I7:I9"/>
    <mergeCell ref="A2:Z2"/>
    <mergeCell ref="A3:Z3"/>
    <mergeCell ref="A11:Y11"/>
    <mergeCell ref="A12:Y12"/>
    <mergeCell ref="Z14:Z19"/>
    <mergeCell ref="X7:Y7"/>
    <mergeCell ref="X9:Y9"/>
    <mergeCell ref="V5:W6"/>
    <mergeCell ref="X5:X6"/>
    <mergeCell ref="Y5:Y6"/>
    <mergeCell ref="Z5:Z9"/>
    <mergeCell ref="H6:K6"/>
    <mergeCell ref="L6:O6"/>
    <mergeCell ref="P6:U6"/>
    <mergeCell ref="J7:K7"/>
    <mergeCell ref="A5:A9"/>
  </mergeCells>
  <pageMargins left="0.70866141732283472" right="0.70866141732283472" top="0.74803149606299213" bottom="0.74803149606299213" header="0.31496062992125984" footer="0.31496062992125984"/>
  <pageSetup paperSize="9" scale="42" orientation="landscape" r:id="rId1"/>
  <rowBreaks count="1" manualBreakCount="1">
    <brk id="10" min="16" max="2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FFFF"/>
  </sheetPr>
  <dimension ref="A1:E17"/>
  <sheetViews>
    <sheetView view="pageBreakPreview" topLeftCell="A7" zoomScale="80" zoomScaleNormal="100" zoomScaleSheetLayoutView="80" workbookViewId="0">
      <selection activeCell="F9" sqref="F9"/>
    </sheetView>
  </sheetViews>
  <sheetFormatPr defaultRowHeight="39.75" customHeight="1" x14ac:dyDescent="0.25"/>
  <cols>
    <col min="1" max="1" width="81.33203125" style="313" customWidth="1"/>
    <col min="2" max="2" width="10" style="313" customWidth="1"/>
    <col min="3" max="5" width="25.83203125" style="313" customWidth="1"/>
    <col min="6" max="16384" width="9.33203125" style="313"/>
  </cols>
  <sheetData>
    <row r="1" spans="1:5" ht="55.5" customHeight="1" x14ac:dyDescent="0.25">
      <c r="A1" s="2584" t="s">
        <v>734</v>
      </c>
      <c r="B1" s="2584"/>
      <c r="C1" s="2584"/>
      <c r="D1" s="2584"/>
      <c r="E1" s="2584"/>
    </row>
    <row r="2" spans="1:5" ht="34.5" customHeight="1" x14ac:dyDescent="0.25">
      <c r="A2" s="2584" t="s">
        <v>1253</v>
      </c>
      <c r="B2" s="2584"/>
      <c r="C2" s="2584"/>
      <c r="D2" s="2584"/>
      <c r="E2" s="2584"/>
    </row>
    <row r="3" spans="1:5" ht="13.5" customHeight="1" x14ac:dyDescent="0.25">
      <c r="A3" s="333"/>
      <c r="B3" s="333"/>
      <c r="C3" s="333"/>
      <c r="D3" s="333"/>
      <c r="E3" s="333"/>
    </row>
    <row r="4" spans="1:5" ht="39.75" customHeight="1" x14ac:dyDescent="0.25">
      <c r="A4" s="2585" t="s">
        <v>416</v>
      </c>
      <c r="B4" s="2585" t="s">
        <v>417</v>
      </c>
      <c r="C4" s="2585" t="s">
        <v>418</v>
      </c>
      <c r="D4" s="2585"/>
      <c r="E4" s="2585"/>
    </row>
    <row r="5" spans="1:5" ht="39.75" customHeight="1" x14ac:dyDescent="0.25">
      <c r="A5" s="2585"/>
      <c r="B5" s="2585"/>
      <c r="C5" s="363" t="s">
        <v>492</v>
      </c>
      <c r="D5" s="363" t="s">
        <v>492</v>
      </c>
      <c r="E5" s="363" t="s">
        <v>492</v>
      </c>
    </row>
    <row r="6" spans="1:5" ht="39.75" customHeight="1" x14ac:dyDescent="0.25">
      <c r="A6" s="2585"/>
      <c r="B6" s="2585"/>
      <c r="C6" s="363" t="s">
        <v>419</v>
      </c>
      <c r="D6" s="363" t="s">
        <v>420</v>
      </c>
      <c r="E6" s="363" t="s">
        <v>421</v>
      </c>
    </row>
    <row r="7" spans="1:5" ht="16.5" customHeight="1" x14ac:dyDescent="0.25">
      <c r="A7" s="363">
        <v>1</v>
      </c>
      <c r="B7" s="363">
        <v>2</v>
      </c>
      <c r="C7" s="363">
        <v>3</v>
      </c>
      <c r="D7" s="363">
        <v>4</v>
      </c>
      <c r="E7" s="363">
        <v>5</v>
      </c>
    </row>
    <row r="8" spans="1:5" ht="20.25" customHeight="1" x14ac:dyDescent="0.25">
      <c r="A8" s="364" t="s">
        <v>539</v>
      </c>
      <c r="B8" s="363">
        <v>100</v>
      </c>
      <c r="C8" s="364"/>
      <c r="D8" s="364"/>
      <c r="E8" s="364"/>
    </row>
    <row r="9" spans="1:5" ht="20.25" customHeight="1" x14ac:dyDescent="0.25">
      <c r="A9" s="364" t="s">
        <v>540</v>
      </c>
      <c r="B9" s="363">
        <v>200</v>
      </c>
      <c r="C9" s="364"/>
      <c r="D9" s="364"/>
      <c r="E9" s="364"/>
    </row>
    <row r="10" spans="1:5" ht="30.75" customHeight="1" x14ac:dyDescent="0.25">
      <c r="A10" s="364" t="s">
        <v>541</v>
      </c>
      <c r="B10" s="363">
        <v>300</v>
      </c>
      <c r="C10" s="364"/>
      <c r="D10" s="364"/>
      <c r="E10" s="364"/>
    </row>
    <row r="11" spans="1:5" ht="30.75" customHeight="1" x14ac:dyDescent="0.25">
      <c r="A11" s="364" t="s">
        <v>542</v>
      </c>
      <c r="B11" s="363">
        <v>301</v>
      </c>
      <c r="C11" s="364"/>
      <c r="D11" s="364"/>
      <c r="E11" s="364"/>
    </row>
    <row r="12" spans="1:5" ht="20.25" customHeight="1" x14ac:dyDescent="0.25">
      <c r="A12" s="364" t="s">
        <v>543</v>
      </c>
      <c r="B12" s="363">
        <v>302</v>
      </c>
      <c r="C12" s="364"/>
      <c r="D12" s="364"/>
      <c r="E12" s="364"/>
    </row>
    <row r="13" spans="1:5" ht="30.75" customHeight="1" x14ac:dyDescent="0.25">
      <c r="A13" s="364" t="s">
        <v>544</v>
      </c>
      <c r="B13" s="363">
        <v>303</v>
      </c>
      <c r="C13" s="364"/>
      <c r="D13" s="364"/>
      <c r="E13" s="364"/>
    </row>
    <row r="14" spans="1:5" ht="30.75" customHeight="1" x14ac:dyDescent="0.25">
      <c r="A14" s="364" t="s">
        <v>545</v>
      </c>
      <c r="B14" s="363">
        <v>304</v>
      </c>
      <c r="C14" s="364"/>
      <c r="D14" s="364"/>
      <c r="E14" s="364"/>
    </row>
    <row r="15" spans="1:5" ht="22.5" customHeight="1" x14ac:dyDescent="0.25">
      <c r="A15" s="364" t="s">
        <v>516</v>
      </c>
      <c r="B15" s="363">
        <v>400</v>
      </c>
      <c r="C15" s="364"/>
      <c r="D15" s="364"/>
      <c r="E15" s="364"/>
    </row>
    <row r="16" spans="1:5" ht="22.5" customHeight="1" x14ac:dyDescent="0.25">
      <c r="A16" s="364" t="s">
        <v>517</v>
      </c>
      <c r="B16" s="363">
        <v>500</v>
      </c>
      <c r="C16" s="364"/>
      <c r="D16" s="364"/>
      <c r="E16" s="364"/>
    </row>
    <row r="17" spans="1:5" s="319" customFormat="1" ht="49.5" customHeight="1" x14ac:dyDescent="0.25">
      <c r="A17" s="317" t="s">
        <v>546</v>
      </c>
      <c r="B17" s="318">
        <v>600</v>
      </c>
      <c r="C17" s="317"/>
      <c r="D17" s="317"/>
      <c r="E17" s="317"/>
    </row>
  </sheetData>
  <mergeCells count="5">
    <mergeCell ref="A1:E1"/>
    <mergeCell ref="A2:E2"/>
    <mergeCell ref="A4:A6"/>
    <mergeCell ref="B4:B6"/>
    <mergeCell ref="C4:E4"/>
  </mergeCells>
  <pageMargins left="0.7" right="0.7" top="0.75" bottom="0.75" header="0.3" footer="0.3"/>
  <pageSetup paperSize="9" scale="5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FFFF"/>
  </sheetPr>
  <dimension ref="A1:H35"/>
  <sheetViews>
    <sheetView view="pageBreakPreview" zoomScale="90" zoomScaleNormal="100" zoomScaleSheetLayoutView="90" workbookViewId="0">
      <pane xSplit="4" ySplit="7" topLeftCell="E8" activePane="bottomRight" state="frozen"/>
      <selection pane="topRight" activeCell="E1" sqref="E1"/>
      <selection pane="bottomLeft" activeCell="A8" sqref="A8"/>
      <selection pane="bottomRight" activeCell="C8" sqref="C8:C9"/>
    </sheetView>
  </sheetViews>
  <sheetFormatPr defaultRowHeight="15" x14ac:dyDescent="0.25"/>
  <cols>
    <col min="1" max="1" width="67.83203125" style="511" customWidth="1"/>
    <col min="2" max="2" width="10.83203125" style="511" customWidth="1"/>
    <col min="3" max="3" width="26.33203125" style="511" customWidth="1"/>
    <col min="4" max="5" width="29" style="511" customWidth="1"/>
    <col min="6" max="6" width="13" style="511" customWidth="1"/>
    <col min="7" max="8" width="14.1640625" style="511" bestFit="1" customWidth="1"/>
    <col min="9" max="16384" width="9.33203125" style="511"/>
  </cols>
  <sheetData>
    <row r="1" spans="1:5" ht="39" customHeight="1" x14ac:dyDescent="0.25">
      <c r="A1" s="2586" t="s">
        <v>1685</v>
      </c>
      <c r="B1" s="2586"/>
      <c r="C1" s="2586"/>
      <c r="D1" s="2586"/>
      <c r="E1" s="2586"/>
    </row>
    <row r="2" spans="1:5" x14ac:dyDescent="0.25">
      <c r="A2" s="2587" t="s">
        <v>1253</v>
      </c>
      <c r="B2" s="2587"/>
      <c r="C2" s="2587"/>
      <c r="D2" s="2587"/>
      <c r="E2" s="2587"/>
    </row>
    <row r="3" spans="1:5" x14ac:dyDescent="0.25">
      <c r="A3" s="771"/>
      <c r="B3" s="771"/>
      <c r="C3" s="771"/>
      <c r="D3" s="771"/>
      <c r="E3" s="727">
        <v>43829</v>
      </c>
    </row>
    <row r="4" spans="1:5" x14ac:dyDescent="0.25">
      <c r="A4" s="2494" t="s">
        <v>416</v>
      </c>
      <c r="B4" s="2494" t="s">
        <v>417</v>
      </c>
      <c r="C4" s="2494" t="s">
        <v>418</v>
      </c>
      <c r="D4" s="2494"/>
      <c r="E4" s="2494"/>
    </row>
    <row r="5" spans="1:5" ht="20.25" customHeight="1" x14ac:dyDescent="0.25">
      <c r="A5" s="2494"/>
      <c r="B5" s="2494"/>
      <c r="C5" s="765" t="s">
        <v>428</v>
      </c>
      <c r="D5" s="765" t="s">
        <v>429</v>
      </c>
      <c r="E5" s="765" t="s">
        <v>430</v>
      </c>
    </row>
    <row r="6" spans="1:5" ht="47.25" customHeight="1" x14ac:dyDescent="0.25">
      <c r="A6" s="2494"/>
      <c r="B6" s="2494"/>
      <c r="C6" s="765" t="s">
        <v>419</v>
      </c>
      <c r="D6" s="765" t="s">
        <v>420</v>
      </c>
      <c r="E6" s="765" t="s">
        <v>421</v>
      </c>
    </row>
    <row r="7" spans="1:5" x14ac:dyDescent="0.25">
      <c r="A7" s="765">
        <v>1</v>
      </c>
      <c r="B7" s="765">
        <v>2</v>
      </c>
      <c r="C7" s="765">
        <v>3</v>
      </c>
      <c r="D7" s="765">
        <v>4</v>
      </c>
      <c r="E7" s="765">
        <v>5</v>
      </c>
    </row>
    <row r="8" spans="1:5" ht="60" customHeight="1" x14ac:dyDescent="0.25">
      <c r="A8" s="517" t="s">
        <v>437</v>
      </c>
      <c r="B8" s="765">
        <v>100</v>
      </c>
      <c r="C8" s="518">
        <v>10.029999999999999</v>
      </c>
      <c r="D8" s="518"/>
      <c r="E8" s="518"/>
    </row>
    <row r="9" spans="1:5" ht="42" customHeight="1" x14ac:dyDescent="0.25">
      <c r="A9" s="517" t="s">
        <v>438</v>
      </c>
      <c r="B9" s="765">
        <v>200</v>
      </c>
      <c r="C9" s="518"/>
      <c r="D9" s="518"/>
      <c r="E9" s="518"/>
    </row>
    <row r="10" spans="1:5" s="1986" customFormat="1" ht="17.25" customHeight="1" x14ac:dyDescent="0.25">
      <c r="A10" s="1984" t="s">
        <v>439</v>
      </c>
      <c r="B10" s="1985">
        <v>300</v>
      </c>
      <c r="C10" s="1931">
        <f>SUM(C12:C30)</f>
        <v>3931300</v>
      </c>
      <c r="D10" s="1931">
        <f t="shared" ref="D10:E10" si="0">SUM(D12:D30)</f>
        <v>3970600</v>
      </c>
      <c r="E10" s="1931">
        <f t="shared" si="0"/>
        <v>4012200</v>
      </c>
    </row>
    <row r="11" spans="1:5" x14ac:dyDescent="0.25">
      <c r="A11" s="517" t="s">
        <v>440</v>
      </c>
      <c r="B11" s="517"/>
      <c r="C11" s="518"/>
      <c r="D11" s="518"/>
      <c r="E11" s="518"/>
    </row>
    <row r="12" spans="1:5" x14ac:dyDescent="0.25">
      <c r="A12" s="517" t="s">
        <v>442</v>
      </c>
      <c r="B12" s="765">
        <v>301</v>
      </c>
      <c r="C12" s="518"/>
      <c r="D12" s="518"/>
      <c r="E12" s="518"/>
    </row>
    <row r="13" spans="1:5" x14ac:dyDescent="0.25">
      <c r="A13" s="517" t="s">
        <v>441</v>
      </c>
      <c r="B13" s="765">
        <v>302</v>
      </c>
      <c r="C13" s="518">
        <f>'б-т 922 (01.01.20)'!R83*1000</f>
        <v>43100</v>
      </c>
      <c r="D13" s="518">
        <f>'б-т 922 (01.01.20)'!U83*1000</f>
        <v>43100</v>
      </c>
      <c r="E13" s="518">
        <f>'б-т 922 (01.01.20)'!V83*1000</f>
        <v>43100</v>
      </c>
    </row>
    <row r="14" spans="1:5" x14ac:dyDescent="0.25">
      <c r="A14" s="517" t="s">
        <v>443</v>
      </c>
      <c r="B14" s="765">
        <v>303</v>
      </c>
      <c r="C14" s="518">
        <f>'б-т 931,932,933 (01.01.20)'!S39*1000</f>
        <v>1218400</v>
      </c>
      <c r="D14" s="518">
        <f>'б-т 931,932,933 (01.01.20)'!T39*1000</f>
        <v>1218400</v>
      </c>
      <c r="E14" s="518">
        <f>'б-т 931,932,933 (01.01.20)'!U39*1000</f>
        <v>1218400</v>
      </c>
    </row>
    <row r="15" spans="1:5" x14ac:dyDescent="0.25">
      <c r="A15" s="517" t="s">
        <v>824</v>
      </c>
      <c r="B15" s="765">
        <v>304</v>
      </c>
      <c r="C15" s="518">
        <f>'б-т 934 (01.01.20)'!J18*1000</f>
        <v>93700</v>
      </c>
      <c r="D15" s="518">
        <f>'б-т 934 (01.01.20)'!K18*1000</f>
        <v>93700</v>
      </c>
      <c r="E15" s="518">
        <f>'б-т 934 (01.01.20)'!L18*1000</f>
        <v>93700</v>
      </c>
    </row>
    <row r="16" spans="1:5" x14ac:dyDescent="0.25">
      <c r="A16" s="517" t="s">
        <v>575</v>
      </c>
      <c r="B16" s="765">
        <v>305</v>
      </c>
      <c r="C16" s="518">
        <f>'б-т 927 (01.01.20)'!P37*1000</f>
        <v>1004500</v>
      </c>
      <c r="D16" s="518">
        <f>'б-т 927 (01.01.20)'!T37*1000</f>
        <v>1043800</v>
      </c>
      <c r="E16" s="518">
        <f>'б-т 927 (01.01.20)'!W37*1000</f>
        <v>1085400</v>
      </c>
    </row>
    <row r="17" spans="1:8" x14ac:dyDescent="0.25">
      <c r="A17" s="517" t="s">
        <v>444</v>
      </c>
      <c r="B17" s="765">
        <v>306</v>
      </c>
      <c r="C17" s="518"/>
      <c r="D17" s="518"/>
      <c r="E17" s="518"/>
    </row>
    <row r="18" spans="1:8" x14ac:dyDescent="0.25">
      <c r="A18" s="517" t="s">
        <v>445</v>
      </c>
      <c r="B18" s="765">
        <v>307</v>
      </c>
      <c r="C18" s="518">
        <f>('б-т 941 (01.01.20)'!P33+'б-т 942 (01.01.20)'!Q19+'б-т 947 (01.01.20)'!Q47)*1000</f>
        <v>424300</v>
      </c>
      <c r="D18" s="518">
        <f>('б-т 941 (01.01.20)'!T33+'б-т 942 (01.01.20)'!U16+'б-т 947 (01.01.20)'!X44)*1000</f>
        <v>424300</v>
      </c>
      <c r="E18" s="518">
        <f>('б-т 941 (01.01.20)'!W33+'б-т 942 (01.01.20)'!X16+'б-т 947 (01.01.20)'!X44)*1000</f>
        <v>424300</v>
      </c>
    </row>
    <row r="19" spans="1:8" ht="22.5" customHeight="1" x14ac:dyDescent="0.25">
      <c r="A19" s="517" t="s">
        <v>716</v>
      </c>
      <c r="B19" s="765">
        <v>308</v>
      </c>
      <c r="C19" s="518">
        <f>'б-т 953 (01.01.20)'!Q29*1000</f>
        <v>380100</v>
      </c>
      <c r="D19" s="518">
        <f>'б-т 953 (01.01.20)'!U29*1000</f>
        <v>380100</v>
      </c>
      <c r="E19" s="518">
        <f>'б-т 953 (01.01.20)'!X29*1000</f>
        <v>380100</v>
      </c>
    </row>
    <row r="20" spans="1:8" x14ac:dyDescent="0.25">
      <c r="A20" s="517" t="s">
        <v>446</v>
      </c>
      <c r="B20" s="765">
        <v>309</v>
      </c>
      <c r="C20" s="518"/>
      <c r="D20" s="518"/>
      <c r="E20" s="518"/>
    </row>
    <row r="21" spans="1:8" x14ac:dyDescent="0.25">
      <c r="A21" s="517" t="s">
        <v>454</v>
      </c>
      <c r="B21" s="765">
        <v>310</v>
      </c>
      <c r="C21" s="729">
        <f>'б-т 954 (01.01.20)'!O45*1000</f>
        <v>390000</v>
      </c>
      <c r="D21" s="729">
        <f>'б-т 954 (01.01.20)'!P45*1000</f>
        <v>390000</v>
      </c>
      <c r="E21" s="729">
        <f>'б-т 954 (01.01.20)'!Q45*1000</f>
        <v>390000</v>
      </c>
    </row>
    <row r="22" spans="1:8" ht="18" customHeight="1" x14ac:dyDescent="0.25">
      <c r="A22" s="517" t="s">
        <v>447</v>
      </c>
      <c r="B22" s="765">
        <v>311</v>
      </c>
      <c r="C22" s="518"/>
      <c r="D22" s="518"/>
      <c r="E22" s="518"/>
    </row>
    <row r="23" spans="1:8" ht="26.25" customHeight="1" x14ac:dyDescent="0.25">
      <c r="A23" s="517" t="s">
        <v>735</v>
      </c>
      <c r="B23" s="765">
        <v>312</v>
      </c>
      <c r="C23" s="518"/>
      <c r="D23" s="518"/>
      <c r="E23" s="518"/>
    </row>
    <row r="24" spans="1:8" ht="26.25" customHeight="1" x14ac:dyDescent="0.25">
      <c r="A24" s="517" t="s">
        <v>736</v>
      </c>
      <c r="B24" s="765">
        <v>313</v>
      </c>
      <c r="C24" s="518"/>
      <c r="D24" s="518"/>
      <c r="E24" s="518"/>
    </row>
    <row r="25" spans="1:8" ht="28.5" customHeight="1" x14ac:dyDescent="0.25">
      <c r="A25" s="517" t="s">
        <v>455</v>
      </c>
      <c r="B25" s="765">
        <v>314</v>
      </c>
      <c r="C25" s="518"/>
      <c r="D25" s="518"/>
      <c r="E25" s="518"/>
    </row>
    <row r="26" spans="1:8" ht="15" customHeight="1" x14ac:dyDescent="0.25">
      <c r="A26" s="517" t="s">
        <v>456</v>
      </c>
      <c r="B26" s="765">
        <v>315</v>
      </c>
      <c r="C26" s="518"/>
      <c r="D26" s="518"/>
      <c r="E26" s="518"/>
    </row>
    <row r="27" spans="1:8" ht="63.75" customHeight="1" x14ac:dyDescent="0.25">
      <c r="A27" s="517" t="s">
        <v>448</v>
      </c>
      <c r="B27" s="765">
        <v>316</v>
      </c>
      <c r="C27" s="518">
        <f>'б-т 995 (01.01.20)'!Z27*1000</f>
        <v>191500</v>
      </c>
      <c r="D27" s="518">
        <f>'б-т 995 (01.01.20)'!AF27*1000</f>
        <v>191500</v>
      </c>
      <c r="E27" s="518">
        <f>'б-т 995 (01.01.20)'!AK27*1000</f>
        <v>191500</v>
      </c>
    </row>
    <row r="28" spans="1:8" ht="20.25" customHeight="1" x14ac:dyDescent="0.25">
      <c r="A28" s="517" t="s">
        <v>449</v>
      </c>
      <c r="B28" s="765">
        <v>317</v>
      </c>
      <c r="C28" s="518"/>
      <c r="D28" s="518"/>
      <c r="E28" s="518"/>
    </row>
    <row r="29" spans="1:8" ht="20.25" customHeight="1" x14ac:dyDescent="0.25">
      <c r="A29" s="517" t="s">
        <v>450</v>
      </c>
      <c r="B29" s="765">
        <v>318</v>
      </c>
      <c r="C29" s="518">
        <f>('б-т 981 Стим-е (01.01.20)'!S36*1000+'б-т 982 (01.01.20)'!L8)</f>
        <v>185700</v>
      </c>
      <c r="D29" s="518">
        <f>('б-т 981 Стим-е (01.01.20)'!X36*1000+'б-т 982 (01.01.20)'!P8)</f>
        <v>185700</v>
      </c>
      <c r="E29" s="518">
        <f>('б-т 981 Стим-е (01.01.20)'!Y36*1000+'б-т 982 (01.01.20)'!R8)</f>
        <v>185700</v>
      </c>
      <c r="F29" s="728">
        <f>1369700+16800+2700+58200+54800</f>
        <v>1502200</v>
      </c>
      <c r="G29" s="728">
        <f>1483100+16800+2700+58200+54800</f>
        <v>1615600</v>
      </c>
      <c r="H29" s="728">
        <f>1483100+16800+2700+58200+54800</f>
        <v>1615600</v>
      </c>
    </row>
    <row r="30" spans="1:8" ht="20.25" customHeight="1" x14ac:dyDescent="0.25">
      <c r="A30" s="517" t="s">
        <v>745</v>
      </c>
      <c r="B30" s="765">
        <v>319</v>
      </c>
      <c r="C30" s="518"/>
      <c r="D30" s="518"/>
      <c r="E30" s="518"/>
      <c r="G30" s="728"/>
    </row>
    <row r="31" spans="1:8" ht="59.25" customHeight="1" x14ac:dyDescent="0.25">
      <c r="A31" s="517" t="s">
        <v>451</v>
      </c>
      <c r="B31" s="765">
        <v>400</v>
      </c>
      <c r="C31" s="518"/>
      <c r="D31" s="518"/>
      <c r="E31" s="518"/>
      <c r="F31" s="728"/>
    </row>
    <row r="32" spans="1:8" ht="49.5" customHeight="1" x14ac:dyDescent="0.25">
      <c r="A32" s="517" t="s">
        <v>452</v>
      </c>
      <c r="B32" s="765">
        <v>500</v>
      </c>
      <c r="C32" s="518"/>
      <c r="D32" s="518"/>
      <c r="E32" s="518"/>
    </row>
    <row r="33" spans="1:6" s="524" customFormat="1" ht="31.5" customHeight="1" x14ac:dyDescent="0.2">
      <c r="A33" s="521" t="s">
        <v>1241</v>
      </c>
      <c r="B33" s="522">
        <v>600</v>
      </c>
      <c r="C33" s="523">
        <f>C8-C9+C10-C31+C32</f>
        <v>3931310.03</v>
      </c>
      <c r="D33" s="523">
        <f>D8-D9+D10-D31+D32</f>
        <v>3970600</v>
      </c>
      <c r="E33" s="523">
        <f>E8-E9+E10-E31+E32</f>
        <v>4012200</v>
      </c>
    </row>
    <row r="34" spans="1:6" x14ac:dyDescent="0.25">
      <c r="A34" s="511" t="s">
        <v>197</v>
      </c>
      <c r="C34" s="728">
        <v>3931300</v>
      </c>
      <c r="D34" s="728">
        <v>3970600</v>
      </c>
      <c r="E34" s="728">
        <v>4012200</v>
      </c>
      <c r="F34" s="728"/>
    </row>
    <row r="35" spans="1:6" x14ac:dyDescent="0.25">
      <c r="C35" s="728">
        <f>C33-C34</f>
        <v>10.029999999999999</v>
      </c>
      <c r="D35" s="728">
        <f>D33-D34</f>
        <v>0</v>
      </c>
      <c r="E35" s="728">
        <f>E33-E34</f>
        <v>0</v>
      </c>
    </row>
  </sheetData>
  <mergeCells count="5">
    <mergeCell ref="A1:E1"/>
    <mergeCell ref="A2:E2"/>
    <mergeCell ref="A4:A6"/>
    <mergeCell ref="B4:B6"/>
    <mergeCell ref="C4:E4"/>
  </mergeCells>
  <pageMargins left="0.70866141732283472" right="0.70866141732283472" top="0.74803149606299213" bottom="0.74803149606299213" header="0.31496062992125984" footer="0.31496062992125984"/>
  <pageSetup paperSize="9" scale="5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C000"/>
    <pageSetUpPr fitToPage="1"/>
  </sheetPr>
  <dimension ref="A1:V90"/>
  <sheetViews>
    <sheetView view="pageBreakPreview" zoomScale="80" zoomScaleNormal="85" zoomScaleSheetLayoutView="80" workbookViewId="0">
      <pane ySplit="7" topLeftCell="A75" activePane="bottomLeft" state="frozen"/>
      <selection pane="bottomLeft" activeCell="Z65" sqref="Z65"/>
    </sheetView>
  </sheetViews>
  <sheetFormatPr defaultRowHeight="11.25" x14ac:dyDescent="0.2"/>
  <cols>
    <col min="1" max="1" width="9.1640625" style="423" bestFit="1" customWidth="1"/>
    <col min="2" max="2" width="42.5" style="385" customWidth="1"/>
    <col min="3" max="3" width="10.33203125" style="386" customWidth="1"/>
    <col min="4" max="4" width="9.6640625" style="388" customWidth="1"/>
    <col min="5" max="5" width="12.6640625" style="388" customWidth="1"/>
    <col min="6" max="7" width="9.6640625" style="388" customWidth="1"/>
    <col min="8" max="8" width="9.33203125" style="388"/>
    <col min="9" max="9" width="9.83203125" style="387" customWidth="1"/>
    <col min="10" max="10" width="12.1640625" style="387" customWidth="1"/>
    <col min="11" max="14" width="9.83203125" style="387" customWidth="1"/>
    <col min="15" max="15" width="9" style="387" customWidth="1"/>
    <col min="16" max="16" width="13.5" style="387" customWidth="1"/>
    <col min="17" max="17" width="13.1640625" style="387" customWidth="1"/>
    <col min="18" max="18" width="9.33203125" style="387"/>
    <col min="19" max="19" width="11.5" style="387" bestFit="1" customWidth="1"/>
    <col min="20" max="20" width="44.33203125" style="388" customWidth="1"/>
    <col min="21" max="21" width="10.6640625" style="388" customWidth="1"/>
    <col min="22" max="22" width="12.6640625" style="388" customWidth="1"/>
    <col min="23" max="16384" width="9.33203125" style="388"/>
  </cols>
  <sheetData>
    <row r="1" spans="1:22" ht="16.5" customHeight="1" x14ac:dyDescent="0.25">
      <c r="A1" s="384"/>
      <c r="N1" s="2600" t="s">
        <v>576</v>
      </c>
      <c r="O1" s="2600"/>
      <c r="P1" s="2600"/>
      <c r="Q1" s="2600"/>
      <c r="R1" s="2600"/>
      <c r="S1" s="2600"/>
      <c r="T1" s="2600"/>
      <c r="U1" s="2600"/>
      <c r="V1" s="2600"/>
    </row>
    <row r="2" spans="1:22" ht="22.5" customHeight="1" x14ac:dyDescent="0.2">
      <c r="A2" s="2601" t="s">
        <v>1577</v>
      </c>
      <c r="B2" s="2601"/>
      <c r="C2" s="2601"/>
      <c r="D2" s="2601"/>
      <c r="E2" s="2601"/>
      <c r="F2" s="2601"/>
      <c r="G2" s="2601"/>
      <c r="H2" s="2601"/>
      <c r="I2" s="2601"/>
      <c r="J2" s="2601"/>
      <c r="K2" s="2601"/>
      <c r="L2" s="2601"/>
      <c r="M2" s="2601"/>
      <c r="N2" s="2601"/>
      <c r="O2" s="2601"/>
      <c r="P2" s="2601"/>
      <c r="Q2" s="2601"/>
      <c r="R2" s="2601"/>
      <c r="S2" s="2601"/>
      <c r="T2" s="2601"/>
      <c r="U2" s="2601"/>
      <c r="V2" s="2601"/>
    </row>
    <row r="3" spans="1:22" ht="18.75" customHeight="1" x14ac:dyDescent="0.2">
      <c r="A3" s="2072"/>
      <c r="B3" s="2072"/>
      <c r="C3" s="2072"/>
      <c r="D3" s="2072"/>
      <c r="E3" s="2072"/>
      <c r="F3" s="2072"/>
      <c r="G3" s="2072"/>
      <c r="H3" s="2072"/>
      <c r="I3" s="2072"/>
      <c r="J3" s="2072"/>
      <c r="K3" s="2072"/>
      <c r="L3" s="2072"/>
      <c r="M3" s="2072"/>
      <c r="N3" s="2072"/>
      <c r="O3" s="2072"/>
      <c r="P3" s="2072"/>
      <c r="Q3" s="2072"/>
      <c r="R3" s="2072"/>
      <c r="S3" s="2072"/>
      <c r="T3" s="2072"/>
      <c r="U3" s="2072"/>
      <c r="V3" s="2073">
        <v>43829</v>
      </c>
    </row>
    <row r="4" spans="1:22" s="389" customFormat="1" ht="12.75" x14ac:dyDescent="0.2">
      <c r="A4" s="2602" t="s">
        <v>219</v>
      </c>
      <c r="B4" s="2603" t="s">
        <v>220</v>
      </c>
      <c r="C4" s="2604" t="s">
        <v>221</v>
      </c>
      <c r="D4" s="2605" t="s">
        <v>577</v>
      </c>
      <c r="E4" s="2605"/>
      <c r="F4" s="2605"/>
      <c r="G4" s="2605"/>
      <c r="H4" s="2605"/>
      <c r="I4" s="2605" t="s">
        <v>578</v>
      </c>
      <c r="J4" s="2605"/>
      <c r="K4" s="2605"/>
      <c r="L4" s="2605"/>
      <c r="M4" s="2605"/>
      <c r="N4" s="2605"/>
      <c r="O4" s="2605" t="s">
        <v>579</v>
      </c>
      <c r="P4" s="2605"/>
      <c r="Q4" s="2605"/>
      <c r="R4" s="2605"/>
      <c r="S4" s="2605"/>
      <c r="T4" s="2606" t="s">
        <v>463</v>
      </c>
      <c r="U4" s="2599" t="s">
        <v>580</v>
      </c>
      <c r="V4" s="2599" t="s">
        <v>581</v>
      </c>
    </row>
    <row r="5" spans="1:22" s="389" customFormat="1" ht="11.25" customHeight="1" x14ac:dyDescent="0.2">
      <c r="A5" s="2602"/>
      <c r="B5" s="2603"/>
      <c r="C5" s="2604"/>
      <c r="D5" s="2593" t="s">
        <v>582</v>
      </c>
      <c r="E5" s="2593" t="s">
        <v>583</v>
      </c>
      <c r="F5" s="2593" t="s">
        <v>584</v>
      </c>
      <c r="G5" s="2593" t="s">
        <v>228</v>
      </c>
      <c r="H5" s="2593" t="s">
        <v>585</v>
      </c>
      <c r="I5" s="2588" t="s">
        <v>582</v>
      </c>
      <c r="J5" s="2588" t="s">
        <v>583</v>
      </c>
      <c r="K5" s="2588" t="s">
        <v>584</v>
      </c>
      <c r="L5" s="2588" t="s">
        <v>228</v>
      </c>
      <c r="M5" s="2588" t="s">
        <v>585</v>
      </c>
      <c r="N5" s="2593" t="s">
        <v>586</v>
      </c>
      <c r="O5" s="2593" t="s">
        <v>582</v>
      </c>
      <c r="P5" s="2593" t="s">
        <v>587</v>
      </c>
      <c r="Q5" s="2593"/>
      <c r="R5" s="2593" t="s">
        <v>228</v>
      </c>
      <c r="S5" s="2593" t="s">
        <v>585</v>
      </c>
      <c r="T5" s="2606"/>
      <c r="U5" s="2599"/>
      <c r="V5" s="2599"/>
    </row>
    <row r="6" spans="1:22" s="389" customFormat="1" ht="11.25" customHeight="1" x14ac:dyDescent="0.2">
      <c r="A6" s="2602"/>
      <c r="B6" s="2603"/>
      <c r="C6" s="2604"/>
      <c r="D6" s="2593"/>
      <c r="E6" s="2593"/>
      <c r="F6" s="2593"/>
      <c r="G6" s="2593"/>
      <c r="H6" s="2593"/>
      <c r="I6" s="2589"/>
      <c r="J6" s="2589"/>
      <c r="K6" s="2589"/>
      <c r="L6" s="2589"/>
      <c r="M6" s="2589"/>
      <c r="N6" s="2593"/>
      <c r="O6" s="2593"/>
      <c r="P6" s="2593" t="s">
        <v>588</v>
      </c>
      <c r="Q6" s="2593" t="s">
        <v>482</v>
      </c>
      <c r="R6" s="2593"/>
      <c r="S6" s="2593"/>
      <c r="T6" s="2606"/>
      <c r="U6" s="2599"/>
      <c r="V6" s="2599"/>
    </row>
    <row r="7" spans="1:22" s="389" customFormat="1" ht="21.75" customHeight="1" x14ac:dyDescent="0.2">
      <c r="A7" s="2602"/>
      <c r="B7" s="2603"/>
      <c r="C7" s="2604"/>
      <c r="D7" s="2593"/>
      <c r="E7" s="2593"/>
      <c r="F7" s="2593"/>
      <c r="G7" s="2593"/>
      <c r="H7" s="2593"/>
      <c r="I7" s="2590"/>
      <c r="J7" s="2590"/>
      <c r="K7" s="2590"/>
      <c r="L7" s="2590"/>
      <c r="M7" s="2590"/>
      <c r="N7" s="2593"/>
      <c r="O7" s="2593"/>
      <c r="P7" s="2593"/>
      <c r="Q7" s="2593"/>
      <c r="R7" s="2593"/>
      <c r="S7" s="2593"/>
      <c r="T7" s="2606"/>
      <c r="U7" s="2599"/>
      <c r="V7" s="2599"/>
    </row>
    <row r="8" spans="1:22" s="389" customFormat="1" ht="15" x14ac:dyDescent="0.2">
      <c r="A8" s="2596" t="s">
        <v>1253</v>
      </c>
      <c r="B8" s="2597"/>
      <c r="C8" s="2597"/>
      <c r="D8" s="2597"/>
      <c r="E8" s="2597"/>
      <c r="F8" s="2597"/>
      <c r="G8" s="2597"/>
      <c r="H8" s="2597"/>
      <c r="I8" s="2597"/>
      <c r="J8" s="2597"/>
      <c r="K8" s="2597"/>
      <c r="L8" s="2597"/>
      <c r="M8" s="2597"/>
      <c r="N8" s="2597"/>
      <c r="O8" s="2597"/>
      <c r="P8" s="2597"/>
      <c r="Q8" s="2597"/>
      <c r="R8" s="2597"/>
      <c r="S8" s="2597"/>
      <c r="T8" s="2597"/>
      <c r="U8" s="2597"/>
      <c r="V8" s="2597"/>
    </row>
    <row r="9" spans="1:22" s="395" customFormat="1" ht="25.5" hidden="1" x14ac:dyDescent="0.2">
      <c r="A9" s="390" t="s">
        <v>589</v>
      </c>
      <c r="B9" s="391" t="s">
        <v>590</v>
      </c>
      <c r="C9" s="392"/>
      <c r="D9" s="707"/>
      <c r="E9" s="707"/>
      <c r="F9" s="707"/>
      <c r="G9" s="707"/>
      <c r="H9" s="394">
        <f>IFERROR(G9/E9,0)</f>
        <v>0</v>
      </c>
      <c r="I9" s="393"/>
      <c r="J9" s="393"/>
      <c r="K9" s="393"/>
      <c r="L9" s="393"/>
      <c r="M9" s="394">
        <f>IFERROR(L9/J9,0)</f>
        <v>0</v>
      </c>
      <c r="N9" s="394">
        <f>IFERROR(J9/I9,0)</f>
        <v>0</v>
      </c>
      <c r="O9" s="393"/>
      <c r="P9" s="393"/>
      <c r="Q9" s="393"/>
      <c r="R9" s="393"/>
      <c r="S9" s="394">
        <f>IFERROR(R9/P9,0)</f>
        <v>0</v>
      </c>
      <c r="T9" s="707"/>
      <c r="U9" s="707"/>
      <c r="V9" s="707"/>
    </row>
    <row r="10" spans="1:22" hidden="1" x14ac:dyDescent="0.2">
      <c r="A10" s="396" t="s">
        <v>591</v>
      </c>
      <c r="B10" s="397" t="s">
        <v>592</v>
      </c>
      <c r="C10" s="398" t="s">
        <v>593</v>
      </c>
      <c r="D10" s="708"/>
      <c r="E10" s="708"/>
      <c r="F10" s="708"/>
      <c r="G10" s="708"/>
      <c r="H10" s="394">
        <f t="shared" ref="H10:H75" si="0">IFERROR(G10/E10,0)</f>
        <v>0</v>
      </c>
      <c r="I10" s="399"/>
      <c r="J10" s="399"/>
      <c r="K10" s="399"/>
      <c r="L10" s="399"/>
      <c r="M10" s="394">
        <f t="shared" ref="M10:M75" si="1">IFERROR(L10/J10,0)</f>
        <v>0</v>
      </c>
      <c r="N10" s="394">
        <f t="shared" ref="N10:N75" si="2">IFERROR(J10/I10,0)</f>
        <v>0</v>
      </c>
      <c r="O10" s="399"/>
      <c r="P10" s="399"/>
      <c r="Q10" s="399"/>
      <c r="R10" s="399"/>
      <c r="S10" s="394">
        <f t="shared" ref="S10:S75" si="3">IFERROR(R10/P10,0)</f>
        <v>0</v>
      </c>
      <c r="T10" s="707"/>
      <c r="U10" s="1583"/>
      <c r="V10" s="708"/>
    </row>
    <row r="11" spans="1:22" ht="22.5" hidden="1" x14ac:dyDescent="0.2">
      <c r="A11" s="396" t="s">
        <v>594</v>
      </c>
      <c r="B11" s="397" t="s">
        <v>595</v>
      </c>
      <c r="C11" s="398" t="s">
        <v>593</v>
      </c>
      <c r="D11" s="708"/>
      <c r="E11" s="708"/>
      <c r="F11" s="708"/>
      <c r="G11" s="708"/>
      <c r="H11" s="394">
        <f t="shared" si="0"/>
        <v>0</v>
      </c>
      <c r="I11" s="399"/>
      <c r="J11" s="399"/>
      <c r="K11" s="399"/>
      <c r="L11" s="399"/>
      <c r="M11" s="394">
        <f t="shared" si="1"/>
        <v>0</v>
      </c>
      <c r="N11" s="394">
        <f t="shared" si="2"/>
        <v>0</v>
      </c>
      <c r="O11" s="399"/>
      <c r="P11" s="399"/>
      <c r="Q11" s="399"/>
      <c r="R11" s="399"/>
      <c r="S11" s="394">
        <f t="shared" si="3"/>
        <v>0</v>
      </c>
      <c r="T11" s="707"/>
      <c r="U11" s="708"/>
      <c r="V11" s="708"/>
    </row>
    <row r="12" spans="1:22" ht="22.5" hidden="1" x14ac:dyDescent="0.2">
      <c r="A12" s="396" t="s">
        <v>596</v>
      </c>
      <c r="B12" s="397" t="s">
        <v>597</v>
      </c>
      <c r="C12" s="398" t="s">
        <v>593</v>
      </c>
      <c r="D12" s="708"/>
      <c r="E12" s="708"/>
      <c r="F12" s="708"/>
      <c r="G12" s="708"/>
      <c r="H12" s="394">
        <f t="shared" si="0"/>
        <v>0</v>
      </c>
      <c r="I12" s="399"/>
      <c r="J12" s="399"/>
      <c r="K12" s="399"/>
      <c r="L12" s="399"/>
      <c r="M12" s="394">
        <f t="shared" si="1"/>
        <v>0</v>
      </c>
      <c r="N12" s="394">
        <f t="shared" si="2"/>
        <v>0</v>
      </c>
      <c r="O12" s="399"/>
      <c r="P12" s="399"/>
      <c r="Q12" s="399"/>
      <c r="R12" s="399"/>
      <c r="S12" s="394">
        <f t="shared" si="3"/>
        <v>0</v>
      </c>
      <c r="T12" s="707"/>
      <c r="U12" s="708"/>
      <c r="V12" s="708"/>
    </row>
    <row r="13" spans="1:22" ht="22.5" hidden="1" x14ac:dyDescent="0.2">
      <c r="A13" s="396" t="s">
        <v>598</v>
      </c>
      <c r="B13" s="397" t="s">
        <v>599</v>
      </c>
      <c r="C13" s="398" t="s">
        <v>600</v>
      </c>
      <c r="D13" s="708"/>
      <c r="E13" s="708"/>
      <c r="F13" s="708"/>
      <c r="G13" s="708"/>
      <c r="H13" s="394">
        <f t="shared" si="0"/>
        <v>0</v>
      </c>
      <c r="I13" s="399"/>
      <c r="J13" s="399"/>
      <c r="K13" s="399"/>
      <c r="L13" s="399"/>
      <c r="M13" s="394">
        <f t="shared" si="1"/>
        <v>0</v>
      </c>
      <c r="N13" s="394">
        <f t="shared" si="2"/>
        <v>0</v>
      </c>
      <c r="O13" s="399"/>
      <c r="P13" s="399"/>
      <c r="Q13" s="399"/>
      <c r="R13" s="399"/>
      <c r="S13" s="394">
        <f t="shared" si="3"/>
        <v>0</v>
      </c>
      <c r="T13" s="707"/>
      <c r="U13" s="708"/>
      <c r="V13" s="708"/>
    </row>
    <row r="14" spans="1:22" ht="22.5" hidden="1" x14ac:dyDescent="0.2">
      <c r="A14" s="396" t="s">
        <v>601</v>
      </c>
      <c r="B14" s="397" t="s">
        <v>602</v>
      </c>
      <c r="C14" s="398" t="s">
        <v>593</v>
      </c>
      <c r="D14" s="708"/>
      <c r="E14" s="708"/>
      <c r="F14" s="708"/>
      <c r="G14" s="708"/>
      <c r="H14" s="394">
        <f t="shared" si="0"/>
        <v>0</v>
      </c>
      <c r="I14" s="399"/>
      <c r="J14" s="399"/>
      <c r="K14" s="399"/>
      <c r="L14" s="399"/>
      <c r="M14" s="394">
        <f t="shared" si="1"/>
        <v>0</v>
      </c>
      <c r="N14" s="394">
        <f t="shared" si="2"/>
        <v>0</v>
      </c>
      <c r="O14" s="399"/>
      <c r="P14" s="399"/>
      <c r="Q14" s="399"/>
      <c r="R14" s="399"/>
      <c r="S14" s="394">
        <f t="shared" si="3"/>
        <v>0</v>
      </c>
      <c r="T14" s="707"/>
      <c r="U14" s="708"/>
      <c r="V14" s="708"/>
    </row>
    <row r="15" spans="1:22" s="1586" customFormat="1" ht="38.25" x14ac:dyDescent="0.2">
      <c r="A15" s="1584" t="s">
        <v>603</v>
      </c>
      <c r="B15" s="407" t="s">
        <v>604</v>
      </c>
      <c r="C15" s="1585"/>
      <c r="D15" s="408"/>
      <c r="E15" s="408"/>
      <c r="F15" s="408"/>
      <c r="G15" s="408"/>
      <c r="H15" s="394">
        <f t="shared" si="0"/>
        <v>0</v>
      </c>
      <c r="I15" s="406"/>
      <c r="J15" s="406"/>
      <c r="K15" s="406"/>
      <c r="L15" s="406"/>
      <c r="M15" s="394">
        <f t="shared" si="1"/>
        <v>0</v>
      </c>
      <c r="N15" s="394">
        <f t="shared" si="2"/>
        <v>0</v>
      </c>
      <c r="O15" s="406"/>
      <c r="P15" s="406"/>
      <c r="Q15" s="406"/>
      <c r="R15" s="406"/>
      <c r="S15" s="394">
        <f t="shared" si="3"/>
        <v>0</v>
      </c>
      <c r="T15" s="408"/>
      <c r="U15" s="408"/>
      <c r="V15" s="408"/>
    </row>
    <row r="16" spans="1:22" s="1586" customFormat="1" ht="22.5" x14ac:dyDescent="0.2">
      <c r="A16" s="1584" t="s">
        <v>605</v>
      </c>
      <c r="B16" s="409" t="s">
        <v>606</v>
      </c>
      <c r="C16" s="1585" t="s">
        <v>593</v>
      </c>
      <c r="D16" s="408">
        <v>6</v>
      </c>
      <c r="E16" s="408">
        <v>6</v>
      </c>
      <c r="F16" s="408">
        <v>6</v>
      </c>
      <c r="G16" s="408">
        <v>6</v>
      </c>
      <c r="H16" s="394">
        <f t="shared" si="0"/>
        <v>1</v>
      </c>
      <c r="I16" s="406">
        <v>637.20000000000005</v>
      </c>
      <c r="J16" s="406">
        <v>637.20000000000005</v>
      </c>
      <c r="K16" s="406">
        <v>648</v>
      </c>
      <c r="L16" s="406">
        <v>648</v>
      </c>
      <c r="M16" s="394">
        <f t="shared" si="1"/>
        <v>1.02</v>
      </c>
      <c r="N16" s="394">
        <f t="shared" si="2"/>
        <v>1</v>
      </c>
      <c r="O16" s="406">
        <f>D16*I16*12/1000</f>
        <v>45.88</v>
      </c>
      <c r="P16" s="406">
        <f>E16*J16*12/1000</f>
        <v>45.88</v>
      </c>
      <c r="Q16" s="399">
        <f>F16*K16*12/1000</f>
        <v>46.66</v>
      </c>
      <c r="R16" s="406">
        <f>G16*L16*12/1000-3.56</f>
        <v>43.1</v>
      </c>
      <c r="S16" s="394">
        <f t="shared" si="3"/>
        <v>0.94</v>
      </c>
      <c r="T16" s="1587" t="s">
        <v>1578</v>
      </c>
      <c r="U16" s="1588">
        <f>R16</f>
        <v>43.1</v>
      </c>
      <c r="V16" s="1588">
        <f>U16</f>
        <v>43.1</v>
      </c>
    </row>
    <row r="17" spans="1:22" s="1586" customFormat="1" hidden="1" x14ac:dyDescent="0.2">
      <c r="A17" s="1584" t="s">
        <v>607</v>
      </c>
      <c r="B17" s="409" t="s">
        <v>608</v>
      </c>
      <c r="C17" s="1585" t="s">
        <v>593</v>
      </c>
      <c r="D17" s="408"/>
      <c r="E17" s="408"/>
      <c r="F17" s="408"/>
      <c r="G17" s="408"/>
      <c r="H17" s="394">
        <f t="shared" si="0"/>
        <v>0</v>
      </c>
      <c r="I17" s="406"/>
      <c r="J17" s="406"/>
      <c r="K17" s="406"/>
      <c r="L17" s="406"/>
      <c r="M17" s="394">
        <f t="shared" si="1"/>
        <v>0</v>
      </c>
      <c r="N17" s="394">
        <f t="shared" si="2"/>
        <v>0</v>
      </c>
      <c r="O17" s="406"/>
      <c r="P17" s="406">
        <f t="shared" ref="P17:P57" si="4">E17*J17*12/1000</f>
        <v>0</v>
      </c>
      <c r="Q17" s="406"/>
      <c r="R17" s="712"/>
      <c r="S17" s="394">
        <f t="shared" si="3"/>
        <v>0</v>
      </c>
      <c r="T17" s="408"/>
      <c r="U17" s="1588"/>
      <c r="V17" s="1588"/>
    </row>
    <row r="18" spans="1:22" s="1586" customFormat="1" hidden="1" x14ac:dyDescent="0.2">
      <c r="A18" s="1584"/>
      <c r="B18" s="409"/>
      <c r="C18" s="1585"/>
      <c r="D18" s="408"/>
      <c r="E18" s="408"/>
      <c r="F18" s="408"/>
      <c r="G18" s="408"/>
      <c r="H18" s="394">
        <f t="shared" si="0"/>
        <v>0</v>
      </c>
      <c r="I18" s="406"/>
      <c r="J18" s="406"/>
      <c r="K18" s="406"/>
      <c r="L18" s="406"/>
      <c r="M18" s="394">
        <f t="shared" si="1"/>
        <v>0</v>
      </c>
      <c r="N18" s="394">
        <f t="shared" si="2"/>
        <v>0</v>
      </c>
      <c r="O18" s="406"/>
      <c r="P18" s="406"/>
      <c r="Q18" s="406"/>
      <c r="R18" s="712"/>
      <c r="S18" s="394">
        <f t="shared" si="3"/>
        <v>0</v>
      </c>
      <c r="T18" s="408"/>
      <c r="U18" s="1588"/>
      <c r="V18" s="1588"/>
    </row>
    <row r="19" spans="1:22" s="1586" customFormat="1" hidden="1" x14ac:dyDescent="0.2">
      <c r="A19" s="1584"/>
      <c r="B19" s="409"/>
      <c r="C19" s="1585"/>
      <c r="D19" s="408"/>
      <c r="E19" s="408"/>
      <c r="F19" s="408"/>
      <c r="G19" s="408"/>
      <c r="H19" s="394">
        <f t="shared" si="0"/>
        <v>0</v>
      </c>
      <c r="I19" s="406"/>
      <c r="J19" s="406"/>
      <c r="K19" s="406"/>
      <c r="L19" s="406"/>
      <c r="M19" s="394">
        <f t="shared" si="1"/>
        <v>0</v>
      </c>
      <c r="N19" s="394">
        <f t="shared" si="2"/>
        <v>0</v>
      </c>
      <c r="O19" s="406"/>
      <c r="P19" s="406"/>
      <c r="Q19" s="406"/>
      <c r="R19" s="712"/>
      <c r="S19" s="394">
        <f t="shared" si="3"/>
        <v>0</v>
      </c>
      <c r="T19" s="408"/>
      <c r="U19" s="1588"/>
      <c r="V19" s="1588"/>
    </row>
    <row r="20" spans="1:22" s="1586" customFormat="1" ht="22.5" hidden="1" x14ac:dyDescent="0.2">
      <c r="A20" s="1584" t="s">
        <v>607</v>
      </c>
      <c r="B20" s="409" t="s">
        <v>609</v>
      </c>
      <c r="C20" s="1585" t="s">
        <v>593</v>
      </c>
      <c r="D20" s="408"/>
      <c r="E20" s="408"/>
      <c r="F20" s="408"/>
      <c r="G20" s="408"/>
      <c r="H20" s="394">
        <f t="shared" si="0"/>
        <v>0</v>
      </c>
      <c r="I20" s="406"/>
      <c r="J20" s="406"/>
      <c r="K20" s="406"/>
      <c r="L20" s="406"/>
      <c r="M20" s="394">
        <f t="shared" si="1"/>
        <v>0</v>
      </c>
      <c r="N20" s="394">
        <f t="shared" si="2"/>
        <v>0</v>
      </c>
      <c r="O20" s="406"/>
      <c r="P20" s="406">
        <f t="shared" si="4"/>
        <v>0</v>
      </c>
      <c r="Q20" s="406"/>
      <c r="R20" s="712"/>
      <c r="S20" s="394">
        <f t="shared" si="3"/>
        <v>0</v>
      </c>
      <c r="T20" s="408"/>
      <c r="U20" s="1588">
        <f t="shared" ref="U20:U63" si="5">R20</f>
        <v>0</v>
      </c>
      <c r="V20" s="1588">
        <f t="shared" ref="V20:V63" si="6">U20</f>
        <v>0</v>
      </c>
    </row>
    <row r="21" spans="1:22" s="1586" customFormat="1" ht="33.75" hidden="1" x14ac:dyDescent="0.2">
      <c r="A21" s="1584" t="s">
        <v>610</v>
      </c>
      <c r="B21" s="409" t="s">
        <v>611</v>
      </c>
      <c r="C21" s="1585" t="s">
        <v>593</v>
      </c>
      <c r="D21" s="408"/>
      <c r="E21" s="408"/>
      <c r="F21" s="408"/>
      <c r="G21" s="408"/>
      <c r="H21" s="394">
        <f t="shared" si="0"/>
        <v>0</v>
      </c>
      <c r="I21" s="406"/>
      <c r="J21" s="406"/>
      <c r="K21" s="406"/>
      <c r="L21" s="406"/>
      <c r="M21" s="394">
        <f t="shared" si="1"/>
        <v>0</v>
      </c>
      <c r="N21" s="394">
        <f t="shared" si="2"/>
        <v>0</v>
      </c>
      <c r="O21" s="406"/>
      <c r="P21" s="406">
        <f t="shared" si="4"/>
        <v>0</v>
      </c>
      <c r="Q21" s="406"/>
      <c r="R21" s="712"/>
      <c r="S21" s="394">
        <f t="shared" si="3"/>
        <v>0</v>
      </c>
      <c r="T21" s="408"/>
      <c r="U21" s="1588">
        <f t="shared" si="5"/>
        <v>0</v>
      </c>
      <c r="V21" s="1588">
        <f t="shared" si="6"/>
        <v>0</v>
      </c>
    </row>
    <row r="22" spans="1:22" s="1586" customFormat="1" ht="33.75" hidden="1" x14ac:dyDescent="0.2">
      <c r="A22" s="1584" t="s">
        <v>612</v>
      </c>
      <c r="B22" s="409" t="s">
        <v>613</v>
      </c>
      <c r="C22" s="1585"/>
      <c r="D22" s="408"/>
      <c r="E22" s="408"/>
      <c r="F22" s="408"/>
      <c r="G22" s="408"/>
      <c r="H22" s="394">
        <f t="shared" si="0"/>
        <v>0</v>
      </c>
      <c r="I22" s="406"/>
      <c r="J22" s="406"/>
      <c r="K22" s="406"/>
      <c r="L22" s="406"/>
      <c r="M22" s="394">
        <f t="shared" si="1"/>
        <v>0</v>
      </c>
      <c r="N22" s="394">
        <f t="shared" si="2"/>
        <v>0</v>
      </c>
      <c r="O22" s="406"/>
      <c r="P22" s="406">
        <f t="shared" si="4"/>
        <v>0</v>
      </c>
      <c r="Q22" s="406"/>
      <c r="R22" s="712"/>
      <c r="S22" s="394">
        <f t="shared" si="3"/>
        <v>0</v>
      </c>
      <c r="T22" s="408"/>
      <c r="U22" s="1588">
        <f t="shared" si="5"/>
        <v>0</v>
      </c>
      <c r="V22" s="1588">
        <f t="shared" si="6"/>
        <v>0</v>
      </c>
    </row>
    <row r="23" spans="1:22" s="1586" customFormat="1" hidden="1" x14ac:dyDescent="0.2">
      <c r="A23" s="400" t="s">
        <v>614</v>
      </c>
      <c r="B23" s="401" t="s">
        <v>615</v>
      </c>
      <c r="C23" s="402" t="s">
        <v>593</v>
      </c>
      <c r="D23" s="709"/>
      <c r="E23" s="709"/>
      <c r="F23" s="709"/>
      <c r="G23" s="709"/>
      <c r="H23" s="394">
        <f t="shared" si="0"/>
        <v>0</v>
      </c>
      <c r="I23" s="403"/>
      <c r="J23" s="403"/>
      <c r="K23" s="403"/>
      <c r="L23" s="403"/>
      <c r="M23" s="394">
        <f t="shared" si="1"/>
        <v>0</v>
      </c>
      <c r="N23" s="394">
        <f t="shared" si="2"/>
        <v>0</v>
      </c>
      <c r="O23" s="403"/>
      <c r="P23" s="406">
        <f t="shared" si="4"/>
        <v>0</v>
      </c>
      <c r="Q23" s="403"/>
      <c r="R23" s="1589"/>
      <c r="S23" s="394">
        <f t="shared" si="3"/>
        <v>0</v>
      </c>
      <c r="T23" s="709"/>
      <c r="U23" s="1590">
        <f t="shared" si="5"/>
        <v>0</v>
      </c>
      <c r="V23" s="1590">
        <f t="shared" si="6"/>
        <v>0</v>
      </c>
    </row>
    <row r="24" spans="1:22" s="1586" customFormat="1" hidden="1" x14ac:dyDescent="0.2">
      <c r="A24" s="400" t="s">
        <v>616</v>
      </c>
      <c r="B24" s="401" t="s">
        <v>617</v>
      </c>
      <c r="C24" s="402" t="s">
        <v>593</v>
      </c>
      <c r="D24" s="709"/>
      <c r="E24" s="709"/>
      <c r="F24" s="709"/>
      <c r="G24" s="709"/>
      <c r="H24" s="394">
        <f t="shared" si="0"/>
        <v>0</v>
      </c>
      <c r="I24" s="403"/>
      <c r="J24" s="403"/>
      <c r="K24" s="403"/>
      <c r="L24" s="403"/>
      <c r="M24" s="394">
        <f t="shared" si="1"/>
        <v>0</v>
      </c>
      <c r="N24" s="394">
        <f t="shared" si="2"/>
        <v>0</v>
      </c>
      <c r="O24" s="403"/>
      <c r="P24" s="406">
        <f t="shared" si="4"/>
        <v>0</v>
      </c>
      <c r="Q24" s="403"/>
      <c r="R24" s="1589"/>
      <c r="S24" s="394">
        <f t="shared" si="3"/>
        <v>0</v>
      </c>
      <c r="T24" s="709"/>
      <c r="U24" s="1590">
        <f t="shared" si="5"/>
        <v>0</v>
      </c>
      <c r="V24" s="1590">
        <f t="shared" si="6"/>
        <v>0</v>
      </c>
    </row>
    <row r="25" spans="1:22" s="1586" customFormat="1" ht="45" hidden="1" x14ac:dyDescent="0.2">
      <c r="A25" s="1584" t="s">
        <v>618</v>
      </c>
      <c r="B25" s="409" t="s">
        <v>619</v>
      </c>
      <c r="C25" s="1585" t="s">
        <v>593</v>
      </c>
      <c r="D25" s="408"/>
      <c r="E25" s="408"/>
      <c r="F25" s="408"/>
      <c r="G25" s="408"/>
      <c r="H25" s="394">
        <f t="shared" si="0"/>
        <v>0</v>
      </c>
      <c r="I25" s="406"/>
      <c r="J25" s="406"/>
      <c r="K25" s="406"/>
      <c r="L25" s="406"/>
      <c r="M25" s="394">
        <f t="shared" si="1"/>
        <v>0</v>
      </c>
      <c r="N25" s="394">
        <f t="shared" si="2"/>
        <v>0</v>
      </c>
      <c r="O25" s="406"/>
      <c r="P25" s="406">
        <f t="shared" si="4"/>
        <v>0</v>
      </c>
      <c r="Q25" s="406"/>
      <c r="R25" s="712"/>
      <c r="S25" s="394">
        <f t="shared" si="3"/>
        <v>0</v>
      </c>
      <c r="T25" s="408"/>
      <c r="U25" s="1588">
        <f t="shared" si="5"/>
        <v>0</v>
      </c>
      <c r="V25" s="1588">
        <f t="shared" si="6"/>
        <v>0</v>
      </c>
    </row>
    <row r="26" spans="1:22" s="1586" customFormat="1" ht="56.25" hidden="1" x14ac:dyDescent="0.2">
      <c r="A26" s="1584" t="s">
        <v>620</v>
      </c>
      <c r="B26" s="409" t="s">
        <v>621</v>
      </c>
      <c r="C26" s="1585" t="s">
        <v>593</v>
      </c>
      <c r="D26" s="408"/>
      <c r="E26" s="408"/>
      <c r="F26" s="408"/>
      <c r="G26" s="408"/>
      <c r="H26" s="394">
        <f t="shared" si="0"/>
        <v>0</v>
      </c>
      <c r="I26" s="406"/>
      <c r="J26" s="406"/>
      <c r="K26" s="406"/>
      <c r="L26" s="406"/>
      <c r="M26" s="394">
        <f t="shared" si="1"/>
        <v>0</v>
      </c>
      <c r="N26" s="394">
        <f t="shared" si="2"/>
        <v>0</v>
      </c>
      <c r="O26" s="406"/>
      <c r="P26" s="406">
        <f t="shared" si="4"/>
        <v>0</v>
      </c>
      <c r="Q26" s="406"/>
      <c r="R26" s="712"/>
      <c r="S26" s="394">
        <f t="shared" si="3"/>
        <v>0</v>
      </c>
      <c r="T26" s="408"/>
      <c r="U26" s="1588">
        <f t="shared" si="5"/>
        <v>0</v>
      </c>
      <c r="V26" s="1588">
        <f t="shared" si="6"/>
        <v>0</v>
      </c>
    </row>
    <row r="27" spans="1:22" s="1586" customFormat="1" hidden="1" x14ac:dyDescent="0.2">
      <c r="A27" s="1584" t="s">
        <v>622</v>
      </c>
      <c r="B27" s="409" t="s">
        <v>623</v>
      </c>
      <c r="C27" s="1585" t="s">
        <v>593</v>
      </c>
      <c r="D27" s="408"/>
      <c r="E27" s="408"/>
      <c r="F27" s="408"/>
      <c r="G27" s="408"/>
      <c r="H27" s="394">
        <f t="shared" si="0"/>
        <v>0</v>
      </c>
      <c r="I27" s="406"/>
      <c r="J27" s="406"/>
      <c r="K27" s="406"/>
      <c r="L27" s="406"/>
      <c r="M27" s="394">
        <f t="shared" si="1"/>
        <v>0</v>
      </c>
      <c r="N27" s="394">
        <f t="shared" si="2"/>
        <v>0</v>
      </c>
      <c r="O27" s="406"/>
      <c r="P27" s="406">
        <f t="shared" si="4"/>
        <v>0</v>
      </c>
      <c r="Q27" s="406"/>
      <c r="R27" s="712"/>
      <c r="S27" s="394">
        <f t="shared" si="3"/>
        <v>0</v>
      </c>
      <c r="T27" s="408"/>
      <c r="U27" s="1588">
        <f t="shared" si="5"/>
        <v>0</v>
      </c>
      <c r="V27" s="1588">
        <f t="shared" si="6"/>
        <v>0</v>
      </c>
    </row>
    <row r="28" spans="1:22" s="1586" customFormat="1" ht="25.5" hidden="1" x14ac:dyDescent="0.2">
      <c r="A28" s="1584" t="s">
        <v>624</v>
      </c>
      <c r="B28" s="407" t="s">
        <v>625</v>
      </c>
      <c r="C28" s="1585"/>
      <c r="D28" s="408"/>
      <c r="E28" s="408"/>
      <c r="F28" s="408"/>
      <c r="G28" s="408"/>
      <c r="H28" s="394">
        <f t="shared" si="0"/>
        <v>0</v>
      </c>
      <c r="I28" s="406"/>
      <c r="J28" s="406"/>
      <c r="K28" s="406"/>
      <c r="L28" s="406"/>
      <c r="M28" s="394">
        <f t="shared" si="1"/>
        <v>0</v>
      </c>
      <c r="N28" s="394">
        <f t="shared" si="2"/>
        <v>0</v>
      </c>
      <c r="O28" s="406"/>
      <c r="P28" s="406">
        <f t="shared" si="4"/>
        <v>0</v>
      </c>
      <c r="Q28" s="406"/>
      <c r="R28" s="712"/>
      <c r="S28" s="394">
        <f t="shared" si="3"/>
        <v>0</v>
      </c>
      <c r="T28" s="408"/>
      <c r="U28" s="1588">
        <f t="shared" si="5"/>
        <v>0</v>
      </c>
      <c r="V28" s="1588">
        <f t="shared" si="6"/>
        <v>0</v>
      </c>
    </row>
    <row r="29" spans="1:22" s="1586" customFormat="1" hidden="1" x14ac:dyDescent="0.2">
      <c r="A29" s="1584" t="s">
        <v>626</v>
      </c>
      <c r="B29" s="401" t="s">
        <v>627</v>
      </c>
      <c r="C29" s="1585"/>
      <c r="D29" s="408"/>
      <c r="E29" s="408"/>
      <c r="F29" s="408"/>
      <c r="G29" s="408"/>
      <c r="H29" s="394">
        <f t="shared" si="0"/>
        <v>0</v>
      </c>
      <c r="I29" s="406"/>
      <c r="J29" s="406"/>
      <c r="K29" s="406"/>
      <c r="L29" s="406"/>
      <c r="M29" s="394">
        <f t="shared" si="1"/>
        <v>0</v>
      </c>
      <c r="N29" s="394">
        <f t="shared" si="2"/>
        <v>0</v>
      </c>
      <c r="O29" s="406"/>
      <c r="P29" s="406">
        <f t="shared" si="4"/>
        <v>0</v>
      </c>
      <c r="Q29" s="406"/>
      <c r="R29" s="712"/>
      <c r="S29" s="394">
        <f t="shared" si="3"/>
        <v>0</v>
      </c>
      <c r="T29" s="408"/>
      <c r="U29" s="1588">
        <f t="shared" si="5"/>
        <v>0</v>
      </c>
      <c r="V29" s="1588">
        <f t="shared" si="6"/>
        <v>0</v>
      </c>
    </row>
    <row r="30" spans="1:22" s="1586" customFormat="1" ht="45" hidden="1" x14ac:dyDescent="0.2">
      <c r="A30" s="1584" t="s">
        <v>628</v>
      </c>
      <c r="B30" s="409" t="s">
        <v>1303</v>
      </c>
      <c r="C30" s="1585" t="s">
        <v>593</v>
      </c>
      <c r="D30" s="408"/>
      <c r="E30" s="408"/>
      <c r="F30" s="408"/>
      <c r="G30" s="408"/>
      <c r="H30" s="394">
        <f t="shared" si="0"/>
        <v>0</v>
      </c>
      <c r="I30" s="406"/>
      <c r="J30" s="406"/>
      <c r="K30" s="406"/>
      <c r="L30" s="406"/>
      <c r="M30" s="394">
        <f t="shared" si="1"/>
        <v>0</v>
      </c>
      <c r="N30" s="394">
        <f t="shared" si="2"/>
        <v>0</v>
      </c>
      <c r="O30" s="406"/>
      <c r="P30" s="406">
        <f t="shared" si="4"/>
        <v>0</v>
      </c>
      <c r="Q30" s="406"/>
      <c r="R30" s="712"/>
      <c r="S30" s="394">
        <f t="shared" si="3"/>
        <v>0</v>
      </c>
      <c r="T30" s="408"/>
      <c r="U30" s="1588">
        <f t="shared" si="5"/>
        <v>0</v>
      </c>
      <c r="V30" s="1588">
        <f t="shared" si="6"/>
        <v>0</v>
      </c>
    </row>
    <row r="31" spans="1:22" s="1586" customFormat="1" ht="22.5" hidden="1" x14ac:dyDescent="0.2">
      <c r="A31" s="1584" t="s">
        <v>629</v>
      </c>
      <c r="B31" s="409" t="s">
        <v>630</v>
      </c>
      <c r="C31" s="1585" t="s">
        <v>593</v>
      </c>
      <c r="D31" s="408"/>
      <c r="E31" s="408"/>
      <c r="F31" s="408"/>
      <c r="G31" s="408"/>
      <c r="H31" s="394">
        <f t="shared" si="0"/>
        <v>0</v>
      </c>
      <c r="I31" s="406"/>
      <c r="J31" s="406"/>
      <c r="K31" s="406"/>
      <c r="L31" s="406"/>
      <c r="M31" s="394">
        <f t="shared" si="1"/>
        <v>0</v>
      </c>
      <c r="N31" s="394">
        <f t="shared" si="2"/>
        <v>0</v>
      </c>
      <c r="O31" s="406"/>
      <c r="P31" s="406">
        <f t="shared" si="4"/>
        <v>0</v>
      </c>
      <c r="Q31" s="406"/>
      <c r="R31" s="712"/>
      <c r="S31" s="394">
        <f t="shared" si="3"/>
        <v>0</v>
      </c>
      <c r="T31" s="408"/>
      <c r="U31" s="1588">
        <f t="shared" si="5"/>
        <v>0</v>
      </c>
      <c r="V31" s="1588">
        <f t="shared" si="6"/>
        <v>0</v>
      </c>
    </row>
    <row r="32" spans="1:22" s="1586" customFormat="1" ht="33.75" hidden="1" x14ac:dyDescent="0.2">
      <c r="A32" s="1584" t="s">
        <v>631</v>
      </c>
      <c r="B32" s="1591" t="s">
        <v>632</v>
      </c>
      <c r="C32" s="1585" t="s">
        <v>593</v>
      </c>
      <c r="D32" s="408"/>
      <c r="E32" s="408"/>
      <c r="F32" s="408"/>
      <c r="G32" s="408"/>
      <c r="H32" s="394">
        <f t="shared" si="0"/>
        <v>0</v>
      </c>
      <c r="I32" s="406"/>
      <c r="J32" s="406"/>
      <c r="K32" s="406"/>
      <c r="L32" s="406"/>
      <c r="M32" s="394">
        <f t="shared" si="1"/>
        <v>0</v>
      </c>
      <c r="N32" s="394">
        <f t="shared" si="2"/>
        <v>0</v>
      </c>
      <c r="O32" s="406"/>
      <c r="P32" s="406">
        <f t="shared" si="4"/>
        <v>0</v>
      </c>
      <c r="Q32" s="406"/>
      <c r="R32" s="712"/>
      <c r="S32" s="394">
        <f t="shared" si="3"/>
        <v>0</v>
      </c>
      <c r="T32" s="408"/>
      <c r="U32" s="1588">
        <f t="shared" si="5"/>
        <v>0</v>
      </c>
      <c r="V32" s="1588">
        <f t="shared" si="6"/>
        <v>0</v>
      </c>
    </row>
    <row r="33" spans="1:22" s="1586" customFormat="1" ht="22.5" hidden="1" x14ac:dyDescent="0.2">
      <c r="A33" s="1584" t="s">
        <v>633</v>
      </c>
      <c r="B33" s="1591" t="s">
        <v>634</v>
      </c>
      <c r="C33" s="1585"/>
      <c r="D33" s="408"/>
      <c r="E33" s="408"/>
      <c r="F33" s="408"/>
      <c r="G33" s="408"/>
      <c r="H33" s="394">
        <f t="shared" si="0"/>
        <v>0</v>
      </c>
      <c r="I33" s="406"/>
      <c r="J33" s="406"/>
      <c r="K33" s="406"/>
      <c r="L33" s="406"/>
      <c r="M33" s="394">
        <f t="shared" si="1"/>
        <v>0</v>
      </c>
      <c r="N33" s="394">
        <f t="shared" si="2"/>
        <v>0</v>
      </c>
      <c r="O33" s="406"/>
      <c r="P33" s="406">
        <f t="shared" si="4"/>
        <v>0</v>
      </c>
      <c r="Q33" s="406"/>
      <c r="R33" s="712"/>
      <c r="S33" s="394">
        <f t="shared" si="3"/>
        <v>0</v>
      </c>
      <c r="T33" s="408"/>
      <c r="U33" s="1588">
        <f t="shared" si="5"/>
        <v>0</v>
      </c>
      <c r="V33" s="1588">
        <f t="shared" si="6"/>
        <v>0</v>
      </c>
    </row>
    <row r="34" spans="1:22" s="1586" customFormat="1" ht="22.5" hidden="1" x14ac:dyDescent="0.2">
      <c r="A34" s="1584" t="s">
        <v>635</v>
      </c>
      <c r="B34" s="409" t="s">
        <v>636</v>
      </c>
      <c r="C34" s="1585"/>
      <c r="D34" s="408"/>
      <c r="E34" s="408"/>
      <c r="F34" s="408"/>
      <c r="G34" s="408"/>
      <c r="H34" s="394">
        <f t="shared" si="0"/>
        <v>0</v>
      </c>
      <c r="I34" s="406"/>
      <c r="J34" s="406"/>
      <c r="K34" s="406"/>
      <c r="L34" s="406"/>
      <c r="M34" s="394">
        <f t="shared" si="1"/>
        <v>0</v>
      </c>
      <c r="N34" s="394">
        <f t="shared" si="2"/>
        <v>0</v>
      </c>
      <c r="O34" s="406"/>
      <c r="P34" s="406">
        <f t="shared" si="4"/>
        <v>0</v>
      </c>
      <c r="Q34" s="406"/>
      <c r="R34" s="712"/>
      <c r="S34" s="394">
        <f t="shared" si="3"/>
        <v>0</v>
      </c>
      <c r="T34" s="408"/>
      <c r="U34" s="1588">
        <f t="shared" si="5"/>
        <v>0</v>
      </c>
      <c r="V34" s="1588">
        <f t="shared" si="6"/>
        <v>0</v>
      </c>
    </row>
    <row r="35" spans="1:22" s="1586" customFormat="1" hidden="1" x14ac:dyDescent="0.2">
      <c r="A35" s="1584" t="s">
        <v>637</v>
      </c>
      <c r="B35" s="409" t="s">
        <v>638</v>
      </c>
      <c r="C35" s="1585" t="s">
        <v>593</v>
      </c>
      <c r="D35" s="408"/>
      <c r="E35" s="408"/>
      <c r="F35" s="408"/>
      <c r="G35" s="408"/>
      <c r="H35" s="394">
        <f t="shared" si="0"/>
        <v>0</v>
      </c>
      <c r="I35" s="406"/>
      <c r="J35" s="406"/>
      <c r="K35" s="406"/>
      <c r="L35" s="406"/>
      <c r="M35" s="394">
        <f t="shared" si="1"/>
        <v>0</v>
      </c>
      <c r="N35" s="394">
        <f t="shared" si="2"/>
        <v>0</v>
      </c>
      <c r="O35" s="406"/>
      <c r="P35" s="406">
        <f t="shared" si="4"/>
        <v>0</v>
      </c>
      <c r="Q35" s="406"/>
      <c r="R35" s="712"/>
      <c r="S35" s="394">
        <f t="shared" si="3"/>
        <v>0</v>
      </c>
      <c r="T35" s="408"/>
      <c r="U35" s="1588">
        <f t="shared" si="5"/>
        <v>0</v>
      </c>
      <c r="V35" s="1588">
        <f t="shared" si="6"/>
        <v>0</v>
      </c>
    </row>
    <row r="36" spans="1:22" s="1586" customFormat="1" hidden="1" x14ac:dyDescent="0.2">
      <c r="A36" s="1584" t="s">
        <v>639</v>
      </c>
      <c r="B36" s="409" t="s">
        <v>640</v>
      </c>
      <c r="C36" s="1585" t="s">
        <v>593</v>
      </c>
      <c r="D36" s="408"/>
      <c r="E36" s="408"/>
      <c r="F36" s="408"/>
      <c r="G36" s="408"/>
      <c r="H36" s="394">
        <f t="shared" si="0"/>
        <v>0</v>
      </c>
      <c r="I36" s="406"/>
      <c r="J36" s="406"/>
      <c r="K36" s="406"/>
      <c r="L36" s="406"/>
      <c r="M36" s="394">
        <f t="shared" si="1"/>
        <v>0</v>
      </c>
      <c r="N36" s="394">
        <f t="shared" si="2"/>
        <v>0</v>
      </c>
      <c r="O36" s="406"/>
      <c r="P36" s="406">
        <f t="shared" si="4"/>
        <v>0</v>
      </c>
      <c r="Q36" s="406"/>
      <c r="R36" s="712"/>
      <c r="S36" s="394">
        <f t="shared" si="3"/>
        <v>0</v>
      </c>
      <c r="T36" s="408"/>
      <c r="U36" s="1588">
        <f t="shared" si="5"/>
        <v>0</v>
      </c>
      <c r="V36" s="1588">
        <f t="shared" si="6"/>
        <v>0</v>
      </c>
    </row>
    <row r="37" spans="1:22" s="1586" customFormat="1" hidden="1" x14ac:dyDescent="0.2">
      <c r="A37" s="1584" t="s">
        <v>641</v>
      </c>
      <c r="B37" s="409" t="s">
        <v>642</v>
      </c>
      <c r="C37" s="1585" t="s">
        <v>593</v>
      </c>
      <c r="D37" s="408"/>
      <c r="E37" s="408"/>
      <c r="F37" s="408"/>
      <c r="G37" s="408"/>
      <c r="H37" s="394">
        <f t="shared" si="0"/>
        <v>0</v>
      </c>
      <c r="I37" s="406"/>
      <c r="J37" s="406"/>
      <c r="K37" s="406"/>
      <c r="L37" s="406"/>
      <c r="M37" s="394">
        <f t="shared" si="1"/>
        <v>0</v>
      </c>
      <c r="N37" s="394">
        <f t="shared" si="2"/>
        <v>0</v>
      </c>
      <c r="O37" s="406"/>
      <c r="P37" s="406">
        <f t="shared" si="4"/>
        <v>0</v>
      </c>
      <c r="Q37" s="406"/>
      <c r="R37" s="712"/>
      <c r="S37" s="394">
        <f t="shared" si="3"/>
        <v>0</v>
      </c>
      <c r="T37" s="408"/>
      <c r="U37" s="1588">
        <f t="shared" si="5"/>
        <v>0</v>
      </c>
      <c r="V37" s="1588">
        <f t="shared" si="6"/>
        <v>0</v>
      </c>
    </row>
    <row r="38" spans="1:22" s="1586" customFormat="1" hidden="1" x14ac:dyDescent="0.2">
      <c r="A38" s="1584" t="s">
        <v>643</v>
      </c>
      <c r="B38" s="409" t="s">
        <v>644</v>
      </c>
      <c r="C38" s="1585"/>
      <c r="D38" s="408"/>
      <c r="E38" s="408"/>
      <c r="F38" s="408"/>
      <c r="G38" s="408"/>
      <c r="H38" s="394">
        <f t="shared" si="0"/>
        <v>0</v>
      </c>
      <c r="I38" s="406"/>
      <c r="J38" s="406"/>
      <c r="K38" s="406"/>
      <c r="L38" s="406"/>
      <c r="M38" s="394">
        <f t="shared" si="1"/>
        <v>0</v>
      </c>
      <c r="N38" s="394">
        <f t="shared" si="2"/>
        <v>0</v>
      </c>
      <c r="O38" s="406"/>
      <c r="P38" s="406">
        <f t="shared" si="4"/>
        <v>0</v>
      </c>
      <c r="Q38" s="406"/>
      <c r="R38" s="712"/>
      <c r="S38" s="394">
        <f t="shared" si="3"/>
        <v>0</v>
      </c>
      <c r="T38" s="408"/>
      <c r="U38" s="1588">
        <f t="shared" si="5"/>
        <v>0</v>
      </c>
      <c r="V38" s="1588">
        <f t="shared" si="6"/>
        <v>0</v>
      </c>
    </row>
    <row r="39" spans="1:22" s="1586" customFormat="1" hidden="1" x14ac:dyDescent="0.2">
      <c r="A39" s="1584" t="s">
        <v>645</v>
      </c>
      <c r="B39" s="409" t="s">
        <v>638</v>
      </c>
      <c r="C39" s="1585" t="s">
        <v>593</v>
      </c>
      <c r="D39" s="408"/>
      <c r="E39" s="408"/>
      <c r="F39" s="408"/>
      <c r="G39" s="408"/>
      <c r="H39" s="394">
        <f t="shared" si="0"/>
        <v>0</v>
      </c>
      <c r="I39" s="406"/>
      <c r="J39" s="406"/>
      <c r="K39" s="406"/>
      <c r="L39" s="406"/>
      <c r="M39" s="394">
        <f t="shared" si="1"/>
        <v>0</v>
      </c>
      <c r="N39" s="394">
        <f t="shared" si="2"/>
        <v>0</v>
      </c>
      <c r="O39" s="406"/>
      <c r="P39" s="406">
        <f t="shared" si="4"/>
        <v>0</v>
      </c>
      <c r="Q39" s="406"/>
      <c r="R39" s="712"/>
      <c r="S39" s="394">
        <f t="shared" si="3"/>
        <v>0</v>
      </c>
      <c r="T39" s="408"/>
      <c r="U39" s="1588">
        <f t="shared" si="5"/>
        <v>0</v>
      </c>
      <c r="V39" s="1588">
        <f t="shared" si="6"/>
        <v>0</v>
      </c>
    </row>
    <row r="40" spans="1:22" s="1586" customFormat="1" hidden="1" x14ac:dyDescent="0.2">
      <c r="A40" s="1584" t="s">
        <v>646</v>
      </c>
      <c r="B40" s="409" t="s">
        <v>640</v>
      </c>
      <c r="C40" s="1585" t="s">
        <v>593</v>
      </c>
      <c r="D40" s="408"/>
      <c r="E40" s="408"/>
      <c r="F40" s="408"/>
      <c r="G40" s="408"/>
      <c r="H40" s="394">
        <f t="shared" si="0"/>
        <v>0</v>
      </c>
      <c r="I40" s="406"/>
      <c r="J40" s="406"/>
      <c r="K40" s="406"/>
      <c r="L40" s="406"/>
      <c r="M40" s="394">
        <f t="shared" si="1"/>
        <v>0</v>
      </c>
      <c r="N40" s="394">
        <f t="shared" si="2"/>
        <v>0</v>
      </c>
      <c r="O40" s="406"/>
      <c r="P40" s="406">
        <f t="shared" si="4"/>
        <v>0</v>
      </c>
      <c r="Q40" s="406"/>
      <c r="R40" s="712"/>
      <c r="S40" s="394">
        <f t="shared" si="3"/>
        <v>0</v>
      </c>
      <c r="T40" s="408"/>
      <c r="U40" s="1588">
        <f t="shared" si="5"/>
        <v>0</v>
      </c>
      <c r="V40" s="1588">
        <f t="shared" si="6"/>
        <v>0</v>
      </c>
    </row>
    <row r="41" spans="1:22" s="1586" customFormat="1" hidden="1" x14ac:dyDescent="0.2">
      <c r="A41" s="1584" t="s">
        <v>647</v>
      </c>
      <c r="B41" s="409" t="s">
        <v>642</v>
      </c>
      <c r="C41" s="1585" t="s">
        <v>593</v>
      </c>
      <c r="D41" s="408"/>
      <c r="E41" s="408"/>
      <c r="F41" s="408"/>
      <c r="G41" s="408"/>
      <c r="H41" s="394">
        <f t="shared" si="0"/>
        <v>0</v>
      </c>
      <c r="I41" s="406"/>
      <c r="J41" s="406"/>
      <c r="K41" s="406"/>
      <c r="L41" s="406"/>
      <c r="M41" s="394">
        <f t="shared" si="1"/>
        <v>0</v>
      </c>
      <c r="N41" s="394">
        <f t="shared" si="2"/>
        <v>0</v>
      </c>
      <c r="O41" s="406"/>
      <c r="P41" s="406">
        <f t="shared" si="4"/>
        <v>0</v>
      </c>
      <c r="Q41" s="406"/>
      <c r="R41" s="712"/>
      <c r="S41" s="394">
        <f t="shared" si="3"/>
        <v>0</v>
      </c>
      <c r="T41" s="408"/>
      <c r="U41" s="1588">
        <f t="shared" si="5"/>
        <v>0</v>
      </c>
      <c r="V41" s="1588">
        <f t="shared" si="6"/>
        <v>0</v>
      </c>
    </row>
    <row r="42" spans="1:22" s="1586" customFormat="1" ht="22.5" hidden="1" x14ac:dyDescent="0.2">
      <c r="A42" s="1584" t="s">
        <v>648</v>
      </c>
      <c r="B42" s="409" t="s">
        <v>649</v>
      </c>
      <c r="C42" s="1585"/>
      <c r="D42" s="408"/>
      <c r="E42" s="408"/>
      <c r="F42" s="408"/>
      <c r="G42" s="408"/>
      <c r="H42" s="394">
        <f t="shared" si="0"/>
        <v>0</v>
      </c>
      <c r="I42" s="406"/>
      <c r="J42" s="406"/>
      <c r="K42" s="406"/>
      <c r="L42" s="406"/>
      <c r="M42" s="394">
        <f t="shared" si="1"/>
        <v>0</v>
      </c>
      <c r="N42" s="394">
        <f t="shared" si="2"/>
        <v>0</v>
      </c>
      <c r="O42" s="406"/>
      <c r="P42" s="406">
        <f t="shared" si="4"/>
        <v>0</v>
      </c>
      <c r="Q42" s="406"/>
      <c r="R42" s="712"/>
      <c r="S42" s="394">
        <f t="shared" si="3"/>
        <v>0</v>
      </c>
      <c r="T42" s="408"/>
      <c r="U42" s="1588">
        <f t="shared" si="5"/>
        <v>0</v>
      </c>
      <c r="V42" s="1588">
        <f t="shared" si="6"/>
        <v>0</v>
      </c>
    </row>
    <row r="43" spans="1:22" s="1586" customFormat="1" hidden="1" x14ac:dyDescent="0.2">
      <c r="A43" s="1584" t="s">
        <v>650</v>
      </c>
      <c r="B43" s="409" t="s">
        <v>651</v>
      </c>
      <c r="C43" s="1585" t="s">
        <v>593</v>
      </c>
      <c r="D43" s="408"/>
      <c r="E43" s="408"/>
      <c r="F43" s="408"/>
      <c r="G43" s="408"/>
      <c r="H43" s="394">
        <f t="shared" si="0"/>
        <v>0</v>
      </c>
      <c r="I43" s="406"/>
      <c r="J43" s="406"/>
      <c r="K43" s="406"/>
      <c r="L43" s="406"/>
      <c r="M43" s="394">
        <f t="shared" si="1"/>
        <v>0</v>
      </c>
      <c r="N43" s="394">
        <f t="shared" si="2"/>
        <v>0</v>
      </c>
      <c r="O43" s="406"/>
      <c r="P43" s="406">
        <f t="shared" si="4"/>
        <v>0</v>
      </c>
      <c r="Q43" s="406"/>
      <c r="R43" s="712"/>
      <c r="S43" s="394">
        <f t="shared" si="3"/>
        <v>0</v>
      </c>
      <c r="T43" s="408"/>
      <c r="U43" s="1588">
        <f t="shared" si="5"/>
        <v>0</v>
      </c>
      <c r="V43" s="1588">
        <f t="shared" si="6"/>
        <v>0</v>
      </c>
    </row>
    <row r="44" spans="1:22" s="1586" customFormat="1" hidden="1" x14ac:dyDescent="0.2">
      <c r="A44" s="1584" t="s">
        <v>652</v>
      </c>
      <c r="B44" s="409" t="s">
        <v>640</v>
      </c>
      <c r="C44" s="1585" t="s">
        <v>593</v>
      </c>
      <c r="D44" s="408"/>
      <c r="E44" s="408"/>
      <c r="F44" s="408"/>
      <c r="G44" s="408"/>
      <c r="H44" s="394">
        <f t="shared" si="0"/>
        <v>0</v>
      </c>
      <c r="I44" s="406"/>
      <c r="J44" s="406"/>
      <c r="K44" s="406"/>
      <c r="L44" s="406"/>
      <c r="M44" s="394">
        <f t="shared" si="1"/>
        <v>0</v>
      </c>
      <c r="N44" s="394">
        <f t="shared" si="2"/>
        <v>0</v>
      </c>
      <c r="O44" s="406"/>
      <c r="P44" s="406">
        <f t="shared" si="4"/>
        <v>0</v>
      </c>
      <c r="Q44" s="406"/>
      <c r="R44" s="712"/>
      <c r="S44" s="394">
        <f t="shared" si="3"/>
        <v>0</v>
      </c>
      <c r="T44" s="408"/>
      <c r="U44" s="1588">
        <f t="shared" si="5"/>
        <v>0</v>
      </c>
      <c r="V44" s="1588">
        <f t="shared" si="6"/>
        <v>0</v>
      </c>
    </row>
    <row r="45" spans="1:22" s="1586" customFormat="1" hidden="1" x14ac:dyDescent="0.2">
      <c r="A45" s="1584" t="s">
        <v>653</v>
      </c>
      <c r="B45" s="409" t="s">
        <v>654</v>
      </c>
      <c r="C45" s="1585" t="s">
        <v>593</v>
      </c>
      <c r="D45" s="408"/>
      <c r="E45" s="408"/>
      <c r="F45" s="408"/>
      <c r="G45" s="408"/>
      <c r="H45" s="394">
        <f t="shared" si="0"/>
        <v>0</v>
      </c>
      <c r="I45" s="406"/>
      <c r="J45" s="406"/>
      <c r="K45" s="406"/>
      <c r="L45" s="406"/>
      <c r="M45" s="394">
        <f t="shared" si="1"/>
        <v>0</v>
      </c>
      <c r="N45" s="394">
        <f t="shared" si="2"/>
        <v>0</v>
      </c>
      <c r="O45" s="406"/>
      <c r="P45" s="406">
        <f t="shared" si="4"/>
        <v>0</v>
      </c>
      <c r="Q45" s="406"/>
      <c r="R45" s="712"/>
      <c r="S45" s="394">
        <f t="shared" si="3"/>
        <v>0</v>
      </c>
      <c r="T45" s="408"/>
      <c r="U45" s="1588">
        <f t="shared" si="5"/>
        <v>0</v>
      </c>
      <c r="V45" s="1588">
        <f t="shared" si="6"/>
        <v>0</v>
      </c>
    </row>
    <row r="46" spans="1:22" s="1586" customFormat="1" ht="22.5" hidden="1" x14ac:dyDescent="0.2">
      <c r="A46" s="1584" t="s">
        <v>655</v>
      </c>
      <c r="B46" s="409" t="s">
        <v>656</v>
      </c>
      <c r="C46" s="1585" t="s">
        <v>593</v>
      </c>
      <c r="D46" s="408"/>
      <c r="E46" s="408"/>
      <c r="F46" s="408"/>
      <c r="G46" s="408"/>
      <c r="H46" s="394">
        <f t="shared" si="0"/>
        <v>0</v>
      </c>
      <c r="I46" s="406"/>
      <c r="J46" s="406"/>
      <c r="K46" s="406"/>
      <c r="L46" s="406"/>
      <c r="M46" s="394">
        <f t="shared" si="1"/>
        <v>0</v>
      </c>
      <c r="N46" s="394">
        <f t="shared" si="2"/>
        <v>0</v>
      </c>
      <c r="O46" s="406"/>
      <c r="P46" s="406">
        <f t="shared" si="4"/>
        <v>0</v>
      </c>
      <c r="Q46" s="406"/>
      <c r="R46" s="712"/>
      <c r="S46" s="394">
        <f t="shared" si="3"/>
        <v>0</v>
      </c>
      <c r="T46" s="408"/>
      <c r="U46" s="1588">
        <f t="shared" si="5"/>
        <v>0</v>
      </c>
      <c r="V46" s="1588">
        <f t="shared" si="6"/>
        <v>0</v>
      </c>
    </row>
    <row r="47" spans="1:22" s="1586" customFormat="1" hidden="1" x14ac:dyDescent="0.2">
      <c r="A47" s="1584" t="s">
        <v>657</v>
      </c>
      <c r="B47" s="409" t="s">
        <v>658</v>
      </c>
      <c r="C47" s="1585" t="s">
        <v>593</v>
      </c>
      <c r="D47" s="408"/>
      <c r="E47" s="408"/>
      <c r="F47" s="408"/>
      <c r="G47" s="408"/>
      <c r="H47" s="394">
        <f t="shared" si="0"/>
        <v>0</v>
      </c>
      <c r="I47" s="406"/>
      <c r="J47" s="406"/>
      <c r="K47" s="406"/>
      <c r="L47" s="406"/>
      <c r="M47" s="394">
        <f t="shared" si="1"/>
        <v>0</v>
      </c>
      <c r="N47" s="394">
        <f t="shared" si="2"/>
        <v>0</v>
      </c>
      <c r="O47" s="406"/>
      <c r="P47" s="406">
        <f t="shared" si="4"/>
        <v>0</v>
      </c>
      <c r="Q47" s="406"/>
      <c r="R47" s="712"/>
      <c r="S47" s="394">
        <f t="shared" si="3"/>
        <v>0</v>
      </c>
      <c r="T47" s="408"/>
      <c r="U47" s="1588">
        <f t="shared" si="5"/>
        <v>0</v>
      </c>
      <c r="V47" s="1588">
        <f t="shared" si="6"/>
        <v>0</v>
      </c>
    </row>
    <row r="48" spans="1:22" s="1586" customFormat="1" hidden="1" x14ac:dyDescent="0.2">
      <c r="A48" s="1584" t="s">
        <v>659</v>
      </c>
      <c r="B48" s="401" t="s">
        <v>660</v>
      </c>
      <c r="C48" s="1585"/>
      <c r="D48" s="408"/>
      <c r="E48" s="408"/>
      <c r="F48" s="408"/>
      <c r="G48" s="408"/>
      <c r="H48" s="394">
        <f t="shared" si="0"/>
        <v>0</v>
      </c>
      <c r="I48" s="406"/>
      <c r="J48" s="406"/>
      <c r="K48" s="406"/>
      <c r="L48" s="406"/>
      <c r="M48" s="394">
        <f t="shared" si="1"/>
        <v>0</v>
      </c>
      <c r="N48" s="394">
        <f t="shared" si="2"/>
        <v>0</v>
      </c>
      <c r="O48" s="406"/>
      <c r="P48" s="406">
        <f t="shared" si="4"/>
        <v>0</v>
      </c>
      <c r="Q48" s="406"/>
      <c r="R48" s="712"/>
      <c r="S48" s="394">
        <f t="shared" si="3"/>
        <v>0</v>
      </c>
      <c r="T48" s="408"/>
      <c r="U48" s="1588">
        <f t="shared" si="5"/>
        <v>0</v>
      </c>
      <c r="V48" s="1588">
        <f t="shared" si="6"/>
        <v>0</v>
      </c>
    </row>
    <row r="49" spans="1:22" s="1586" customFormat="1" hidden="1" x14ac:dyDescent="0.2">
      <c r="A49" s="1584" t="s">
        <v>661</v>
      </c>
      <c r="B49" s="409" t="s">
        <v>662</v>
      </c>
      <c r="C49" s="1585" t="s">
        <v>593</v>
      </c>
      <c r="D49" s="408"/>
      <c r="E49" s="408"/>
      <c r="F49" s="408"/>
      <c r="G49" s="408"/>
      <c r="H49" s="394">
        <f t="shared" si="0"/>
        <v>0</v>
      </c>
      <c r="I49" s="406"/>
      <c r="J49" s="406"/>
      <c r="K49" s="406"/>
      <c r="L49" s="406"/>
      <c r="M49" s="394">
        <f t="shared" si="1"/>
        <v>0</v>
      </c>
      <c r="N49" s="394">
        <f t="shared" si="2"/>
        <v>0</v>
      </c>
      <c r="O49" s="406"/>
      <c r="P49" s="406">
        <f t="shared" si="4"/>
        <v>0</v>
      </c>
      <c r="Q49" s="406"/>
      <c r="R49" s="712"/>
      <c r="S49" s="394">
        <f t="shared" si="3"/>
        <v>0</v>
      </c>
      <c r="T49" s="408"/>
      <c r="U49" s="1588">
        <f t="shared" si="5"/>
        <v>0</v>
      </c>
      <c r="V49" s="1588">
        <f t="shared" si="6"/>
        <v>0</v>
      </c>
    </row>
    <row r="50" spans="1:22" s="1586" customFormat="1" hidden="1" x14ac:dyDescent="0.2">
      <c r="A50" s="1584" t="s">
        <v>663</v>
      </c>
      <c r="B50" s="409" t="s">
        <v>664</v>
      </c>
      <c r="C50" s="1585" t="s">
        <v>593</v>
      </c>
      <c r="D50" s="408"/>
      <c r="E50" s="408"/>
      <c r="F50" s="408"/>
      <c r="G50" s="408"/>
      <c r="H50" s="394">
        <f t="shared" si="0"/>
        <v>0</v>
      </c>
      <c r="I50" s="406"/>
      <c r="J50" s="406"/>
      <c r="K50" s="406"/>
      <c r="L50" s="406"/>
      <c r="M50" s="394">
        <f t="shared" si="1"/>
        <v>0</v>
      </c>
      <c r="N50" s="394">
        <f t="shared" si="2"/>
        <v>0</v>
      </c>
      <c r="O50" s="406"/>
      <c r="P50" s="406">
        <f t="shared" si="4"/>
        <v>0</v>
      </c>
      <c r="Q50" s="406"/>
      <c r="R50" s="712"/>
      <c r="S50" s="394">
        <f t="shared" si="3"/>
        <v>0</v>
      </c>
      <c r="T50" s="408"/>
      <c r="U50" s="1588">
        <f t="shared" si="5"/>
        <v>0</v>
      </c>
      <c r="V50" s="1588">
        <f t="shared" si="6"/>
        <v>0</v>
      </c>
    </row>
    <row r="51" spans="1:22" s="1586" customFormat="1" hidden="1" x14ac:dyDescent="0.2">
      <c r="A51" s="1584" t="s">
        <v>665</v>
      </c>
      <c r="B51" s="401" t="s">
        <v>666</v>
      </c>
      <c r="C51" s="1585"/>
      <c r="D51" s="408"/>
      <c r="E51" s="408"/>
      <c r="F51" s="408"/>
      <c r="G51" s="408"/>
      <c r="H51" s="394">
        <f t="shared" si="0"/>
        <v>0</v>
      </c>
      <c r="I51" s="406"/>
      <c r="J51" s="406"/>
      <c r="K51" s="406"/>
      <c r="L51" s="406"/>
      <c r="M51" s="394">
        <f t="shared" si="1"/>
        <v>0</v>
      </c>
      <c r="N51" s="394">
        <f t="shared" si="2"/>
        <v>0</v>
      </c>
      <c r="O51" s="406"/>
      <c r="P51" s="406">
        <f t="shared" si="4"/>
        <v>0</v>
      </c>
      <c r="Q51" s="406"/>
      <c r="R51" s="712"/>
      <c r="S51" s="394">
        <f t="shared" si="3"/>
        <v>0</v>
      </c>
      <c r="T51" s="408"/>
      <c r="U51" s="1588">
        <f t="shared" si="5"/>
        <v>0</v>
      </c>
      <c r="V51" s="1588">
        <f t="shared" si="6"/>
        <v>0</v>
      </c>
    </row>
    <row r="52" spans="1:22" s="1586" customFormat="1" ht="33.75" hidden="1" x14ac:dyDescent="0.2">
      <c r="A52" s="1584" t="s">
        <v>667</v>
      </c>
      <c r="B52" s="1591" t="s">
        <v>668</v>
      </c>
      <c r="C52" s="1585" t="s">
        <v>593</v>
      </c>
      <c r="D52" s="408"/>
      <c r="E52" s="408"/>
      <c r="F52" s="408"/>
      <c r="G52" s="408"/>
      <c r="H52" s="394">
        <f t="shared" si="0"/>
        <v>0</v>
      </c>
      <c r="I52" s="406"/>
      <c r="J52" s="406"/>
      <c r="K52" s="406"/>
      <c r="L52" s="406"/>
      <c r="M52" s="394">
        <f t="shared" si="1"/>
        <v>0</v>
      </c>
      <c r="N52" s="394">
        <f t="shared" si="2"/>
        <v>0</v>
      </c>
      <c r="O52" s="406"/>
      <c r="P52" s="406">
        <f t="shared" si="4"/>
        <v>0</v>
      </c>
      <c r="Q52" s="406"/>
      <c r="R52" s="712"/>
      <c r="S52" s="394">
        <f t="shared" si="3"/>
        <v>0</v>
      </c>
      <c r="T52" s="408"/>
      <c r="U52" s="1588">
        <f t="shared" si="5"/>
        <v>0</v>
      </c>
      <c r="V52" s="1588">
        <f t="shared" si="6"/>
        <v>0</v>
      </c>
    </row>
    <row r="53" spans="1:22" s="1586" customFormat="1" hidden="1" x14ac:dyDescent="0.2">
      <c r="A53" s="1584" t="s">
        <v>669</v>
      </c>
      <c r="B53" s="1591" t="s">
        <v>670</v>
      </c>
      <c r="C53" s="1585" t="s">
        <v>593</v>
      </c>
      <c r="D53" s="408"/>
      <c r="E53" s="408"/>
      <c r="F53" s="408"/>
      <c r="G53" s="408"/>
      <c r="H53" s="394">
        <f t="shared" si="0"/>
        <v>0</v>
      </c>
      <c r="I53" s="406"/>
      <c r="J53" s="406"/>
      <c r="K53" s="406"/>
      <c r="L53" s="406"/>
      <c r="M53" s="394">
        <f t="shared" si="1"/>
        <v>0</v>
      </c>
      <c r="N53" s="394">
        <f t="shared" si="2"/>
        <v>0</v>
      </c>
      <c r="O53" s="406"/>
      <c r="P53" s="406">
        <f t="shared" si="4"/>
        <v>0</v>
      </c>
      <c r="Q53" s="406"/>
      <c r="R53" s="712"/>
      <c r="S53" s="394">
        <f t="shared" si="3"/>
        <v>0</v>
      </c>
      <c r="T53" s="408"/>
      <c r="U53" s="1588">
        <f t="shared" si="5"/>
        <v>0</v>
      </c>
      <c r="V53" s="1588">
        <f t="shared" si="6"/>
        <v>0</v>
      </c>
    </row>
    <row r="54" spans="1:22" s="1586" customFormat="1" ht="22.5" hidden="1" x14ac:dyDescent="0.2">
      <c r="A54" s="1584" t="s">
        <v>671</v>
      </c>
      <c r="B54" s="1592" t="s">
        <v>672</v>
      </c>
      <c r="C54" s="1585"/>
      <c r="D54" s="408"/>
      <c r="E54" s="408"/>
      <c r="F54" s="408"/>
      <c r="G54" s="408"/>
      <c r="H54" s="394">
        <f t="shared" si="0"/>
        <v>0</v>
      </c>
      <c r="I54" s="406"/>
      <c r="J54" s="406"/>
      <c r="K54" s="406"/>
      <c r="L54" s="406"/>
      <c r="M54" s="394">
        <f t="shared" si="1"/>
        <v>0</v>
      </c>
      <c r="N54" s="394">
        <f t="shared" si="2"/>
        <v>0</v>
      </c>
      <c r="O54" s="406"/>
      <c r="P54" s="406">
        <f t="shared" si="4"/>
        <v>0</v>
      </c>
      <c r="Q54" s="406"/>
      <c r="R54" s="712"/>
      <c r="S54" s="394">
        <f t="shared" si="3"/>
        <v>0</v>
      </c>
      <c r="T54" s="408"/>
      <c r="U54" s="1588">
        <f t="shared" si="5"/>
        <v>0</v>
      </c>
      <c r="V54" s="1588">
        <f t="shared" si="6"/>
        <v>0</v>
      </c>
    </row>
    <row r="55" spans="1:22" s="1586" customFormat="1" ht="33.75" hidden="1" x14ac:dyDescent="0.2">
      <c r="A55" s="1584" t="s">
        <v>673</v>
      </c>
      <c r="B55" s="1591" t="s">
        <v>674</v>
      </c>
      <c r="C55" s="1585" t="s">
        <v>593</v>
      </c>
      <c r="D55" s="408"/>
      <c r="E55" s="408"/>
      <c r="F55" s="408"/>
      <c r="G55" s="408"/>
      <c r="H55" s="394">
        <f t="shared" si="0"/>
        <v>0</v>
      </c>
      <c r="I55" s="406"/>
      <c r="J55" s="406"/>
      <c r="K55" s="406"/>
      <c r="L55" s="406"/>
      <c r="M55" s="394">
        <f t="shared" si="1"/>
        <v>0</v>
      </c>
      <c r="N55" s="394">
        <f t="shared" si="2"/>
        <v>0</v>
      </c>
      <c r="O55" s="406"/>
      <c r="P55" s="406">
        <f t="shared" si="4"/>
        <v>0</v>
      </c>
      <c r="Q55" s="406"/>
      <c r="R55" s="712"/>
      <c r="S55" s="394">
        <f t="shared" si="3"/>
        <v>0</v>
      </c>
      <c r="T55" s="408"/>
      <c r="U55" s="1588">
        <f t="shared" si="5"/>
        <v>0</v>
      </c>
      <c r="V55" s="1588">
        <f t="shared" si="6"/>
        <v>0</v>
      </c>
    </row>
    <row r="56" spans="1:22" s="1586" customFormat="1" ht="22.5" hidden="1" x14ac:dyDescent="0.2">
      <c r="A56" s="1584" t="s">
        <v>675</v>
      </c>
      <c r="B56" s="1591" t="s">
        <v>676</v>
      </c>
      <c r="C56" s="1585" t="s">
        <v>593</v>
      </c>
      <c r="D56" s="408"/>
      <c r="E56" s="408"/>
      <c r="F56" s="408"/>
      <c r="G56" s="408"/>
      <c r="H56" s="394">
        <f t="shared" si="0"/>
        <v>0</v>
      </c>
      <c r="I56" s="406"/>
      <c r="J56" s="406"/>
      <c r="K56" s="406"/>
      <c r="L56" s="406"/>
      <c r="M56" s="394">
        <f t="shared" si="1"/>
        <v>0</v>
      </c>
      <c r="N56" s="394">
        <f t="shared" si="2"/>
        <v>0</v>
      </c>
      <c r="O56" s="406"/>
      <c r="P56" s="406">
        <f t="shared" si="4"/>
        <v>0</v>
      </c>
      <c r="Q56" s="406"/>
      <c r="R56" s="712"/>
      <c r="S56" s="394">
        <f t="shared" si="3"/>
        <v>0</v>
      </c>
      <c r="T56" s="408"/>
      <c r="U56" s="1588">
        <f t="shared" si="5"/>
        <v>0</v>
      </c>
      <c r="V56" s="1588">
        <f t="shared" si="6"/>
        <v>0</v>
      </c>
    </row>
    <row r="57" spans="1:22" s="1586" customFormat="1" ht="22.5" hidden="1" x14ac:dyDescent="0.2">
      <c r="A57" s="1584" t="s">
        <v>677</v>
      </c>
      <c r="B57" s="1592" t="s">
        <v>678</v>
      </c>
      <c r="C57" s="1585" t="s">
        <v>593</v>
      </c>
      <c r="D57" s="408"/>
      <c r="E57" s="408"/>
      <c r="F57" s="408"/>
      <c r="G57" s="408"/>
      <c r="H57" s="394">
        <f t="shared" si="0"/>
        <v>0</v>
      </c>
      <c r="I57" s="406"/>
      <c r="J57" s="406"/>
      <c r="K57" s="406"/>
      <c r="L57" s="406"/>
      <c r="M57" s="394">
        <f t="shared" si="1"/>
        <v>0</v>
      </c>
      <c r="N57" s="394">
        <f t="shared" si="2"/>
        <v>0</v>
      </c>
      <c r="O57" s="406"/>
      <c r="P57" s="406">
        <f t="shared" si="4"/>
        <v>0</v>
      </c>
      <c r="Q57" s="406"/>
      <c r="R57" s="712"/>
      <c r="S57" s="394">
        <f t="shared" si="3"/>
        <v>0</v>
      </c>
      <c r="T57" s="408"/>
      <c r="U57" s="1588">
        <f t="shared" si="5"/>
        <v>0</v>
      </c>
      <c r="V57" s="1588">
        <f t="shared" si="6"/>
        <v>0</v>
      </c>
    </row>
    <row r="58" spans="1:22" s="1586" customFormat="1" ht="45" x14ac:dyDescent="0.2">
      <c r="A58" s="1584" t="s">
        <v>679</v>
      </c>
      <c r="B58" s="407" t="s">
        <v>680</v>
      </c>
      <c r="C58" s="1585"/>
      <c r="D58" s="408">
        <v>1</v>
      </c>
      <c r="E58" s="408">
        <v>1</v>
      </c>
      <c r="F58" s="408">
        <v>1</v>
      </c>
      <c r="G58" s="408">
        <v>1</v>
      </c>
      <c r="H58" s="394">
        <f t="shared" si="0"/>
        <v>1</v>
      </c>
      <c r="I58" s="406">
        <v>1106.04</v>
      </c>
      <c r="J58" s="406">
        <v>200.04</v>
      </c>
      <c r="K58" s="406">
        <v>200.04</v>
      </c>
      <c r="L58" s="406">
        <v>200.04</v>
      </c>
      <c r="M58" s="394">
        <f t="shared" si="1"/>
        <v>1</v>
      </c>
      <c r="N58" s="394">
        <f t="shared" si="2"/>
        <v>0.18</v>
      </c>
      <c r="O58" s="406">
        <f>I58*D58/1000</f>
        <v>1.1100000000000001</v>
      </c>
      <c r="P58" s="406">
        <f>J58*E58/1000</f>
        <v>0.2</v>
      </c>
      <c r="Q58" s="406">
        <f>K58*F58/1000</f>
        <v>0.2</v>
      </c>
      <c r="R58" s="406"/>
      <c r="S58" s="394">
        <f t="shared" si="3"/>
        <v>0</v>
      </c>
      <c r="T58" s="410" t="s">
        <v>1579</v>
      </c>
      <c r="U58" s="1588">
        <f t="shared" si="5"/>
        <v>0</v>
      </c>
      <c r="V58" s="1588">
        <f t="shared" si="6"/>
        <v>0</v>
      </c>
    </row>
    <row r="59" spans="1:22" s="1586" customFormat="1" ht="12.75" x14ac:dyDescent="0.2">
      <c r="A59" s="1584"/>
      <c r="B59" s="407"/>
      <c r="C59" s="1585"/>
      <c r="D59" s="408"/>
      <c r="E59" s="408"/>
      <c r="F59" s="408"/>
      <c r="G59" s="408"/>
      <c r="H59" s="394">
        <f t="shared" si="0"/>
        <v>0</v>
      </c>
      <c r="I59" s="406"/>
      <c r="J59" s="406"/>
      <c r="K59" s="406"/>
      <c r="L59" s="406"/>
      <c r="M59" s="394">
        <f t="shared" si="1"/>
        <v>0</v>
      </c>
      <c r="N59" s="394">
        <f t="shared" si="2"/>
        <v>0</v>
      </c>
      <c r="O59" s="406"/>
      <c r="P59" s="406"/>
      <c r="Q59" s="406"/>
      <c r="R59" s="712"/>
      <c r="S59" s="394">
        <f t="shared" si="3"/>
        <v>0</v>
      </c>
      <c r="T59" s="408"/>
      <c r="U59" s="1588"/>
      <c r="V59" s="1588"/>
    </row>
    <row r="60" spans="1:22" s="1586" customFormat="1" hidden="1" x14ac:dyDescent="0.2">
      <c r="A60" s="1584" t="s">
        <v>681</v>
      </c>
      <c r="B60" s="401" t="s">
        <v>682</v>
      </c>
      <c r="C60" s="1585"/>
      <c r="D60" s="408"/>
      <c r="E60" s="408"/>
      <c r="F60" s="408"/>
      <c r="G60" s="408"/>
      <c r="H60" s="394">
        <f t="shared" si="0"/>
        <v>0</v>
      </c>
      <c r="I60" s="406"/>
      <c r="J60" s="406"/>
      <c r="K60" s="406"/>
      <c r="L60" s="406"/>
      <c r="M60" s="394">
        <f t="shared" si="1"/>
        <v>0</v>
      </c>
      <c r="N60" s="394">
        <f t="shared" si="2"/>
        <v>0</v>
      </c>
      <c r="O60" s="406"/>
      <c r="P60" s="406"/>
      <c r="Q60" s="406"/>
      <c r="R60" s="712"/>
      <c r="S60" s="394">
        <f t="shared" si="3"/>
        <v>0</v>
      </c>
      <c r="T60" s="408"/>
      <c r="U60" s="1588">
        <f t="shared" si="5"/>
        <v>0</v>
      </c>
      <c r="V60" s="1588">
        <f t="shared" si="6"/>
        <v>0</v>
      </c>
    </row>
    <row r="61" spans="1:22" s="1586" customFormat="1" hidden="1" x14ac:dyDescent="0.2">
      <c r="A61" s="1584" t="s">
        <v>683</v>
      </c>
      <c r="B61" s="409" t="s">
        <v>1580</v>
      </c>
      <c r="C61" s="1585" t="s">
        <v>593</v>
      </c>
      <c r="D61" s="408"/>
      <c r="E61" s="408"/>
      <c r="F61" s="408"/>
      <c r="G61" s="408"/>
      <c r="H61" s="394">
        <f t="shared" si="0"/>
        <v>0</v>
      </c>
      <c r="I61" s="406"/>
      <c r="J61" s="406"/>
      <c r="K61" s="406"/>
      <c r="L61" s="406"/>
      <c r="M61" s="394">
        <f t="shared" si="1"/>
        <v>0</v>
      </c>
      <c r="N61" s="394">
        <f t="shared" si="2"/>
        <v>0</v>
      </c>
      <c r="O61" s="406"/>
      <c r="P61" s="406"/>
      <c r="Q61" s="406"/>
      <c r="R61" s="712"/>
      <c r="S61" s="394">
        <f t="shared" si="3"/>
        <v>0</v>
      </c>
      <c r="T61" s="408"/>
      <c r="U61" s="1588">
        <f t="shared" si="5"/>
        <v>0</v>
      </c>
      <c r="V61" s="1588">
        <f t="shared" si="6"/>
        <v>0</v>
      </c>
    </row>
    <row r="62" spans="1:22" s="1586" customFormat="1" hidden="1" x14ac:dyDescent="0.2">
      <c r="A62" s="1584" t="s">
        <v>685</v>
      </c>
      <c r="B62" s="401" t="s">
        <v>686</v>
      </c>
      <c r="C62" s="1585"/>
      <c r="D62" s="408"/>
      <c r="E62" s="408"/>
      <c r="F62" s="408"/>
      <c r="G62" s="408"/>
      <c r="H62" s="394">
        <f t="shared" si="0"/>
        <v>0</v>
      </c>
      <c r="I62" s="406"/>
      <c r="J62" s="406"/>
      <c r="K62" s="406"/>
      <c r="L62" s="406"/>
      <c r="M62" s="394">
        <f t="shared" si="1"/>
        <v>0</v>
      </c>
      <c r="N62" s="394">
        <f t="shared" si="2"/>
        <v>0</v>
      </c>
      <c r="O62" s="406"/>
      <c r="P62" s="406"/>
      <c r="Q62" s="406"/>
      <c r="R62" s="712"/>
      <c r="S62" s="394">
        <f t="shared" si="3"/>
        <v>0</v>
      </c>
      <c r="T62" s="408"/>
      <c r="U62" s="1588">
        <f t="shared" si="5"/>
        <v>0</v>
      </c>
      <c r="V62" s="1588">
        <f t="shared" si="6"/>
        <v>0</v>
      </c>
    </row>
    <row r="63" spans="1:22" s="1586" customFormat="1" hidden="1" x14ac:dyDescent="0.2">
      <c r="A63" s="1584" t="s">
        <v>687</v>
      </c>
      <c r="B63" s="409" t="s">
        <v>1580</v>
      </c>
      <c r="C63" s="1585" t="s">
        <v>688</v>
      </c>
      <c r="D63" s="710"/>
      <c r="E63" s="710"/>
      <c r="F63" s="710"/>
      <c r="G63" s="710"/>
      <c r="H63" s="394">
        <f t="shared" si="0"/>
        <v>0</v>
      </c>
      <c r="I63" s="406"/>
      <c r="J63" s="406"/>
      <c r="K63" s="406"/>
      <c r="L63" s="406"/>
      <c r="M63" s="394">
        <f t="shared" si="1"/>
        <v>0</v>
      </c>
      <c r="N63" s="394">
        <f t="shared" si="2"/>
        <v>0</v>
      </c>
      <c r="O63" s="406"/>
      <c r="P63" s="406"/>
      <c r="Q63" s="406"/>
      <c r="R63" s="712"/>
      <c r="S63" s="394">
        <f t="shared" si="3"/>
        <v>0</v>
      </c>
      <c r="T63" s="408"/>
      <c r="U63" s="1588">
        <f t="shared" si="5"/>
        <v>0</v>
      </c>
      <c r="V63" s="1593">
        <f t="shared" si="6"/>
        <v>0</v>
      </c>
    </row>
    <row r="64" spans="1:22" s="1586" customFormat="1" ht="12.75" x14ac:dyDescent="0.2">
      <c r="A64" s="1584" t="s">
        <v>689</v>
      </c>
      <c r="B64" s="407" t="s">
        <v>690</v>
      </c>
      <c r="C64" s="1585"/>
      <c r="D64" s="408"/>
      <c r="E64" s="408"/>
      <c r="F64" s="408"/>
      <c r="G64" s="408"/>
      <c r="H64" s="394">
        <f t="shared" si="0"/>
        <v>0</v>
      </c>
      <c r="I64" s="406"/>
      <c r="J64" s="406"/>
      <c r="K64" s="406"/>
      <c r="L64" s="406"/>
      <c r="M64" s="394">
        <f t="shared" si="1"/>
        <v>0</v>
      </c>
      <c r="N64" s="394">
        <f t="shared" si="2"/>
        <v>0</v>
      </c>
      <c r="O64" s="406"/>
      <c r="P64" s="406"/>
      <c r="Q64" s="406"/>
      <c r="R64" s="712"/>
      <c r="S64" s="394">
        <f t="shared" si="3"/>
        <v>0</v>
      </c>
      <c r="T64" s="408"/>
      <c r="U64" s="1588"/>
      <c r="V64" s="1588"/>
    </row>
    <row r="65" spans="1:22" s="1586" customFormat="1" ht="147" customHeight="1" x14ac:dyDescent="0.2">
      <c r="A65" s="1584" t="s">
        <v>691</v>
      </c>
      <c r="B65" s="409" t="s">
        <v>1581</v>
      </c>
      <c r="C65" s="1585" t="s">
        <v>229</v>
      </c>
      <c r="D65" s="408">
        <v>12</v>
      </c>
      <c r="E65" s="408">
        <v>12</v>
      </c>
      <c r="F65" s="408">
        <v>12</v>
      </c>
      <c r="G65" s="408">
        <v>12</v>
      </c>
      <c r="H65" s="394">
        <f t="shared" si="0"/>
        <v>1</v>
      </c>
      <c r="I65" s="406">
        <v>20000</v>
      </c>
      <c r="J65" s="406">
        <v>18750</v>
      </c>
      <c r="K65" s="406">
        <v>20000</v>
      </c>
      <c r="L65" s="406">
        <v>20000</v>
      </c>
      <c r="M65" s="394">
        <f t="shared" si="1"/>
        <v>1.07</v>
      </c>
      <c r="N65" s="394">
        <f t="shared" si="2"/>
        <v>0.94</v>
      </c>
      <c r="O65" s="406">
        <f>D65*I65/1000</f>
        <v>240</v>
      </c>
      <c r="P65" s="406">
        <f>E65*J65/1000</f>
        <v>225</v>
      </c>
      <c r="Q65" s="406">
        <f>F65*K65/1000</f>
        <v>240</v>
      </c>
      <c r="R65" s="406"/>
      <c r="S65" s="394">
        <f t="shared" si="3"/>
        <v>0</v>
      </c>
      <c r="T65" s="409" t="s">
        <v>1582</v>
      </c>
      <c r="U65" s="1588">
        <f>R65</f>
        <v>0</v>
      </c>
      <c r="V65" s="1593">
        <f>U65</f>
        <v>0</v>
      </c>
    </row>
    <row r="66" spans="1:22" s="1586" customFormat="1" ht="22.5" hidden="1" x14ac:dyDescent="0.2">
      <c r="A66" s="1584" t="s">
        <v>692</v>
      </c>
      <c r="B66" s="409" t="s">
        <v>693</v>
      </c>
      <c r="C66" s="1585" t="s">
        <v>694</v>
      </c>
      <c r="D66" s="710"/>
      <c r="E66" s="710"/>
      <c r="F66" s="710"/>
      <c r="G66" s="710"/>
      <c r="H66" s="394">
        <f t="shared" si="0"/>
        <v>0</v>
      </c>
      <c r="I66" s="406"/>
      <c r="J66" s="406"/>
      <c r="K66" s="406"/>
      <c r="L66" s="406"/>
      <c r="M66" s="394">
        <f t="shared" si="1"/>
        <v>0</v>
      </c>
      <c r="N66" s="394">
        <f t="shared" si="2"/>
        <v>0</v>
      </c>
      <c r="O66" s="406"/>
      <c r="P66" s="406"/>
      <c r="Q66" s="406"/>
      <c r="R66" s="712"/>
      <c r="S66" s="394">
        <f t="shared" si="3"/>
        <v>0</v>
      </c>
      <c r="T66" s="408"/>
      <c r="U66" s="1588"/>
      <c r="V66" s="1593"/>
    </row>
    <row r="67" spans="1:22" s="1586" customFormat="1" ht="22.5" hidden="1" x14ac:dyDescent="0.2">
      <c r="A67" s="1584"/>
      <c r="B67" s="409" t="s">
        <v>695</v>
      </c>
      <c r="C67" s="1585"/>
      <c r="D67" s="710"/>
      <c r="E67" s="710"/>
      <c r="F67" s="710"/>
      <c r="G67" s="710"/>
      <c r="H67" s="394"/>
      <c r="I67" s="406"/>
      <c r="J67" s="406"/>
      <c r="K67" s="406"/>
      <c r="L67" s="406"/>
      <c r="M67" s="394"/>
      <c r="N67" s="394"/>
      <c r="O67" s="406"/>
      <c r="P67" s="406"/>
      <c r="Q67" s="406"/>
      <c r="R67" s="712"/>
      <c r="S67" s="394"/>
      <c r="T67" s="408"/>
      <c r="U67" s="1588"/>
      <c r="V67" s="1593"/>
    </row>
    <row r="68" spans="1:22" s="1586" customFormat="1" ht="12.75" hidden="1" x14ac:dyDescent="0.2">
      <c r="A68" s="1584" t="s">
        <v>696</v>
      </c>
      <c r="B68" s="407" t="s">
        <v>697</v>
      </c>
      <c r="C68" s="1585"/>
      <c r="D68" s="408"/>
      <c r="E68" s="408"/>
      <c r="F68" s="408"/>
      <c r="G68" s="408"/>
      <c r="H68" s="394">
        <f t="shared" si="0"/>
        <v>0</v>
      </c>
      <c r="I68" s="406"/>
      <c r="J68" s="406"/>
      <c r="K68" s="406"/>
      <c r="L68" s="406"/>
      <c r="M68" s="394">
        <f t="shared" si="1"/>
        <v>0</v>
      </c>
      <c r="N68" s="394">
        <f t="shared" si="2"/>
        <v>0</v>
      </c>
      <c r="O68" s="406"/>
      <c r="P68" s="406"/>
      <c r="Q68" s="406"/>
      <c r="R68" s="712"/>
      <c r="S68" s="394">
        <f t="shared" si="3"/>
        <v>0</v>
      </c>
      <c r="T68" s="408"/>
      <c r="U68" s="1588"/>
      <c r="V68" s="1588"/>
    </row>
    <row r="69" spans="1:22" s="1586" customFormat="1" ht="22.5" x14ac:dyDescent="0.2">
      <c r="A69" s="1584" t="s">
        <v>698</v>
      </c>
      <c r="B69" s="409" t="s">
        <v>699</v>
      </c>
      <c r="C69" s="1585" t="s">
        <v>257</v>
      </c>
      <c r="D69" s="710">
        <v>1</v>
      </c>
      <c r="E69" s="710">
        <v>1</v>
      </c>
      <c r="F69" s="710">
        <v>1</v>
      </c>
      <c r="G69" s="710">
        <v>1</v>
      </c>
      <c r="H69" s="394">
        <v>1</v>
      </c>
      <c r="I69" s="406">
        <v>60410</v>
      </c>
      <c r="J69" s="406">
        <v>1000</v>
      </c>
      <c r="K69" s="406">
        <v>1000</v>
      </c>
      <c r="L69" s="406">
        <v>1000</v>
      </c>
      <c r="M69" s="394">
        <v>1</v>
      </c>
      <c r="N69" s="394">
        <v>0.02</v>
      </c>
      <c r="O69" s="406">
        <f>D69*I69/1000</f>
        <v>60.41</v>
      </c>
      <c r="P69" s="406">
        <f>E69*J69/1000</f>
        <v>1</v>
      </c>
      <c r="Q69" s="406">
        <f>F69*K69/1000</f>
        <v>1</v>
      </c>
      <c r="R69" s="406"/>
      <c r="S69" s="394">
        <f>IFERROR(R69/P69,0)</f>
        <v>0</v>
      </c>
      <c r="T69" s="409" t="s">
        <v>1583</v>
      </c>
      <c r="U69" s="1588">
        <f>R69</f>
        <v>0</v>
      </c>
      <c r="V69" s="1593">
        <f>U69</f>
        <v>0</v>
      </c>
    </row>
    <row r="70" spans="1:22" x14ac:dyDescent="0.2">
      <c r="A70" s="396" t="s">
        <v>700</v>
      </c>
      <c r="B70" s="397" t="s">
        <v>701</v>
      </c>
      <c r="C70" s="398" t="s">
        <v>257</v>
      </c>
      <c r="D70" s="708"/>
      <c r="E70" s="708"/>
      <c r="F70" s="708"/>
      <c r="G70" s="708"/>
      <c r="H70" s="394">
        <f t="shared" si="0"/>
        <v>0</v>
      </c>
      <c r="I70" s="399"/>
      <c r="J70" s="399"/>
      <c r="K70" s="399"/>
      <c r="L70" s="399"/>
      <c r="M70" s="394">
        <f t="shared" si="1"/>
        <v>0</v>
      </c>
      <c r="N70" s="394">
        <f t="shared" si="2"/>
        <v>0</v>
      </c>
      <c r="O70" s="399"/>
      <c r="P70" s="399"/>
      <c r="Q70" s="399"/>
      <c r="R70" s="399"/>
      <c r="S70" s="394">
        <f t="shared" si="3"/>
        <v>0</v>
      </c>
      <c r="T70" s="707"/>
      <c r="U70" s="1594"/>
      <c r="V70" s="1595"/>
    </row>
    <row r="71" spans="1:22" x14ac:dyDescent="0.2">
      <c r="A71" s="396" t="s">
        <v>702</v>
      </c>
      <c r="B71" s="397" t="s">
        <v>703</v>
      </c>
      <c r="C71" s="398" t="s">
        <v>593</v>
      </c>
      <c r="D71" s="708"/>
      <c r="E71" s="708"/>
      <c r="F71" s="708"/>
      <c r="G71" s="708"/>
      <c r="H71" s="394">
        <f t="shared" si="0"/>
        <v>0</v>
      </c>
      <c r="I71" s="399"/>
      <c r="J71" s="399"/>
      <c r="K71" s="399"/>
      <c r="L71" s="399"/>
      <c r="M71" s="394">
        <f t="shared" si="1"/>
        <v>0</v>
      </c>
      <c r="N71" s="394">
        <f t="shared" si="2"/>
        <v>0</v>
      </c>
      <c r="O71" s="399"/>
      <c r="P71" s="399"/>
      <c r="Q71" s="399"/>
      <c r="R71" s="399"/>
      <c r="S71" s="394">
        <f t="shared" si="3"/>
        <v>0</v>
      </c>
      <c r="T71" s="707"/>
      <c r="U71" s="1594"/>
      <c r="V71" s="1595"/>
    </row>
    <row r="72" spans="1:22" x14ac:dyDescent="0.2">
      <c r="A72" s="404" t="s">
        <v>704</v>
      </c>
      <c r="B72" s="405" t="s">
        <v>705</v>
      </c>
      <c r="C72" s="398" t="s">
        <v>257</v>
      </c>
      <c r="D72" s="708"/>
      <c r="E72" s="708"/>
      <c r="F72" s="708"/>
      <c r="G72" s="708"/>
      <c r="H72" s="394">
        <f t="shared" si="0"/>
        <v>0</v>
      </c>
      <c r="I72" s="399"/>
      <c r="J72" s="399"/>
      <c r="K72" s="399"/>
      <c r="L72" s="399"/>
      <c r="M72" s="394">
        <f t="shared" si="1"/>
        <v>0</v>
      </c>
      <c r="N72" s="394">
        <f t="shared" si="2"/>
        <v>0</v>
      </c>
      <c r="O72" s="399"/>
      <c r="P72" s="399"/>
      <c r="Q72" s="399"/>
      <c r="R72" s="399"/>
      <c r="S72" s="394">
        <f t="shared" si="3"/>
        <v>0</v>
      </c>
      <c r="T72" s="707"/>
      <c r="U72" s="1596"/>
      <c r="V72" s="1597"/>
    </row>
    <row r="73" spans="1:22" s="395" customFormat="1" ht="25.5" x14ac:dyDescent="0.2">
      <c r="A73" s="390" t="s">
        <v>706</v>
      </c>
      <c r="B73" s="391" t="s">
        <v>1199</v>
      </c>
      <c r="C73" s="392"/>
      <c r="D73" s="707"/>
      <c r="E73" s="707"/>
      <c r="F73" s="707"/>
      <c r="G73" s="707"/>
      <c r="H73" s="394">
        <f t="shared" si="0"/>
        <v>0</v>
      </c>
      <c r="I73" s="393"/>
      <c r="J73" s="393"/>
      <c r="K73" s="393"/>
      <c r="L73" s="393"/>
      <c r="M73" s="394">
        <f t="shared" si="1"/>
        <v>0</v>
      </c>
      <c r="N73" s="394">
        <f t="shared" si="2"/>
        <v>0</v>
      </c>
      <c r="O73" s="393"/>
      <c r="P73" s="393"/>
      <c r="Q73" s="393"/>
      <c r="R73" s="406"/>
      <c r="S73" s="394">
        <f t="shared" si="3"/>
        <v>0</v>
      </c>
      <c r="T73" s="707"/>
      <c r="U73" s="1596"/>
      <c r="V73" s="1598"/>
    </row>
    <row r="74" spans="1:22" s="395" customFormat="1" ht="25.5" x14ac:dyDescent="0.2">
      <c r="A74" s="390"/>
      <c r="B74" s="407" t="s">
        <v>707</v>
      </c>
      <c r="C74" s="392"/>
      <c r="D74" s="707"/>
      <c r="E74" s="707"/>
      <c r="F74" s="707"/>
      <c r="G74" s="707"/>
      <c r="H74" s="394"/>
      <c r="I74" s="393"/>
      <c r="J74" s="393"/>
      <c r="K74" s="393"/>
      <c r="L74" s="393"/>
      <c r="M74" s="394"/>
      <c r="N74" s="394"/>
      <c r="O74" s="393"/>
      <c r="P74" s="393"/>
      <c r="Q74" s="393"/>
      <c r="R74" s="406"/>
      <c r="S74" s="394"/>
      <c r="T74" s="707"/>
      <c r="U74" s="1596"/>
      <c r="V74" s="1598"/>
    </row>
    <row r="75" spans="1:22" s="395" customFormat="1" ht="12.75" x14ac:dyDescent="0.2">
      <c r="A75" s="390"/>
      <c r="B75" s="407" t="s">
        <v>708</v>
      </c>
      <c r="C75" s="392"/>
      <c r="D75" s="707"/>
      <c r="E75" s="707"/>
      <c r="F75" s="707"/>
      <c r="G75" s="707"/>
      <c r="H75" s="394">
        <f t="shared" si="0"/>
        <v>0</v>
      </c>
      <c r="I75" s="393"/>
      <c r="J75" s="393"/>
      <c r="K75" s="393"/>
      <c r="L75" s="393"/>
      <c r="M75" s="394">
        <f t="shared" si="1"/>
        <v>0</v>
      </c>
      <c r="N75" s="394">
        <f t="shared" si="2"/>
        <v>0</v>
      </c>
      <c r="O75" s="393"/>
      <c r="P75" s="393"/>
      <c r="Q75" s="393"/>
      <c r="R75" s="406"/>
      <c r="S75" s="394">
        <f t="shared" si="3"/>
        <v>0</v>
      </c>
      <c r="T75" s="707"/>
      <c r="U75" s="1596"/>
      <c r="V75" s="1598"/>
    </row>
    <row r="76" spans="1:22" s="395" customFormat="1" ht="22.5" x14ac:dyDescent="0.2">
      <c r="A76" s="390"/>
      <c r="B76" s="409" t="s">
        <v>709</v>
      </c>
      <c r="C76" s="392"/>
      <c r="D76" s="707"/>
      <c r="E76" s="707"/>
      <c r="F76" s="707"/>
      <c r="G76" s="707"/>
      <c r="H76" s="394">
        <f t="shared" ref="H76:H82" si="7">IFERROR(G76/E76,0)</f>
        <v>0</v>
      </c>
      <c r="I76" s="393"/>
      <c r="J76" s="393"/>
      <c r="K76" s="393"/>
      <c r="L76" s="393"/>
      <c r="M76" s="394">
        <f t="shared" ref="M76:M82" si="8">IFERROR(L76/J76,0)</f>
        <v>0</v>
      </c>
      <c r="N76" s="394">
        <f t="shared" ref="N76:N82" si="9">IFERROR(J76/I76,0)</f>
        <v>0</v>
      </c>
      <c r="O76" s="393"/>
      <c r="P76" s="393"/>
      <c r="Q76" s="393"/>
      <c r="R76" s="406"/>
      <c r="S76" s="394">
        <f t="shared" ref="S76:S83" si="10">IFERROR(R76/P76,0)</f>
        <v>0</v>
      </c>
      <c r="T76" s="707"/>
      <c r="U76" s="1596"/>
      <c r="V76" s="1598"/>
    </row>
    <row r="77" spans="1:22" s="395" customFormat="1" ht="22.5" x14ac:dyDescent="0.2">
      <c r="A77" s="390"/>
      <c r="B77" s="409" t="s">
        <v>710</v>
      </c>
      <c r="C77" s="392"/>
      <c r="D77" s="707"/>
      <c r="E77" s="707"/>
      <c r="F77" s="707"/>
      <c r="G77" s="707"/>
      <c r="H77" s="394">
        <f t="shared" si="7"/>
        <v>0</v>
      </c>
      <c r="I77" s="393"/>
      <c r="J77" s="393"/>
      <c r="K77" s="393"/>
      <c r="L77" s="393"/>
      <c r="M77" s="394">
        <f t="shared" si="8"/>
        <v>0</v>
      </c>
      <c r="N77" s="394">
        <f t="shared" si="9"/>
        <v>0</v>
      </c>
      <c r="O77" s="393"/>
      <c r="P77" s="393"/>
      <c r="Q77" s="393"/>
      <c r="R77" s="406"/>
      <c r="S77" s="394">
        <f t="shared" si="10"/>
        <v>0</v>
      </c>
      <c r="T77" s="707"/>
      <c r="U77" s="1596"/>
      <c r="V77" s="1598"/>
    </row>
    <row r="78" spans="1:22" s="395" customFormat="1" ht="45" x14ac:dyDescent="0.2">
      <c r="A78" s="390"/>
      <c r="B78" s="397" t="s">
        <v>711</v>
      </c>
      <c r="C78" s="392"/>
      <c r="D78" s="1599">
        <v>6</v>
      </c>
      <c r="E78" s="1599">
        <v>6</v>
      </c>
      <c r="F78" s="1599">
        <v>6</v>
      </c>
      <c r="G78" s="1599">
        <v>6</v>
      </c>
      <c r="H78" s="1600">
        <v>1</v>
      </c>
      <c r="I78" s="1601">
        <v>1.76</v>
      </c>
      <c r="J78" s="1601">
        <v>44.72</v>
      </c>
      <c r="K78" s="1601">
        <v>44.72</v>
      </c>
      <c r="L78" s="1601">
        <v>44.72</v>
      </c>
      <c r="M78" s="1601">
        <v>1</v>
      </c>
      <c r="N78" s="1601">
        <v>25.41</v>
      </c>
      <c r="O78" s="399">
        <f>D78*I78*12/1000</f>
        <v>0.13</v>
      </c>
      <c r="P78" s="399">
        <f>E78*J78*12/1000</f>
        <v>3.22</v>
      </c>
      <c r="Q78" s="399">
        <f>F78*K78*12/1000</f>
        <v>3.22</v>
      </c>
      <c r="R78" s="399"/>
      <c r="S78" s="1602">
        <f t="shared" si="10"/>
        <v>0</v>
      </c>
      <c r="T78" s="711" t="s">
        <v>1584</v>
      </c>
      <c r="U78" s="1596">
        <f>R78</f>
        <v>0</v>
      </c>
      <c r="V78" s="1598">
        <f>U78</f>
        <v>0</v>
      </c>
    </row>
    <row r="79" spans="1:22" s="395" customFormat="1" x14ac:dyDescent="0.2">
      <c r="A79" s="390"/>
      <c r="B79" s="409" t="s">
        <v>712</v>
      </c>
      <c r="C79" s="392"/>
      <c r="D79" s="707"/>
      <c r="E79" s="707"/>
      <c r="F79" s="707"/>
      <c r="G79" s="707"/>
      <c r="H79" s="394">
        <f t="shared" si="7"/>
        <v>0</v>
      </c>
      <c r="I79" s="393"/>
      <c r="J79" s="393"/>
      <c r="K79" s="393"/>
      <c r="L79" s="393"/>
      <c r="M79" s="394">
        <f t="shared" si="8"/>
        <v>0</v>
      </c>
      <c r="N79" s="394">
        <f t="shared" si="9"/>
        <v>0</v>
      </c>
      <c r="O79" s="393"/>
      <c r="P79" s="393"/>
      <c r="Q79" s="393"/>
      <c r="R79" s="406"/>
      <c r="S79" s="394">
        <f t="shared" si="10"/>
        <v>0</v>
      </c>
      <c r="T79" s="707"/>
      <c r="U79" s="1596"/>
      <c r="V79" s="1598"/>
    </row>
    <row r="80" spans="1:22" s="395" customFormat="1" ht="22.5" x14ac:dyDescent="0.2">
      <c r="A80" s="390"/>
      <c r="B80" s="409" t="s">
        <v>713</v>
      </c>
      <c r="C80" s="392"/>
      <c r="D80" s="707"/>
      <c r="E80" s="707"/>
      <c r="F80" s="707"/>
      <c r="G80" s="707"/>
      <c r="H80" s="394">
        <f t="shared" si="7"/>
        <v>0</v>
      </c>
      <c r="I80" s="393"/>
      <c r="J80" s="393"/>
      <c r="K80" s="393"/>
      <c r="L80" s="393"/>
      <c r="M80" s="394">
        <f t="shared" si="8"/>
        <v>0</v>
      </c>
      <c r="N80" s="394">
        <f t="shared" si="9"/>
        <v>0</v>
      </c>
      <c r="O80" s="393"/>
      <c r="P80" s="393"/>
      <c r="Q80" s="393"/>
      <c r="R80" s="406"/>
      <c r="S80" s="394">
        <f t="shared" si="10"/>
        <v>0</v>
      </c>
      <c r="T80" s="707"/>
      <c r="U80" s="1596"/>
      <c r="V80" s="1598"/>
    </row>
    <row r="81" spans="1:22" s="395" customFormat="1" ht="12.75" x14ac:dyDescent="0.2">
      <c r="A81" s="390"/>
      <c r="B81" s="407" t="s">
        <v>714</v>
      </c>
      <c r="C81" s="392"/>
      <c r="D81" s="707"/>
      <c r="E81" s="707"/>
      <c r="F81" s="707"/>
      <c r="G81" s="707"/>
      <c r="H81" s="394">
        <f t="shared" si="7"/>
        <v>0</v>
      </c>
      <c r="I81" s="393"/>
      <c r="J81" s="393"/>
      <c r="K81" s="393"/>
      <c r="L81" s="393"/>
      <c r="M81" s="394">
        <f t="shared" si="8"/>
        <v>0</v>
      </c>
      <c r="N81" s="394">
        <f t="shared" si="9"/>
        <v>0</v>
      </c>
      <c r="O81" s="393"/>
      <c r="P81" s="393"/>
      <c r="Q81" s="393"/>
      <c r="R81" s="406"/>
      <c r="S81" s="394">
        <f t="shared" si="10"/>
        <v>0</v>
      </c>
      <c r="T81" s="707"/>
      <c r="U81" s="1596"/>
      <c r="V81" s="1598"/>
    </row>
    <row r="82" spans="1:22" s="395" customFormat="1" ht="12.75" x14ac:dyDescent="0.2">
      <c r="A82" s="390"/>
      <c r="B82" s="407"/>
      <c r="C82" s="392"/>
      <c r="D82" s="707"/>
      <c r="E82" s="707"/>
      <c r="F82" s="707"/>
      <c r="G82" s="707"/>
      <c r="H82" s="394">
        <f t="shared" si="7"/>
        <v>0</v>
      </c>
      <c r="I82" s="393"/>
      <c r="J82" s="393"/>
      <c r="K82" s="393"/>
      <c r="L82" s="393"/>
      <c r="M82" s="394">
        <f t="shared" si="8"/>
        <v>0</v>
      </c>
      <c r="N82" s="394">
        <f t="shared" si="9"/>
        <v>0</v>
      </c>
      <c r="O82" s="393"/>
      <c r="P82" s="393"/>
      <c r="Q82" s="393"/>
      <c r="R82" s="406"/>
      <c r="S82" s="394">
        <f t="shared" si="10"/>
        <v>0</v>
      </c>
      <c r="T82" s="707"/>
      <c r="U82" s="1596"/>
      <c r="V82" s="1598"/>
    </row>
    <row r="83" spans="1:22" s="1607" customFormat="1" ht="14.25" x14ac:dyDescent="0.2">
      <c r="A83" s="404"/>
      <c r="B83" s="1603" t="s">
        <v>230</v>
      </c>
      <c r="C83" s="1604"/>
      <c r="D83" s="1605"/>
      <c r="E83" s="1605"/>
      <c r="F83" s="1605"/>
      <c r="G83" s="1605"/>
      <c r="H83" s="411"/>
      <c r="I83" s="713"/>
      <c r="J83" s="713"/>
      <c r="K83" s="713"/>
      <c r="L83" s="713"/>
      <c r="M83" s="406"/>
      <c r="N83" s="406"/>
      <c r="O83" s="713">
        <f>SUM(O16:O82)</f>
        <v>347.53</v>
      </c>
      <c r="P83" s="713">
        <f>SUM(P16:P82)</f>
        <v>275.3</v>
      </c>
      <c r="Q83" s="713">
        <f>SUM(Q16:Q82)</f>
        <v>291.08</v>
      </c>
      <c r="R83" s="713">
        <f>SUM(R16:R82)</f>
        <v>43.1</v>
      </c>
      <c r="S83" s="713">
        <f t="shared" si="10"/>
        <v>0.16</v>
      </c>
      <c r="T83" s="1605"/>
      <c r="U83" s="1606">
        <f>SUM(U16:U82)</f>
        <v>43.1</v>
      </c>
      <c r="V83" s="1606">
        <f>SUM(V16:V82)</f>
        <v>43.1</v>
      </c>
    </row>
    <row r="84" spans="1:22" s="715" customFormat="1" ht="16.5" x14ac:dyDescent="0.2">
      <c r="A84" s="714"/>
      <c r="B84" s="2598"/>
      <c r="C84" s="2598"/>
      <c r="D84" s="2598"/>
      <c r="E84" s="2598"/>
      <c r="F84" s="2598"/>
      <c r="G84" s="2598"/>
      <c r="H84" s="2598"/>
      <c r="I84" s="2598"/>
      <c r="J84" s="2598"/>
      <c r="K84" s="2598"/>
      <c r="L84" s="2598"/>
      <c r="M84" s="2598"/>
      <c r="N84" s="2598"/>
      <c r="O84" s="2598"/>
      <c r="P84" s="2598"/>
      <c r="Q84" s="2598"/>
      <c r="R84" s="2598"/>
      <c r="S84" s="2598"/>
      <c r="T84" s="2598"/>
      <c r="U84" s="2598"/>
      <c r="V84" s="2598"/>
    </row>
    <row r="85" spans="1:22" s="412" customFormat="1" ht="15.75" x14ac:dyDescent="0.25">
      <c r="A85" s="413"/>
      <c r="B85" s="414" t="s">
        <v>469</v>
      </c>
      <c r="C85" s="415"/>
      <c r="D85" s="415"/>
      <c r="E85" s="2594"/>
      <c r="F85" s="2594"/>
      <c r="G85" s="2594"/>
      <c r="H85" s="2594"/>
      <c r="I85" s="416"/>
      <c r="J85" s="416"/>
      <c r="K85" s="2595" t="s">
        <v>175</v>
      </c>
      <c r="L85" s="2595"/>
      <c r="M85" s="2595"/>
      <c r="N85" s="2595"/>
      <c r="O85" s="417"/>
      <c r="P85" s="417"/>
      <c r="Q85" s="418"/>
      <c r="R85" s="417"/>
      <c r="S85" s="417"/>
      <c r="T85" s="417"/>
      <c r="U85" s="417"/>
      <c r="V85" s="417"/>
    </row>
    <row r="86" spans="1:22" s="412" customFormat="1" ht="16.5" x14ac:dyDescent="0.25">
      <c r="A86" s="413"/>
      <c r="B86" s="414"/>
      <c r="C86" s="415"/>
      <c r="D86" s="415"/>
      <c r="E86" s="2591" t="s">
        <v>217</v>
      </c>
      <c r="F86" s="2591"/>
      <c r="G86" s="2591"/>
      <c r="H86" s="2591"/>
      <c r="I86" s="416"/>
      <c r="J86" s="416"/>
      <c r="K86" s="2592" t="s">
        <v>211</v>
      </c>
      <c r="L86" s="2592"/>
      <c r="M86" s="2592"/>
      <c r="N86" s="2592"/>
      <c r="O86" s="417"/>
      <c r="P86" s="417"/>
      <c r="Q86" s="419"/>
      <c r="R86" s="420"/>
      <c r="S86" s="420"/>
      <c r="T86" s="420"/>
      <c r="U86" s="420"/>
      <c r="V86" s="420"/>
    </row>
    <row r="87" spans="1:22" s="412" customFormat="1" ht="16.5" x14ac:dyDescent="0.25">
      <c r="A87" s="413"/>
      <c r="B87" s="414"/>
      <c r="C87" s="415"/>
      <c r="D87" s="415"/>
      <c r="E87" s="415"/>
      <c r="F87" s="415"/>
      <c r="G87" s="415"/>
      <c r="H87" s="415"/>
      <c r="I87" s="416"/>
      <c r="J87" s="416"/>
      <c r="K87" s="417"/>
      <c r="L87" s="417"/>
      <c r="M87" s="417"/>
      <c r="N87" s="417"/>
      <c r="O87" s="417"/>
      <c r="P87" s="417"/>
      <c r="Q87" s="419"/>
      <c r="R87" s="420"/>
      <c r="S87" s="420"/>
      <c r="T87" s="420"/>
      <c r="U87" s="420"/>
      <c r="V87" s="420"/>
    </row>
    <row r="88" spans="1:22" s="412" customFormat="1" ht="15.75" x14ac:dyDescent="0.25">
      <c r="A88" s="413"/>
      <c r="B88" s="414" t="s">
        <v>96</v>
      </c>
      <c r="C88" s="421"/>
      <c r="I88" s="417"/>
      <c r="J88" s="417"/>
      <c r="K88" s="417"/>
      <c r="L88" s="417"/>
      <c r="M88" s="417"/>
      <c r="N88" s="417"/>
      <c r="O88" s="417"/>
      <c r="P88" s="417"/>
      <c r="Q88" s="418"/>
      <c r="R88" s="417"/>
      <c r="S88" s="417"/>
      <c r="T88" s="417"/>
      <c r="U88" s="417"/>
      <c r="V88" s="417"/>
    </row>
    <row r="89" spans="1:22" s="412" customFormat="1" ht="15.75" x14ac:dyDescent="0.25">
      <c r="A89" s="413"/>
      <c r="B89" s="422" t="s">
        <v>715</v>
      </c>
      <c r="C89" s="421"/>
      <c r="I89" s="417"/>
      <c r="J89" s="417"/>
      <c r="K89" s="417"/>
      <c r="L89" s="417"/>
      <c r="M89" s="417"/>
      <c r="N89" s="417"/>
      <c r="O89" s="417"/>
      <c r="P89" s="417"/>
      <c r="Q89" s="417"/>
      <c r="R89" s="417"/>
      <c r="S89" s="417"/>
      <c r="T89" s="417"/>
      <c r="U89" s="417"/>
      <c r="V89" s="417"/>
    </row>
    <row r="90" spans="1:22" ht="15.75" x14ac:dyDescent="0.2">
      <c r="B90" s="424"/>
      <c r="R90" s="706">
        <f>43.1-R83</f>
        <v>0</v>
      </c>
      <c r="S90" s="706"/>
      <c r="T90" s="706"/>
      <c r="U90" s="706">
        <f>43.1-U83</f>
        <v>0</v>
      </c>
      <c r="V90" s="706">
        <f>43.1-V83</f>
        <v>0</v>
      </c>
    </row>
  </sheetData>
  <mergeCells count="34">
    <mergeCell ref="Q6:Q7"/>
    <mergeCell ref="F5:F7"/>
    <mergeCell ref="U4:U7"/>
    <mergeCell ref="P5:Q5"/>
    <mergeCell ref="N1:V1"/>
    <mergeCell ref="A2:V2"/>
    <mergeCell ref="A4:A7"/>
    <mergeCell ref="B4:B7"/>
    <mergeCell ref="C4:C7"/>
    <mergeCell ref="D4:H4"/>
    <mergeCell ref="I4:N4"/>
    <mergeCell ref="O4:S4"/>
    <mergeCell ref="T4:T7"/>
    <mergeCell ref="V4:V7"/>
    <mergeCell ref="D5:D7"/>
    <mergeCell ref="E5:E7"/>
    <mergeCell ref="S5:S7"/>
    <mergeCell ref="P6:P7"/>
    <mergeCell ref="I5:I7"/>
    <mergeCell ref="K5:K7"/>
    <mergeCell ref="E86:H86"/>
    <mergeCell ref="K86:N86"/>
    <mergeCell ref="J5:J7"/>
    <mergeCell ref="G5:G7"/>
    <mergeCell ref="E85:H85"/>
    <mergeCell ref="K85:N85"/>
    <mergeCell ref="A8:V8"/>
    <mergeCell ref="B84:V84"/>
    <mergeCell ref="L5:L7"/>
    <mergeCell ref="M5:M7"/>
    <mergeCell ref="N5:N7"/>
    <mergeCell ref="O5:O7"/>
    <mergeCell ref="H5:H7"/>
    <mergeCell ref="R5:R7"/>
  </mergeCells>
  <pageMargins left="0.35433070866141736" right="0.15748031496062992" top="0.51181102362204722" bottom="0.35433070866141736" header="0.23622047244094491" footer="0.15748031496062992"/>
  <pageSetup paperSize="9" scale="53" fitToHeight="2" orientation="landscape" r:id="rId1"/>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C000"/>
  </sheetPr>
  <dimension ref="B1:X50"/>
  <sheetViews>
    <sheetView view="pageBreakPreview" zoomScale="80" zoomScaleNormal="90" zoomScaleSheetLayoutView="80" workbookViewId="0">
      <pane xSplit="4" ySplit="9" topLeftCell="E25" activePane="bottomRight" state="frozen"/>
      <selection pane="topRight" activeCell="E1" sqref="E1"/>
      <selection pane="bottomLeft" activeCell="A10" sqref="A10"/>
      <selection pane="bottomRight" activeCell="AA7" sqref="AA7"/>
    </sheetView>
  </sheetViews>
  <sheetFormatPr defaultRowHeight="12.75" x14ac:dyDescent="0.2"/>
  <cols>
    <col min="1" max="1" width="3.1640625" style="1609" customWidth="1"/>
    <col min="2" max="2" width="7.6640625" style="353" bestFit="1" customWidth="1"/>
    <col min="3" max="3" width="31.5" style="353" customWidth="1"/>
    <col min="4" max="4" width="13.33203125" style="353" bestFit="1" customWidth="1"/>
    <col min="5" max="5" width="10.1640625" style="353" hidden="1" customWidth="1"/>
    <col min="6" max="6" width="13" style="353" hidden="1" customWidth="1"/>
    <col min="7" max="7" width="10.6640625" style="353" hidden="1" customWidth="1"/>
    <col min="8" max="8" width="10.1640625" style="353" hidden="1" customWidth="1"/>
    <col min="9" max="9" width="13" style="353" hidden="1" customWidth="1"/>
    <col min="10" max="10" width="9.83203125" style="362" hidden="1" customWidth="1"/>
    <col min="11" max="11" width="10.1640625" style="353" hidden="1" customWidth="1"/>
    <col min="12" max="12" width="13" style="353" hidden="1" customWidth="1"/>
    <col min="13" max="13" width="10" style="353" hidden="1" customWidth="1"/>
    <col min="14" max="14" width="10.1640625" style="353" bestFit="1" customWidth="1"/>
    <col min="15" max="15" width="13" style="353" bestFit="1" customWidth="1"/>
    <col min="16" max="16" width="14.6640625" style="353" bestFit="1" customWidth="1"/>
    <col min="17" max="17" width="7.83203125" style="353" customWidth="1"/>
    <col min="18" max="18" width="10.1640625" style="353" bestFit="1" customWidth="1"/>
    <col min="19" max="19" width="13" style="353" bestFit="1" customWidth="1"/>
    <col min="20" max="20" width="13.6640625" style="353" customWidth="1"/>
    <col min="21" max="21" width="10.1640625" style="353" bestFit="1" customWidth="1"/>
    <col min="22" max="22" width="13" style="353" bestFit="1" customWidth="1"/>
    <col min="23" max="23" width="15.33203125" style="353" customWidth="1"/>
    <col min="24" max="24" width="5.83203125" style="1609" bestFit="1" customWidth="1"/>
    <col min="25" max="256" width="9.33203125" style="1609"/>
    <col min="257" max="257" width="3.1640625" style="1609" customWidth="1"/>
    <col min="258" max="258" width="7.6640625" style="1609" bestFit="1" customWidth="1"/>
    <col min="259" max="259" width="31.5" style="1609" customWidth="1"/>
    <col min="260" max="260" width="13.33203125" style="1609" bestFit="1" customWidth="1"/>
    <col min="261" max="269" width="0" style="1609" hidden="1" customWidth="1"/>
    <col min="270" max="270" width="10.1640625" style="1609" bestFit="1" customWidth="1"/>
    <col min="271" max="271" width="13" style="1609" bestFit="1" customWidth="1"/>
    <col min="272" max="272" width="14.6640625" style="1609" bestFit="1" customWidth="1"/>
    <col min="273" max="273" width="7.83203125" style="1609" customWidth="1"/>
    <col min="274" max="274" width="10.1640625" style="1609" bestFit="1" customWidth="1"/>
    <col min="275" max="275" width="13" style="1609" bestFit="1" customWidth="1"/>
    <col min="276" max="276" width="13.6640625" style="1609" customWidth="1"/>
    <col min="277" max="277" width="10.1640625" style="1609" bestFit="1" customWidth="1"/>
    <col min="278" max="278" width="13" style="1609" bestFit="1" customWidth="1"/>
    <col min="279" max="279" width="15.33203125" style="1609" customWidth="1"/>
    <col min="280" max="280" width="5.83203125" style="1609" bestFit="1" customWidth="1"/>
    <col min="281" max="512" width="9.33203125" style="1609"/>
    <col min="513" max="513" width="3.1640625" style="1609" customWidth="1"/>
    <col min="514" max="514" width="7.6640625" style="1609" bestFit="1" customWidth="1"/>
    <col min="515" max="515" width="31.5" style="1609" customWidth="1"/>
    <col min="516" max="516" width="13.33203125" style="1609" bestFit="1" customWidth="1"/>
    <col min="517" max="525" width="0" style="1609" hidden="1" customWidth="1"/>
    <col min="526" max="526" width="10.1640625" style="1609" bestFit="1" customWidth="1"/>
    <col min="527" max="527" width="13" style="1609" bestFit="1" customWidth="1"/>
    <col min="528" max="528" width="14.6640625" style="1609" bestFit="1" customWidth="1"/>
    <col min="529" max="529" width="7.83203125" style="1609" customWidth="1"/>
    <col min="530" max="530" width="10.1640625" style="1609" bestFit="1" customWidth="1"/>
    <col min="531" max="531" width="13" style="1609" bestFit="1" customWidth="1"/>
    <col min="532" max="532" width="13.6640625" style="1609" customWidth="1"/>
    <col min="533" max="533" width="10.1640625" style="1609" bestFit="1" customWidth="1"/>
    <col min="534" max="534" width="13" style="1609" bestFit="1" customWidth="1"/>
    <col min="535" max="535" width="15.33203125" style="1609" customWidth="1"/>
    <col min="536" max="536" width="5.83203125" style="1609" bestFit="1" customWidth="1"/>
    <col min="537" max="768" width="9.33203125" style="1609"/>
    <col min="769" max="769" width="3.1640625" style="1609" customWidth="1"/>
    <col min="770" max="770" width="7.6640625" style="1609" bestFit="1" customWidth="1"/>
    <col min="771" max="771" width="31.5" style="1609" customWidth="1"/>
    <col min="772" max="772" width="13.33203125" style="1609" bestFit="1" customWidth="1"/>
    <col min="773" max="781" width="0" style="1609" hidden="1" customWidth="1"/>
    <col min="782" max="782" width="10.1640625" style="1609" bestFit="1" customWidth="1"/>
    <col min="783" max="783" width="13" style="1609" bestFit="1" customWidth="1"/>
    <col min="784" max="784" width="14.6640625" style="1609" bestFit="1" customWidth="1"/>
    <col min="785" max="785" width="7.83203125" style="1609" customWidth="1"/>
    <col min="786" max="786" width="10.1640625" style="1609" bestFit="1" customWidth="1"/>
    <col min="787" max="787" width="13" style="1609" bestFit="1" customWidth="1"/>
    <col min="788" max="788" width="13.6640625" style="1609" customWidth="1"/>
    <col min="789" max="789" width="10.1640625" style="1609" bestFit="1" customWidth="1"/>
    <col min="790" max="790" width="13" style="1609" bestFit="1" customWidth="1"/>
    <col min="791" max="791" width="15.33203125" style="1609" customWidth="1"/>
    <col min="792" max="792" width="5.83203125" style="1609" bestFit="1" customWidth="1"/>
    <col min="793" max="1024" width="9.33203125" style="1609"/>
    <col min="1025" max="1025" width="3.1640625" style="1609" customWidth="1"/>
    <col min="1026" max="1026" width="7.6640625" style="1609" bestFit="1" customWidth="1"/>
    <col min="1027" max="1027" width="31.5" style="1609" customWidth="1"/>
    <col min="1028" max="1028" width="13.33203125" style="1609" bestFit="1" customWidth="1"/>
    <col min="1029" max="1037" width="0" style="1609" hidden="1" customWidth="1"/>
    <col min="1038" max="1038" width="10.1640625" style="1609" bestFit="1" customWidth="1"/>
    <col min="1039" max="1039" width="13" style="1609" bestFit="1" customWidth="1"/>
    <col min="1040" max="1040" width="14.6640625" style="1609" bestFit="1" customWidth="1"/>
    <col min="1041" max="1041" width="7.83203125" style="1609" customWidth="1"/>
    <col min="1042" max="1042" width="10.1640625" style="1609" bestFit="1" customWidth="1"/>
    <col min="1043" max="1043" width="13" style="1609" bestFit="1" customWidth="1"/>
    <col min="1044" max="1044" width="13.6640625" style="1609" customWidth="1"/>
    <col min="1045" max="1045" width="10.1640625" style="1609" bestFit="1" customWidth="1"/>
    <col min="1046" max="1046" width="13" style="1609" bestFit="1" customWidth="1"/>
    <col min="1047" max="1047" width="15.33203125" style="1609" customWidth="1"/>
    <col min="1048" max="1048" width="5.83203125" style="1609" bestFit="1" customWidth="1"/>
    <col min="1049" max="1280" width="9.33203125" style="1609"/>
    <col min="1281" max="1281" width="3.1640625" style="1609" customWidth="1"/>
    <col min="1282" max="1282" width="7.6640625" style="1609" bestFit="1" customWidth="1"/>
    <col min="1283" max="1283" width="31.5" style="1609" customWidth="1"/>
    <col min="1284" max="1284" width="13.33203125" style="1609" bestFit="1" customWidth="1"/>
    <col min="1285" max="1293" width="0" style="1609" hidden="1" customWidth="1"/>
    <col min="1294" max="1294" width="10.1640625" style="1609" bestFit="1" customWidth="1"/>
    <col min="1295" max="1295" width="13" style="1609" bestFit="1" customWidth="1"/>
    <col min="1296" max="1296" width="14.6640625" style="1609" bestFit="1" customWidth="1"/>
    <col min="1297" max="1297" width="7.83203125" style="1609" customWidth="1"/>
    <col min="1298" max="1298" width="10.1640625" style="1609" bestFit="1" customWidth="1"/>
    <col min="1299" max="1299" width="13" style="1609" bestFit="1" customWidth="1"/>
    <col min="1300" max="1300" width="13.6640625" style="1609" customWidth="1"/>
    <col min="1301" max="1301" width="10.1640625" style="1609" bestFit="1" customWidth="1"/>
    <col min="1302" max="1302" width="13" style="1609" bestFit="1" customWidth="1"/>
    <col min="1303" max="1303" width="15.33203125" style="1609" customWidth="1"/>
    <col min="1304" max="1304" width="5.83203125" style="1609" bestFit="1" customWidth="1"/>
    <col min="1305" max="1536" width="9.33203125" style="1609"/>
    <col min="1537" max="1537" width="3.1640625" style="1609" customWidth="1"/>
    <col min="1538" max="1538" width="7.6640625" style="1609" bestFit="1" customWidth="1"/>
    <col min="1539" max="1539" width="31.5" style="1609" customWidth="1"/>
    <col min="1540" max="1540" width="13.33203125" style="1609" bestFit="1" customWidth="1"/>
    <col min="1541" max="1549" width="0" style="1609" hidden="1" customWidth="1"/>
    <col min="1550" max="1550" width="10.1640625" style="1609" bestFit="1" customWidth="1"/>
    <col min="1551" max="1551" width="13" style="1609" bestFit="1" customWidth="1"/>
    <col min="1552" max="1552" width="14.6640625" style="1609" bestFit="1" customWidth="1"/>
    <col min="1553" max="1553" width="7.83203125" style="1609" customWidth="1"/>
    <col min="1554" max="1554" width="10.1640625" style="1609" bestFit="1" customWidth="1"/>
    <col min="1555" max="1555" width="13" style="1609" bestFit="1" customWidth="1"/>
    <col min="1556" max="1556" width="13.6640625" style="1609" customWidth="1"/>
    <col min="1557" max="1557" width="10.1640625" style="1609" bestFit="1" customWidth="1"/>
    <col min="1558" max="1558" width="13" style="1609" bestFit="1" customWidth="1"/>
    <col min="1559" max="1559" width="15.33203125" style="1609" customWidth="1"/>
    <col min="1560" max="1560" width="5.83203125" style="1609" bestFit="1" customWidth="1"/>
    <col min="1561" max="1792" width="9.33203125" style="1609"/>
    <col min="1793" max="1793" width="3.1640625" style="1609" customWidth="1"/>
    <col min="1794" max="1794" width="7.6640625" style="1609" bestFit="1" customWidth="1"/>
    <col min="1795" max="1795" width="31.5" style="1609" customWidth="1"/>
    <col min="1796" max="1796" width="13.33203125" style="1609" bestFit="1" customWidth="1"/>
    <col min="1797" max="1805" width="0" style="1609" hidden="1" customWidth="1"/>
    <col min="1806" max="1806" width="10.1640625" style="1609" bestFit="1" customWidth="1"/>
    <col min="1807" max="1807" width="13" style="1609" bestFit="1" customWidth="1"/>
    <col min="1808" max="1808" width="14.6640625" style="1609" bestFit="1" customWidth="1"/>
    <col min="1809" max="1809" width="7.83203125" style="1609" customWidth="1"/>
    <col min="1810" max="1810" width="10.1640625" style="1609" bestFit="1" customWidth="1"/>
    <col min="1811" max="1811" width="13" style="1609" bestFit="1" customWidth="1"/>
    <col min="1812" max="1812" width="13.6640625" style="1609" customWidth="1"/>
    <col min="1813" max="1813" width="10.1640625" style="1609" bestFit="1" customWidth="1"/>
    <col min="1814" max="1814" width="13" style="1609" bestFit="1" customWidth="1"/>
    <col min="1815" max="1815" width="15.33203125" style="1609" customWidth="1"/>
    <col min="1816" max="1816" width="5.83203125" style="1609" bestFit="1" customWidth="1"/>
    <col min="1817" max="2048" width="9.33203125" style="1609"/>
    <col min="2049" max="2049" width="3.1640625" style="1609" customWidth="1"/>
    <col min="2050" max="2050" width="7.6640625" style="1609" bestFit="1" customWidth="1"/>
    <col min="2051" max="2051" width="31.5" style="1609" customWidth="1"/>
    <col min="2052" max="2052" width="13.33203125" style="1609" bestFit="1" customWidth="1"/>
    <col min="2053" max="2061" width="0" style="1609" hidden="1" customWidth="1"/>
    <col min="2062" max="2062" width="10.1640625" style="1609" bestFit="1" customWidth="1"/>
    <col min="2063" max="2063" width="13" style="1609" bestFit="1" customWidth="1"/>
    <col min="2064" max="2064" width="14.6640625" style="1609" bestFit="1" customWidth="1"/>
    <col min="2065" max="2065" width="7.83203125" style="1609" customWidth="1"/>
    <col min="2066" max="2066" width="10.1640625" style="1609" bestFit="1" customWidth="1"/>
    <col min="2067" max="2067" width="13" style="1609" bestFit="1" customWidth="1"/>
    <col min="2068" max="2068" width="13.6640625" style="1609" customWidth="1"/>
    <col min="2069" max="2069" width="10.1640625" style="1609" bestFit="1" customWidth="1"/>
    <col min="2070" max="2070" width="13" style="1609" bestFit="1" customWidth="1"/>
    <col min="2071" max="2071" width="15.33203125" style="1609" customWidth="1"/>
    <col min="2072" max="2072" width="5.83203125" style="1609" bestFit="1" customWidth="1"/>
    <col min="2073" max="2304" width="9.33203125" style="1609"/>
    <col min="2305" max="2305" width="3.1640625" style="1609" customWidth="1"/>
    <col min="2306" max="2306" width="7.6640625" style="1609" bestFit="1" customWidth="1"/>
    <col min="2307" max="2307" width="31.5" style="1609" customWidth="1"/>
    <col min="2308" max="2308" width="13.33203125" style="1609" bestFit="1" customWidth="1"/>
    <col min="2309" max="2317" width="0" style="1609" hidden="1" customWidth="1"/>
    <col min="2318" max="2318" width="10.1640625" style="1609" bestFit="1" customWidth="1"/>
    <col min="2319" max="2319" width="13" style="1609" bestFit="1" customWidth="1"/>
    <col min="2320" max="2320" width="14.6640625" style="1609" bestFit="1" customWidth="1"/>
    <col min="2321" max="2321" width="7.83203125" style="1609" customWidth="1"/>
    <col min="2322" max="2322" width="10.1640625" style="1609" bestFit="1" customWidth="1"/>
    <col min="2323" max="2323" width="13" style="1609" bestFit="1" customWidth="1"/>
    <col min="2324" max="2324" width="13.6640625" style="1609" customWidth="1"/>
    <col min="2325" max="2325" width="10.1640625" style="1609" bestFit="1" customWidth="1"/>
    <col min="2326" max="2326" width="13" style="1609" bestFit="1" customWidth="1"/>
    <col min="2327" max="2327" width="15.33203125" style="1609" customWidth="1"/>
    <col min="2328" max="2328" width="5.83203125" style="1609" bestFit="1" customWidth="1"/>
    <col min="2329" max="2560" width="9.33203125" style="1609"/>
    <col min="2561" max="2561" width="3.1640625" style="1609" customWidth="1"/>
    <col min="2562" max="2562" width="7.6640625" style="1609" bestFit="1" customWidth="1"/>
    <col min="2563" max="2563" width="31.5" style="1609" customWidth="1"/>
    <col min="2564" max="2564" width="13.33203125" style="1609" bestFit="1" customWidth="1"/>
    <col min="2565" max="2573" width="0" style="1609" hidden="1" customWidth="1"/>
    <col min="2574" max="2574" width="10.1640625" style="1609" bestFit="1" customWidth="1"/>
    <col min="2575" max="2575" width="13" style="1609" bestFit="1" customWidth="1"/>
    <col min="2576" max="2576" width="14.6640625" style="1609" bestFit="1" customWidth="1"/>
    <col min="2577" max="2577" width="7.83203125" style="1609" customWidth="1"/>
    <col min="2578" max="2578" width="10.1640625" style="1609" bestFit="1" customWidth="1"/>
    <col min="2579" max="2579" width="13" style="1609" bestFit="1" customWidth="1"/>
    <col min="2580" max="2580" width="13.6640625" style="1609" customWidth="1"/>
    <col min="2581" max="2581" width="10.1640625" style="1609" bestFit="1" customWidth="1"/>
    <col min="2582" max="2582" width="13" style="1609" bestFit="1" customWidth="1"/>
    <col min="2583" max="2583" width="15.33203125" style="1609" customWidth="1"/>
    <col min="2584" max="2584" width="5.83203125" style="1609" bestFit="1" customWidth="1"/>
    <col min="2585" max="2816" width="9.33203125" style="1609"/>
    <col min="2817" max="2817" width="3.1640625" style="1609" customWidth="1"/>
    <col min="2818" max="2818" width="7.6640625" style="1609" bestFit="1" customWidth="1"/>
    <col min="2819" max="2819" width="31.5" style="1609" customWidth="1"/>
    <col min="2820" max="2820" width="13.33203125" style="1609" bestFit="1" customWidth="1"/>
    <col min="2821" max="2829" width="0" style="1609" hidden="1" customWidth="1"/>
    <col min="2830" max="2830" width="10.1640625" style="1609" bestFit="1" customWidth="1"/>
    <col min="2831" max="2831" width="13" style="1609" bestFit="1" customWidth="1"/>
    <col min="2832" max="2832" width="14.6640625" style="1609" bestFit="1" customWidth="1"/>
    <col min="2833" max="2833" width="7.83203125" style="1609" customWidth="1"/>
    <col min="2834" max="2834" width="10.1640625" style="1609" bestFit="1" customWidth="1"/>
    <col min="2835" max="2835" width="13" style="1609" bestFit="1" customWidth="1"/>
    <col min="2836" max="2836" width="13.6640625" style="1609" customWidth="1"/>
    <col min="2837" max="2837" width="10.1640625" style="1609" bestFit="1" customWidth="1"/>
    <col min="2838" max="2838" width="13" style="1609" bestFit="1" customWidth="1"/>
    <col min="2839" max="2839" width="15.33203125" style="1609" customWidth="1"/>
    <col min="2840" max="2840" width="5.83203125" style="1609" bestFit="1" customWidth="1"/>
    <col min="2841" max="3072" width="9.33203125" style="1609"/>
    <col min="3073" max="3073" width="3.1640625" style="1609" customWidth="1"/>
    <col min="3074" max="3074" width="7.6640625" style="1609" bestFit="1" customWidth="1"/>
    <col min="3075" max="3075" width="31.5" style="1609" customWidth="1"/>
    <col min="3076" max="3076" width="13.33203125" style="1609" bestFit="1" customWidth="1"/>
    <col min="3077" max="3085" width="0" style="1609" hidden="1" customWidth="1"/>
    <col min="3086" max="3086" width="10.1640625" style="1609" bestFit="1" customWidth="1"/>
    <col min="3087" max="3087" width="13" style="1609" bestFit="1" customWidth="1"/>
    <col min="3088" max="3088" width="14.6640625" style="1609" bestFit="1" customWidth="1"/>
    <col min="3089" max="3089" width="7.83203125" style="1609" customWidth="1"/>
    <col min="3090" max="3090" width="10.1640625" style="1609" bestFit="1" customWidth="1"/>
    <col min="3091" max="3091" width="13" style="1609" bestFit="1" customWidth="1"/>
    <col min="3092" max="3092" width="13.6640625" style="1609" customWidth="1"/>
    <col min="3093" max="3093" width="10.1640625" style="1609" bestFit="1" customWidth="1"/>
    <col min="3094" max="3094" width="13" style="1609" bestFit="1" customWidth="1"/>
    <col min="3095" max="3095" width="15.33203125" style="1609" customWidth="1"/>
    <col min="3096" max="3096" width="5.83203125" style="1609" bestFit="1" customWidth="1"/>
    <col min="3097" max="3328" width="9.33203125" style="1609"/>
    <col min="3329" max="3329" width="3.1640625" style="1609" customWidth="1"/>
    <col min="3330" max="3330" width="7.6640625" style="1609" bestFit="1" customWidth="1"/>
    <col min="3331" max="3331" width="31.5" style="1609" customWidth="1"/>
    <col min="3332" max="3332" width="13.33203125" style="1609" bestFit="1" customWidth="1"/>
    <col min="3333" max="3341" width="0" style="1609" hidden="1" customWidth="1"/>
    <col min="3342" max="3342" width="10.1640625" style="1609" bestFit="1" customWidth="1"/>
    <col min="3343" max="3343" width="13" style="1609" bestFit="1" customWidth="1"/>
    <col min="3344" max="3344" width="14.6640625" style="1609" bestFit="1" customWidth="1"/>
    <col min="3345" max="3345" width="7.83203125" style="1609" customWidth="1"/>
    <col min="3346" max="3346" width="10.1640625" style="1609" bestFit="1" customWidth="1"/>
    <col min="3347" max="3347" width="13" style="1609" bestFit="1" customWidth="1"/>
    <col min="3348" max="3348" width="13.6640625" style="1609" customWidth="1"/>
    <col min="3349" max="3349" width="10.1640625" style="1609" bestFit="1" customWidth="1"/>
    <col min="3350" max="3350" width="13" style="1609" bestFit="1" customWidth="1"/>
    <col min="3351" max="3351" width="15.33203125" style="1609" customWidth="1"/>
    <col min="3352" max="3352" width="5.83203125" style="1609" bestFit="1" customWidth="1"/>
    <col min="3353" max="3584" width="9.33203125" style="1609"/>
    <col min="3585" max="3585" width="3.1640625" style="1609" customWidth="1"/>
    <col min="3586" max="3586" width="7.6640625" style="1609" bestFit="1" customWidth="1"/>
    <col min="3587" max="3587" width="31.5" style="1609" customWidth="1"/>
    <col min="3588" max="3588" width="13.33203125" style="1609" bestFit="1" customWidth="1"/>
    <col min="3589" max="3597" width="0" style="1609" hidden="1" customWidth="1"/>
    <col min="3598" max="3598" width="10.1640625" style="1609" bestFit="1" customWidth="1"/>
    <col min="3599" max="3599" width="13" style="1609" bestFit="1" customWidth="1"/>
    <col min="3600" max="3600" width="14.6640625" style="1609" bestFit="1" customWidth="1"/>
    <col min="3601" max="3601" width="7.83203125" style="1609" customWidth="1"/>
    <col min="3602" max="3602" width="10.1640625" style="1609" bestFit="1" customWidth="1"/>
    <col min="3603" max="3603" width="13" style="1609" bestFit="1" customWidth="1"/>
    <col min="3604" max="3604" width="13.6640625" style="1609" customWidth="1"/>
    <col min="3605" max="3605" width="10.1640625" style="1609" bestFit="1" customWidth="1"/>
    <col min="3606" max="3606" width="13" style="1609" bestFit="1" customWidth="1"/>
    <col min="3607" max="3607" width="15.33203125" style="1609" customWidth="1"/>
    <col min="3608" max="3608" width="5.83203125" style="1609" bestFit="1" customWidth="1"/>
    <col min="3609" max="3840" width="9.33203125" style="1609"/>
    <col min="3841" max="3841" width="3.1640625" style="1609" customWidth="1"/>
    <col min="3842" max="3842" width="7.6640625" style="1609" bestFit="1" customWidth="1"/>
    <col min="3843" max="3843" width="31.5" style="1609" customWidth="1"/>
    <col min="3844" max="3844" width="13.33203125" style="1609" bestFit="1" customWidth="1"/>
    <col min="3845" max="3853" width="0" style="1609" hidden="1" customWidth="1"/>
    <col min="3854" max="3854" width="10.1640625" style="1609" bestFit="1" customWidth="1"/>
    <col min="3855" max="3855" width="13" style="1609" bestFit="1" customWidth="1"/>
    <col min="3856" max="3856" width="14.6640625" style="1609" bestFit="1" customWidth="1"/>
    <col min="3857" max="3857" width="7.83203125" style="1609" customWidth="1"/>
    <col min="3858" max="3858" width="10.1640625" style="1609" bestFit="1" customWidth="1"/>
    <col min="3859" max="3859" width="13" style="1609" bestFit="1" customWidth="1"/>
    <col min="3860" max="3860" width="13.6640625" style="1609" customWidth="1"/>
    <col min="3861" max="3861" width="10.1640625" style="1609" bestFit="1" customWidth="1"/>
    <col min="3862" max="3862" width="13" style="1609" bestFit="1" customWidth="1"/>
    <col min="3863" max="3863" width="15.33203125" style="1609" customWidth="1"/>
    <col min="3864" max="3864" width="5.83203125" style="1609" bestFit="1" customWidth="1"/>
    <col min="3865" max="4096" width="9.33203125" style="1609"/>
    <col min="4097" max="4097" width="3.1640625" style="1609" customWidth="1"/>
    <col min="4098" max="4098" width="7.6640625" style="1609" bestFit="1" customWidth="1"/>
    <col min="4099" max="4099" width="31.5" style="1609" customWidth="1"/>
    <col min="4100" max="4100" width="13.33203125" style="1609" bestFit="1" customWidth="1"/>
    <col min="4101" max="4109" width="0" style="1609" hidden="1" customWidth="1"/>
    <col min="4110" max="4110" width="10.1640625" style="1609" bestFit="1" customWidth="1"/>
    <col min="4111" max="4111" width="13" style="1609" bestFit="1" customWidth="1"/>
    <col min="4112" max="4112" width="14.6640625" style="1609" bestFit="1" customWidth="1"/>
    <col min="4113" max="4113" width="7.83203125" style="1609" customWidth="1"/>
    <col min="4114" max="4114" width="10.1640625" style="1609" bestFit="1" customWidth="1"/>
    <col min="4115" max="4115" width="13" style="1609" bestFit="1" customWidth="1"/>
    <col min="4116" max="4116" width="13.6640625" style="1609" customWidth="1"/>
    <col min="4117" max="4117" width="10.1640625" style="1609" bestFit="1" customWidth="1"/>
    <col min="4118" max="4118" width="13" style="1609" bestFit="1" customWidth="1"/>
    <col min="4119" max="4119" width="15.33203125" style="1609" customWidth="1"/>
    <col min="4120" max="4120" width="5.83203125" style="1609" bestFit="1" customWidth="1"/>
    <col min="4121" max="4352" width="9.33203125" style="1609"/>
    <col min="4353" max="4353" width="3.1640625" style="1609" customWidth="1"/>
    <col min="4354" max="4354" width="7.6640625" style="1609" bestFit="1" customWidth="1"/>
    <col min="4355" max="4355" width="31.5" style="1609" customWidth="1"/>
    <col min="4356" max="4356" width="13.33203125" style="1609" bestFit="1" customWidth="1"/>
    <col min="4357" max="4365" width="0" style="1609" hidden="1" customWidth="1"/>
    <col min="4366" max="4366" width="10.1640625" style="1609" bestFit="1" customWidth="1"/>
    <col min="4367" max="4367" width="13" style="1609" bestFit="1" customWidth="1"/>
    <col min="4368" max="4368" width="14.6640625" style="1609" bestFit="1" customWidth="1"/>
    <col min="4369" max="4369" width="7.83203125" style="1609" customWidth="1"/>
    <col min="4370" max="4370" width="10.1640625" style="1609" bestFit="1" customWidth="1"/>
    <col min="4371" max="4371" width="13" style="1609" bestFit="1" customWidth="1"/>
    <col min="4372" max="4372" width="13.6640625" style="1609" customWidth="1"/>
    <col min="4373" max="4373" width="10.1640625" style="1609" bestFit="1" customWidth="1"/>
    <col min="4374" max="4374" width="13" style="1609" bestFit="1" customWidth="1"/>
    <col min="4375" max="4375" width="15.33203125" style="1609" customWidth="1"/>
    <col min="4376" max="4376" width="5.83203125" style="1609" bestFit="1" customWidth="1"/>
    <col min="4377" max="4608" width="9.33203125" style="1609"/>
    <col min="4609" max="4609" width="3.1640625" style="1609" customWidth="1"/>
    <col min="4610" max="4610" width="7.6640625" style="1609" bestFit="1" customWidth="1"/>
    <col min="4611" max="4611" width="31.5" style="1609" customWidth="1"/>
    <col min="4612" max="4612" width="13.33203125" style="1609" bestFit="1" customWidth="1"/>
    <col min="4613" max="4621" width="0" style="1609" hidden="1" customWidth="1"/>
    <col min="4622" max="4622" width="10.1640625" style="1609" bestFit="1" customWidth="1"/>
    <col min="4623" max="4623" width="13" style="1609" bestFit="1" customWidth="1"/>
    <col min="4624" max="4624" width="14.6640625" style="1609" bestFit="1" customWidth="1"/>
    <col min="4625" max="4625" width="7.83203125" style="1609" customWidth="1"/>
    <col min="4626" max="4626" width="10.1640625" style="1609" bestFit="1" customWidth="1"/>
    <col min="4627" max="4627" width="13" style="1609" bestFit="1" customWidth="1"/>
    <col min="4628" max="4628" width="13.6640625" style="1609" customWidth="1"/>
    <col min="4629" max="4629" width="10.1640625" style="1609" bestFit="1" customWidth="1"/>
    <col min="4630" max="4630" width="13" style="1609" bestFit="1" customWidth="1"/>
    <col min="4631" max="4631" width="15.33203125" style="1609" customWidth="1"/>
    <col min="4632" max="4632" width="5.83203125" style="1609" bestFit="1" customWidth="1"/>
    <col min="4633" max="4864" width="9.33203125" style="1609"/>
    <col min="4865" max="4865" width="3.1640625" style="1609" customWidth="1"/>
    <col min="4866" max="4866" width="7.6640625" style="1609" bestFit="1" customWidth="1"/>
    <col min="4867" max="4867" width="31.5" style="1609" customWidth="1"/>
    <col min="4868" max="4868" width="13.33203125" style="1609" bestFit="1" customWidth="1"/>
    <col min="4869" max="4877" width="0" style="1609" hidden="1" customWidth="1"/>
    <col min="4878" max="4878" width="10.1640625" style="1609" bestFit="1" customWidth="1"/>
    <col min="4879" max="4879" width="13" style="1609" bestFit="1" customWidth="1"/>
    <col min="4880" max="4880" width="14.6640625" style="1609" bestFit="1" customWidth="1"/>
    <col min="4881" max="4881" width="7.83203125" style="1609" customWidth="1"/>
    <col min="4882" max="4882" width="10.1640625" style="1609" bestFit="1" customWidth="1"/>
    <col min="4883" max="4883" width="13" style="1609" bestFit="1" customWidth="1"/>
    <col min="4884" max="4884" width="13.6640625" style="1609" customWidth="1"/>
    <col min="4885" max="4885" width="10.1640625" style="1609" bestFit="1" customWidth="1"/>
    <col min="4886" max="4886" width="13" style="1609" bestFit="1" customWidth="1"/>
    <col min="4887" max="4887" width="15.33203125" style="1609" customWidth="1"/>
    <col min="4888" max="4888" width="5.83203125" style="1609" bestFit="1" customWidth="1"/>
    <col min="4889" max="5120" width="9.33203125" style="1609"/>
    <col min="5121" max="5121" width="3.1640625" style="1609" customWidth="1"/>
    <col min="5122" max="5122" width="7.6640625" style="1609" bestFit="1" customWidth="1"/>
    <col min="5123" max="5123" width="31.5" style="1609" customWidth="1"/>
    <col min="5124" max="5124" width="13.33203125" style="1609" bestFit="1" customWidth="1"/>
    <col min="5125" max="5133" width="0" style="1609" hidden="1" customWidth="1"/>
    <col min="5134" max="5134" width="10.1640625" style="1609" bestFit="1" customWidth="1"/>
    <col min="5135" max="5135" width="13" style="1609" bestFit="1" customWidth="1"/>
    <col min="5136" max="5136" width="14.6640625" style="1609" bestFit="1" customWidth="1"/>
    <col min="5137" max="5137" width="7.83203125" style="1609" customWidth="1"/>
    <col min="5138" max="5138" width="10.1640625" style="1609" bestFit="1" customWidth="1"/>
    <col min="5139" max="5139" width="13" style="1609" bestFit="1" customWidth="1"/>
    <col min="5140" max="5140" width="13.6640625" style="1609" customWidth="1"/>
    <col min="5141" max="5141" width="10.1640625" style="1609" bestFit="1" customWidth="1"/>
    <col min="5142" max="5142" width="13" style="1609" bestFit="1" customWidth="1"/>
    <col min="5143" max="5143" width="15.33203125" style="1609" customWidth="1"/>
    <col min="5144" max="5144" width="5.83203125" style="1609" bestFit="1" customWidth="1"/>
    <col min="5145" max="5376" width="9.33203125" style="1609"/>
    <col min="5377" max="5377" width="3.1640625" style="1609" customWidth="1"/>
    <col min="5378" max="5378" width="7.6640625" style="1609" bestFit="1" customWidth="1"/>
    <col min="5379" max="5379" width="31.5" style="1609" customWidth="1"/>
    <col min="5380" max="5380" width="13.33203125" style="1609" bestFit="1" customWidth="1"/>
    <col min="5381" max="5389" width="0" style="1609" hidden="1" customWidth="1"/>
    <col min="5390" max="5390" width="10.1640625" style="1609" bestFit="1" customWidth="1"/>
    <col min="5391" max="5391" width="13" style="1609" bestFit="1" customWidth="1"/>
    <col min="5392" max="5392" width="14.6640625" style="1609" bestFit="1" customWidth="1"/>
    <col min="5393" max="5393" width="7.83203125" style="1609" customWidth="1"/>
    <col min="5394" max="5394" width="10.1640625" style="1609" bestFit="1" customWidth="1"/>
    <col min="5395" max="5395" width="13" style="1609" bestFit="1" customWidth="1"/>
    <col min="5396" max="5396" width="13.6640625" style="1609" customWidth="1"/>
    <col min="5397" max="5397" width="10.1640625" style="1609" bestFit="1" customWidth="1"/>
    <col min="5398" max="5398" width="13" style="1609" bestFit="1" customWidth="1"/>
    <col min="5399" max="5399" width="15.33203125" style="1609" customWidth="1"/>
    <col min="5400" max="5400" width="5.83203125" style="1609" bestFit="1" customWidth="1"/>
    <col min="5401" max="5632" width="9.33203125" style="1609"/>
    <col min="5633" max="5633" width="3.1640625" style="1609" customWidth="1"/>
    <col min="5634" max="5634" width="7.6640625" style="1609" bestFit="1" customWidth="1"/>
    <col min="5635" max="5635" width="31.5" style="1609" customWidth="1"/>
    <col min="5636" max="5636" width="13.33203125" style="1609" bestFit="1" customWidth="1"/>
    <col min="5637" max="5645" width="0" style="1609" hidden="1" customWidth="1"/>
    <col min="5646" max="5646" width="10.1640625" style="1609" bestFit="1" customWidth="1"/>
    <col min="5647" max="5647" width="13" style="1609" bestFit="1" customWidth="1"/>
    <col min="5648" max="5648" width="14.6640625" style="1609" bestFit="1" customWidth="1"/>
    <col min="5649" max="5649" width="7.83203125" style="1609" customWidth="1"/>
    <col min="5650" max="5650" width="10.1640625" style="1609" bestFit="1" customWidth="1"/>
    <col min="5651" max="5651" width="13" style="1609" bestFit="1" customWidth="1"/>
    <col min="5652" max="5652" width="13.6640625" style="1609" customWidth="1"/>
    <col min="5653" max="5653" width="10.1640625" style="1609" bestFit="1" customWidth="1"/>
    <col min="5654" max="5654" width="13" style="1609" bestFit="1" customWidth="1"/>
    <col min="5655" max="5655" width="15.33203125" style="1609" customWidth="1"/>
    <col min="5656" max="5656" width="5.83203125" style="1609" bestFit="1" customWidth="1"/>
    <col min="5657" max="5888" width="9.33203125" style="1609"/>
    <col min="5889" max="5889" width="3.1640625" style="1609" customWidth="1"/>
    <col min="5890" max="5890" width="7.6640625" style="1609" bestFit="1" customWidth="1"/>
    <col min="5891" max="5891" width="31.5" style="1609" customWidth="1"/>
    <col min="5892" max="5892" width="13.33203125" style="1609" bestFit="1" customWidth="1"/>
    <col min="5893" max="5901" width="0" style="1609" hidden="1" customWidth="1"/>
    <col min="5902" max="5902" width="10.1640625" style="1609" bestFit="1" customWidth="1"/>
    <col min="5903" max="5903" width="13" style="1609" bestFit="1" customWidth="1"/>
    <col min="5904" max="5904" width="14.6640625" style="1609" bestFit="1" customWidth="1"/>
    <col min="5905" max="5905" width="7.83203125" style="1609" customWidth="1"/>
    <col min="5906" max="5906" width="10.1640625" style="1609" bestFit="1" customWidth="1"/>
    <col min="5907" max="5907" width="13" style="1609" bestFit="1" customWidth="1"/>
    <col min="5908" max="5908" width="13.6640625" style="1609" customWidth="1"/>
    <col min="5909" max="5909" width="10.1640625" style="1609" bestFit="1" customWidth="1"/>
    <col min="5910" max="5910" width="13" style="1609" bestFit="1" customWidth="1"/>
    <col min="5911" max="5911" width="15.33203125" style="1609" customWidth="1"/>
    <col min="5912" max="5912" width="5.83203125" style="1609" bestFit="1" customWidth="1"/>
    <col min="5913" max="6144" width="9.33203125" style="1609"/>
    <col min="6145" max="6145" width="3.1640625" style="1609" customWidth="1"/>
    <col min="6146" max="6146" width="7.6640625" style="1609" bestFit="1" customWidth="1"/>
    <col min="6147" max="6147" width="31.5" style="1609" customWidth="1"/>
    <col min="6148" max="6148" width="13.33203125" style="1609" bestFit="1" customWidth="1"/>
    <col min="6149" max="6157" width="0" style="1609" hidden="1" customWidth="1"/>
    <col min="6158" max="6158" width="10.1640625" style="1609" bestFit="1" customWidth="1"/>
    <col min="6159" max="6159" width="13" style="1609" bestFit="1" customWidth="1"/>
    <col min="6160" max="6160" width="14.6640625" style="1609" bestFit="1" customWidth="1"/>
    <col min="6161" max="6161" width="7.83203125" style="1609" customWidth="1"/>
    <col min="6162" max="6162" width="10.1640625" style="1609" bestFit="1" customWidth="1"/>
    <col min="6163" max="6163" width="13" style="1609" bestFit="1" customWidth="1"/>
    <col min="6164" max="6164" width="13.6640625" style="1609" customWidth="1"/>
    <col min="6165" max="6165" width="10.1640625" style="1609" bestFit="1" customWidth="1"/>
    <col min="6166" max="6166" width="13" style="1609" bestFit="1" customWidth="1"/>
    <col min="6167" max="6167" width="15.33203125" style="1609" customWidth="1"/>
    <col min="6168" max="6168" width="5.83203125" style="1609" bestFit="1" customWidth="1"/>
    <col min="6169" max="6400" width="9.33203125" style="1609"/>
    <col min="6401" max="6401" width="3.1640625" style="1609" customWidth="1"/>
    <col min="6402" max="6402" width="7.6640625" style="1609" bestFit="1" customWidth="1"/>
    <col min="6403" max="6403" width="31.5" style="1609" customWidth="1"/>
    <col min="6404" max="6404" width="13.33203125" style="1609" bestFit="1" customWidth="1"/>
    <col min="6405" max="6413" width="0" style="1609" hidden="1" customWidth="1"/>
    <col min="6414" max="6414" width="10.1640625" style="1609" bestFit="1" customWidth="1"/>
    <col min="6415" max="6415" width="13" style="1609" bestFit="1" customWidth="1"/>
    <col min="6416" max="6416" width="14.6640625" style="1609" bestFit="1" customWidth="1"/>
    <col min="6417" max="6417" width="7.83203125" style="1609" customWidth="1"/>
    <col min="6418" max="6418" width="10.1640625" style="1609" bestFit="1" customWidth="1"/>
    <col min="6419" max="6419" width="13" style="1609" bestFit="1" customWidth="1"/>
    <col min="6420" max="6420" width="13.6640625" style="1609" customWidth="1"/>
    <col min="6421" max="6421" width="10.1640625" style="1609" bestFit="1" customWidth="1"/>
    <col min="6422" max="6422" width="13" style="1609" bestFit="1" customWidth="1"/>
    <col min="6423" max="6423" width="15.33203125" style="1609" customWidth="1"/>
    <col min="6424" max="6424" width="5.83203125" style="1609" bestFit="1" customWidth="1"/>
    <col min="6425" max="6656" width="9.33203125" style="1609"/>
    <col min="6657" max="6657" width="3.1640625" style="1609" customWidth="1"/>
    <col min="6658" max="6658" width="7.6640625" style="1609" bestFit="1" customWidth="1"/>
    <col min="6659" max="6659" width="31.5" style="1609" customWidth="1"/>
    <col min="6660" max="6660" width="13.33203125" style="1609" bestFit="1" customWidth="1"/>
    <col min="6661" max="6669" width="0" style="1609" hidden="1" customWidth="1"/>
    <col min="6670" max="6670" width="10.1640625" style="1609" bestFit="1" customWidth="1"/>
    <col min="6671" max="6671" width="13" style="1609" bestFit="1" customWidth="1"/>
    <col min="6672" max="6672" width="14.6640625" style="1609" bestFit="1" customWidth="1"/>
    <col min="6673" max="6673" width="7.83203125" style="1609" customWidth="1"/>
    <col min="6674" max="6674" width="10.1640625" style="1609" bestFit="1" customWidth="1"/>
    <col min="6675" max="6675" width="13" style="1609" bestFit="1" customWidth="1"/>
    <col min="6676" max="6676" width="13.6640625" style="1609" customWidth="1"/>
    <col min="6677" max="6677" width="10.1640625" style="1609" bestFit="1" customWidth="1"/>
    <col min="6678" max="6678" width="13" style="1609" bestFit="1" customWidth="1"/>
    <col min="6679" max="6679" width="15.33203125" style="1609" customWidth="1"/>
    <col min="6680" max="6680" width="5.83203125" style="1609" bestFit="1" customWidth="1"/>
    <col min="6681" max="6912" width="9.33203125" style="1609"/>
    <col min="6913" max="6913" width="3.1640625" style="1609" customWidth="1"/>
    <col min="6914" max="6914" width="7.6640625" style="1609" bestFit="1" customWidth="1"/>
    <col min="6915" max="6915" width="31.5" style="1609" customWidth="1"/>
    <col min="6916" max="6916" width="13.33203125" style="1609" bestFit="1" customWidth="1"/>
    <col min="6917" max="6925" width="0" style="1609" hidden="1" customWidth="1"/>
    <col min="6926" max="6926" width="10.1640625" style="1609" bestFit="1" customWidth="1"/>
    <col min="6927" max="6927" width="13" style="1609" bestFit="1" customWidth="1"/>
    <col min="6928" max="6928" width="14.6640625" style="1609" bestFit="1" customWidth="1"/>
    <col min="6929" max="6929" width="7.83203125" style="1609" customWidth="1"/>
    <col min="6930" max="6930" width="10.1640625" style="1609" bestFit="1" customWidth="1"/>
    <col min="6931" max="6931" width="13" style="1609" bestFit="1" customWidth="1"/>
    <col min="6932" max="6932" width="13.6640625" style="1609" customWidth="1"/>
    <col min="6933" max="6933" width="10.1640625" style="1609" bestFit="1" customWidth="1"/>
    <col min="6934" max="6934" width="13" style="1609" bestFit="1" customWidth="1"/>
    <col min="6935" max="6935" width="15.33203125" style="1609" customWidth="1"/>
    <col min="6936" max="6936" width="5.83203125" style="1609" bestFit="1" customWidth="1"/>
    <col min="6937" max="7168" width="9.33203125" style="1609"/>
    <col min="7169" max="7169" width="3.1640625" style="1609" customWidth="1"/>
    <col min="7170" max="7170" width="7.6640625" style="1609" bestFit="1" customWidth="1"/>
    <col min="7171" max="7171" width="31.5" style="1609" customWidth="1"/>
    <col min="7172" max="7172" width="13.33203125" style="1609" bestFit="1" customWidth="1"/>
    <col min="7173" max="7181" width="0" style="1609" hidden="1" customWidth="1"/>
    <col min="7182" max="7182" width="10.1640625" style="1609" bestFit="1" customWidth="1"/>
    <col min="7183" max="7183" width="13" style="1609" bestFit="1" customWidth="1"/>
    <col min="7184" max="7184" width="14.6640625" style="1609" bestFit="1" customWidth="1"/>
    <col min="7185" max="7185" width="7.83203125" style="1609" customWidth="1"/>
    <col min="7186" max="7186" width="10.1640625" style="1609" bestFit="1" customWidth="1"/>
    <col min="7187" max="7187" width="13" style="1609" bestFit="1" customWidth="1"/>
    <col min="7188" max="7188" width="13.6640625" style="1609" customWidth="1"/>
    <col min="7189" max="7189" width="10.1640625" style="1609" bestFit="1" customWidth="1"/>
    <col min="7190" max="7190" width="13" style="1609" bestFit="1" customWidth="1"/>
    <col min="7191" max="7191" width="15.33203125" style="1609" customWidth="1"/>
    <col min="7192" max="7192" width="5.83203125" style="1609" bestFit="1" customWidth="1"/>
    <col min="7193" max="7424" width="9.33203125" style="1609"/>
    <col min="7425" max="7425" width="3.1640625" style="1609" customWidth="1"/>
    <col min="7426" max="7426" width="7.6640625" style="1609" bestFit="1" customWidth="1"/>
    <col min="7427" max="7427" width="31.5" style="1609" customWidth="1"/>
    <col min="7428" max="7428" width="13.33203125" style="1609" bestFit="1" customWidth="1"/>
    <col min="7429" max="7437" width="0" style="1609" hidden="1" customWidth="1"/>
    <col min="7438" max="7438" width="10.1640625" style="1609" bestFit="1" customWidth="1"/>
    <col min="7439" max="7439" width="13" style="1609" bestFit="1" customWidth="1"/>
    <col min="7440" max="7440" width="14.6640625" style="1609" bestFit="1" customWidth="1"/>
    <col min="7441" max="7441" width="7.83203125" style="1609" customWidth="1"/>
    <col min="7442" max="7442" width="10.1640625" style="1609" bestFit="1" customWidth="1"/>
    <col min="7443" max="7443" width="13" style="1609" bestFit="1" customWidth="1"/>
    <col min="7444" max="7444" width="13.6640625" style="1609" customWidth="1"/>
    <col min="7445" max="7445" width="10.1640625" style="1609" bestFit="1" customWidth="1"/>
    <col min="7446" max="7446" width="13" style="1609" bestFit="1" customWidth="1"/>
    <col min="7447" max="7447" width="15.33203125" style="1609" customWidth="1"/>
    <col min="7448" max="7448" width="5.83203125" style="1609" bestFit="1" customWidth="1"/>
    <col min="7449" max="7680" width="9.33203125" style="1609"/>
    <col min="7681" max="7681" width="3.1640625" style="1609" customWidth="1"/>
    <col min="7682" max="7682" width="7.6640625" style="1609" bestFit="1" customWidth="1"/>
    <col min="7683" max="7683" width="31.5" style="1609" customWidth="1"/>
    <col min="7684" max="7684" width="13.33203125" style="1609" bestFit="1" customWidth="1"/>
    <col min="7685" max="7693" width="0" style="1609" hidden="1" customWidth="1"/>
    <col min="7694" max="7694" width="10.1640625" style="1609" bestFit="1" customWidth="1"/>
    <col min="7695" max="7695" width="13" style="1609" bestFit="1" customWidth="1"/>
    <col min="7696" max="7696" width="14.6640625" style="1609" bestFit="1" customWidth="1"/>
    <col min="7697" max="7697" width="7.83203125" style="1609" customWidth="1"/>
    <col min="7698" max="7698" width="10.1640625" style="1609" bestFit="1" customWidth="1"/>
    <col min="7699" max="7699" width="13" style="1609" bestFit="1" customWidth="1"/>
    <col min="7700" max="7700" width="13.6640625" style="1609" customWidth="1"/>
    <col min="7701" max="7701" width="10.1640625" style="1609" bestFit="1" customWidth="1"/>
    <col min="7702" max="7702" width="13" style="1609" bestFit="1" customWidth="1"/>
    <col min="7703" max="7703" width="15.33203125" style="1609" customWidth="1"/>
    <col min="7704" max="7704" width="5.83203125" style="1609" bestFit="1" customWidth="1"/>
    <col min="7705" max="7936" width="9.33203125" style="1609"/>
    <col min="7937" max="7937" width="3.1640625" style="1609" customWidth="1"/>
    <col min="7938" max="7938" width="7.6640625" style="1609" bestFit="1" customWidth="1"/>
    <col min="7939" max="7939" width="31.5" style="1609" customWidth="1"/>
    <col min="7940" max="7940" width="13.33203125" style="1609" bestFit="1" customWidth="1"/>
    <col min="7941" max="7949" width="0" style="1609" hidden="1" customWidth="1"/>
    <col min="7950" max="7950" width="10.1640625" style="1609" bestFit="1" customWidth="1"/>
    <col min="7951" max="7951" width="13" style="1609" bestFit="1" customWidth="1"/>
    <col min="7952" max="7952" width="14.6640625" style="1609" bestFit="1" customWidth="1"/>
    <col min="7953" max="7953" width="7.83203125" style="1609" customWidth="1"/>
    <col min="7954" max="7954" width="10.1640625" style="1609" bestFit="1" customWidth="1"/>
    <col min="7955" max="7955" width="13" style="1609" bestFit="1" customWidth="1"/>
    <col min="7956" max="7956" width="13.6640625" style="1609" customWidth="1"/>
    <col min="7957" max="7957" width="10.1640625" style="1609" bestFit="1" customWidth="1"/>
    <col min="7958" max="7958" width="13" style="1609" bestFit="1" customWidth="1"/>
    <col min="7959" max="7959" width="15.33203125" style="1609" customWidth="1"/>
    <col min="7960" max="7960" width="5.83203125" style="1609" bestFit="1" customWidth="1"/>
    <col min="7961" max="8192" width="9.33203125" style="1609"/>
    <col min="8193" max="8193" width="3.1640625" style="1609" customWidth="1"/>
    <col min="8194" max="8194" width="7.6640625" style="1609" bestFit="1" customWidth="1"/>
    <col min="8195" max="8195" width="31.5" style="1609" customWidth="1"/>
    <col min="8196" max="8196" width="13.33203125" style="1609" bestFit="1" customWidth="1"/>
    <col min="8197" max="8205" width="0" style="1609" hidden="1" customWidth="1"/>
    <col min="8206" max="8206" width="10.1640625" style="1609" bestFit="1" customWidth="1"/>
    <col min="8207" max="8207" width="13" style="1609" bestFit="1" customWidth="1"/>
    <col min="8208" max="8208" width="14.6640625" style="1609" bestFit="1" customWidth="1"/>
    <col min="8209" max="8209" width="7.83203125" style="1609" customWidth="1"/>
    <col min="8210" max="8210" width="10.1640625" style="1609" bestFit="1" customWidth="1"/>
    <col min="8211" max="8211" width="13" style="1609" bestFit="1" customWidth="1"/>
    <col min="8212" max="8212" width="13.6640625" style="1609" customWidth="1"/>
    <col min="8213" max="8213" width="10.1640625" style="1609" bestFit="1" customWidth="1"/>
    <col min="8214" max="8214" width="13" style="1609" bestFit="1" customWidth="1"/>
    <col min="8215" max="8215" width="15.33203125" style="1609" customWidth="1"/>
    <col min="8216" max="8216" width="5.83203125" style="1609" bestFit="1" customWidth="1"/>
    <col min="8217" max="8448" width="9.33203125" style="1609"/>
    <col min="8449" max="8449" width="3.1640625" style="1609" customWidth="1"/>
    <col min="8450" max="8450" width="7.6640625" style="1609" bestFit="1" customWidth="1"/>
    <col min="8451" max="8451" width="31.5" style="1609" customWidth="1"/>
    <col min="8452" max="8452" width="13.33203125" style="1609" bestFit="1" customWidth="1"/>
    <col min="8453" max="8461" width="0" style="1609" hidden="1" customWidth="1"/>
    <col min="8462" max="8462" width="10.1640625" style="1609" bestFit="1" customWidth="1"/>
    <col min="8463" max="8463" width="13" style="1609" bestFit="1" customWidth="1"/>
    <col min="8464" max="8464" width="14.6640625" style="1609" bestFit="1" customWidth="1"/>
    <col min="8465" max="8465" width="7.83203125" style="1609" customWidth="1"/>
    <col min="8466" max="8466" width="10.1640625" style="1609" bestFit="1" customWidth="1"/>
    <col min="8467" max="8467" width="13" style="1609" bestFit="1" customWidth="1"/>
    <col min="8468" max="8468" width="13.6640625" style="1609" customWidth="1"/>
    <col min="8469" max="8469" width="10.1640625" style="1609" bestFit="1" customWidth="1"/>
    <col min="8470" max="8470" width="13" style="1609" bestFit="1" customWidth="1"/>
    <col min="8471" max="8471" width="15.33203125" style="1609" customWidth="1"/>
    <col min="8472" max="8472" width="5.83203125" style="1609" bestFit="1" customWidth="1"/>
    <col min="8473" max="8704" width="9.33203125" style="1609"/>
    <col min="8705" max="8705" width="3.1640625" style="1609" customWidth="1"/>
    <col min="8706" max="8706" width="7.6640625" style="1609" bestFit="1" customWidth="1"/>
    <col min="8707" max="8707" width="31.5" style="1609" customWidth="1"/>
    <col min="8708" max="8708" width="13.33203125" style="1609" bestFit="1" customWidth="1"/>
    <col min="8709" max="8717" width="0" style="1609" hidden="1" customWidth="1"/>
    <col min="8718" max="8718" width="10.1640625" style="1609" bestFit="1" customWidth="1"/>
    <col min="8719" max="8719" width="13" style="1609" bestFit="1" customWidth="1"/>
    <col min="8720" max="8720" width="14.6640625" style="1609" bestFit="1" customWidth="1"/>
    <col min="8721" max="8721" width="7.83203125" style="1609" customWidth="1"/>
    <col min="8722" max="8722" width="10.1640625" style="1609" bestFit="1" customWidth="1"/>
    <col min="8723" max="8723" width="13" style="1609" bestFit="1" customWidth="1"/>
    <col min="8724" max="8724" width="13.6640625" style="1609" customWidth="1"/>
    <col min="8725" max="8725" width="10.1640625" style="1609" bestFit="1" customWidth="1"/>
    <col min="8726" max="8726" width="13" style="1609" bestFit="1" customWidth="1"/>
    <col min="8727" max="8727" width="15.33203125" style="1609" customWidth="1"/>
    <col min="8728" max="8728" width="5.83203125" style="1609" bestFit="1" customWidth="1"/>
    <col min="8729" max="8960" width="9.33203125" style="1609"/>
    <col min="8961" max="8961" width="3.1640625" style="1609" customWidth="1"/>
    <col min="8962" max="8962" width="7.6640625" style="1609" bestFit="1" customWidth="1"/>
    <col min="8963" max="8963" width="31.5" style="1609" customWidth="1"/>
    <col min="8964" max="8964" width="13.33203125" style="1609" bestFit="1" customWidth="1"/>
    <col min="8965" max="8973" width="0" style="1609" hidden="1" customWidth="1"/>
    <col min="8974" max="8974" width="10.1640625" style="1609" bestFit="1" customWidth="1"/>
    <col min="8975" max="8975" width="13" style="1609" bestFit="1" customWidth="1"/>
    <col min="8976" max="8976" width="14.6640625" style="1609" bestFit="1" customWidth="1"/>
    <col min="8977" max="8977" width="7.83203125" style="1609" customWidth="1"/>
    <col min="8978" max="8978" width="10.1640625" style="1609" bestFit="1" customWidth="1"/>
    <col min="8979" max="8979" width="13" style="1609" bestFit="1" customWidth="1"/>
    <col min="8980" max="8980" width="13.6640625" style="1609" customWidth="1"/>
    <col min="8981" max="8981" width="10.1640625" style="1609" bestFit="1" customWidth="1"/>
    <col min="8982" max="8982" width="13" style="1609" bestFit="1" customWidth="1"/>
    <col min="8983" max="8983" width="15.33203125" style="1609" customWidth="1"/>
    <col min="8984" max="8984" width="5.83203125" style="1609" bestFit="1" customWidth="1"/>
    <col min="8985" max="9216" width="9.33203125" style="1609"/>
    <col min="9217" max="9217" width="3.1640625" style="1609" customWidth="1"/>
    <col min="9218" max="9218" width="7.6640625" style="1609" bestFit="1" customWidth="1"/>
    <col min="9219" max="9219" width="31.5" style="1609" customWidth="1"/>
    <col min="9220" max="9220" width="13.33203125" style="1609" bestFit="1" customWidth="1"/>
    <col min="9221" max="9229" width="0" style="1609" hidden="1" customWidth="1"/>
    <col min="9230" max="9230" width="10.1640625" style="1609" bestFit="1" customWidth="1"/>
    <col min="9231" max="9231" width="13" style="1609" bestFit="1" customWidth="1"/>
    <col min="9232" max="9232" width="14.6640625" style="1609" bestFit="1" customWidth="1"/>
    <col min="9233" max="9233" width="7.83203125" style="1609" customWidth="1"/>
    <col min="9234" max="9234" width="10.1640625" style="1609" bestFit="1" customWidth="1"/>
    <col min="9235" max="9235" width="13" style="1609" bestFit="1" customWidth="1"/>
    <col min="9236" max="9236" width="13.6640625" style="1609" customWidth="1"/>
    <col min="9237" max="9237" width="10.1640625" style="1609" bestFit="1" customWidth="1"/>
    <col min="9238" max="9238" width="13" style="1609" bestFit="1" customWidth="1"/>
    <col min="9239" max="9239" width="15.33203125" style="1609" customWidth="1"/>
    <col min="9240" max="9240" width="5.83203125" style="1609" bestFit="1" customWidth="1"/>
    <col min="9241" max="9472" width="9.33203125" style="1609"/>
    <col min="9473" max="9473" width="3.1640625" style="1609" customWidth="1"/>
    <col min="9474" max="9474" width="7.6640625" style="1609" bestFit="1" customWidth="1"/>
    <col min="9475" max="9475" width="31.5" style="1609" customWidth="1"/>
    <col min="9476" max="9476" width="13.33203125" style="1609" bestFit="1" customWidth="1"/>
    <col min="9477" max="9485" width="0" style="1609" hidden="1" customWidth="1"/>
    <col min="9486" max="9486" width="10.1640625" style="1609" bestFit="1" customWidth="1"/>
    <col min="9487" max="9487" width="13" style="1609" bestFit="1" customWidth="1"/>
    <col min="9488" max="9488" width="14.6640625" style="1609" bestFit="1" customWidth="1"/>
    <col min="9489" max="9489" width="7.83203125" style="1609" customWidth="1"/>
    <col min="9490" max="9490" width="10.1640625" style="1609" bestFit="1" customWidth="1"/>
    <col min="9491" max="9491" width="13" style="1609" bestFit="1" customWidth="1"/>
    <col min="9492" max="9492" width="13.6640625" style="1609" customWidth="1"/>
    <col min="9493" max="9493" width="10.1640625" style="1609" bestFit="1" customWidth="1"/>
    <col min="9494" max="9494" width="13" style="1609" bestFit="1" customWidth="1"/>
    <col min="9495" max="9495" width="15.33203125" style="1609" customWidth="1"/>
    <col min="9496" max="9496" width="5.83203125" style="1609" bestFit="1" customWidth="1"/>
    <col min="9497" max="9728" width="9.33203125" style="1609"/>
    <col min="9729" max="9729" width="3.1640625" style="1609" customWidth="1"/>
    <col min="9730" max="9730" width="7.6640625" style="1609" bestFit="1" customWidth="1"/>
    <col min="9731" max="9731" width="31.5" style="1609" customWidth="1"/>
    <col min="9732" max="9732" width="13.33203125" style="1609" bestFit="1" customWidth="1"/>
    <col min="9733" max="9741" width="0" style="1609" hidden="1" customWidth="1"/>
    <col min="9742" max="9742" width="10.1640625" style="1609" bestFit="1" customWidth="1"/>
    <col min="9743" max="9743" width="13" style="1609" bestFit="1" customWidth="1"/>
    <col min="9744" max="9744" width="14.6640625" style="1609" bestFit="1" customWidth="1"/>
    <col min="9745" max="9745" width="7.83203125" style="1609" customWidth="1"/>
    <col min="9746" max="9746" width="10.1640625" style="1609" bestFit="1" customWidth="1"/>
    <col min="9747" max="9747" width="13" style="1609" bestFit="1" customWidth="1"/>
    <col min="9748" max="9748" width="13.6640625" style="1609" customWidth="1"/>
    <col min="9749" max="9749" width="10.1640625" style="1609" bestFit="1" customWidth="1"/>
    <col min="9750" max="9750" width="13" style="1609" bestFit="1" customWidth="1"/>
    <col min="9751" max="9751" width="15.33203125" style="1609" customWidth="1"/>
    <col min="9752" max="9752" width="5.83203125" style="1609" bestFit="1" customWidth="1"/>
    <col min="9753" max="9984" width="9.33203125" style="1609"/>
    <col min="9985" max="9985" width="3.1640625" style="1609" customWidth="1"/>
    <col min="9986" max="9986" width="7.6640625" style="1609" bestFit="1" customWidth="1"/>
    <col min="9987" max="9987" width="31.5" style="1609" customWidth="1"/>
    <col min="9988" max="9988" width="13.33203125" style="1609" bestFit="1" customWidth="1"/>
    <col min="9989" max="9997" width="0" style="1609" hidden="1" customWidth="1"/>
    <col min="9998" max="9998" width="10.1640625" style="1609" bestFit="1" customWidth="1"/>
    <col min="9999" max="9999" width="13" style="1609" bestFit="1" customWidth="1"/>
    <col min="10000" max="10000" width="14.6640625" style="1609" bestFit="1" customWidth="1"/>
    <col min="10001" max="10001" width="7.83203125" style="1609" customWidth="1"/>
    <col min="10002" max="10002" width="10.1640625" style="1609" bestFit="1" customWidth="1"/>
    <col min="10003" max="10003" width="13" style="1609" bestFit="1" customWidth="1"/>
    <col min="10004" max="10004" width="13.6640625" style="1609" customWidth="1"/>
    <col min="10005" max="10005" width="10.1640625" style="1609" bestFit="1" customWidth="1"/>
    <col min="10006" max="10006" width="13" style="1609" bestFit="1" customWidth="1"/>
    <col min="10007" max="10007" width="15.33203125" style="1609" customWidth="1"/>
    <col min="10008" max="10008" width="5.83203125" style="1609" bestFit="1" customWidth="1"/>
    <col min="10009" max="10240" width="9.33203125" style="1609"/>
    <col min="10241" max="10241" width="3.1640625" style="1609" customWidth="1"/>
    <col min="10242" max="10242" width="7.6640625" style="1609" bestFit="1" customWidth="1"/>
    <col min="10243" max="10243" width="31.5" style="1609" customWidth="1"/>
    <col min="10244" max="10244" width="13.33203125" style="1609" bestFit="1" customWidth="1"/>
    <col min="10245" max="10253" width="0" style="1609" hidden="1" customWidth="1"/>
    <col min="10254" max="10254" width="10.1640625" style="1609" bestFit="1" customWidth="1"/>
    <col min="10255" max="10255" width="13" style="1609" bestFit="1" customWidth="1"/>
    <col min="10256" max="10256" width="14.6640625" style="1609" bestFit="1" customWidth="1"/>
    <col min="10257" max="10257" width="7.83203125" style="1609" customWidth="1"/>
    <col min="10258" max="10258" width="10.1640625" style="1609" bestFit="1" customWidth="1"/>
    <col min="10259" max="10259" width="13" style="1609" bestFit="1" customWidth="1"/>
    <col min="10260" max="10260" width="13.6640625" style="1609" customWidth="1"/>
    <col min="10261" max="10261" width="10.1640625" style="1609" bestFit="1" customWidth="1"/>
    <col min="10262" max="10262" width="13" style="1609" bestFit="1" customWidth="1"/>
    <col min="10263" max="10263" width="15.33203125" style="1609" customWidth="1"/>
    <col min="10264" max="10264" width="5.83203125" style="1609" bestFit="1" customWidth="1"/>
    <col min="10265" max="10496" width="9.33203125" style="1609"/>
    <col min="10497" max="10497" width="3.1640625" style="1609" customWidth="1"/>
    <col min="10498" max="10498" width="7.6640625" style="1609" bestFit="1" customWidth="1"/>
    <col min="10499" max="10499" width="31.5" style="1609" customWidth="1"/>
    <col min="10500" max="10500" width="13.33203125" style="1609" bestFit="1" customWidth="1"/>
    <col min="10501" max="10509" width="0" style="1609" hidden="1" customWidth="1"/>
    <col min="10510" max="10510" width="10.1640625" style="1609" bestFit="1" customWidth="1"/>
    <col min="10511" max="10511" width="13" style="1609" bestFit="1" customWidth="1"/>
    <col min="10512" max="10512" width="14.6640625" style="1609" bestFit="1" customWidth="1"/>
    <col min="10513" max="10513" width="7.83203125" style="1609" customWidth="1"/>
    <col min="10514" max="10514" width="10.1640625" style="1609" bestFit="1" customWidth="1"/>
    <col min="10515" max="10515" width="13" style="1609" bestFit="1" customWidth="1"/>
    <col min="10516" max="10516" width="13.6640625" style="1609" customWidth="1"/>
    <col min="10517" max="10517" width="10.1640625" style="1609" bestFit="1" customWidth="1"/>
    <col min="10518" max="10518" width="13" style="1609" bestFit="1" customWidth="1"/>
    <col min="10519" max="10519" width="15.33203125" style="1609" customWidth="1"/>
    <col min="10520" max="10520" width="5.83203125" style="1609" bestFit="1" customWidth="1"/>
    <col min="10521" max="10752" width="9.33203125" style="1609"/>
    <col min="10753" max="10753" width="3.1640625" style="1609" customWidth="1"/>
    <col min="10754" max="10754" width="7.6640625" style="1609" bestFit="1" customWidth="1"/>
    <col min="10755" max="10755" width="31.5" style="1609" customWidth="1"/>
    <col min="10756" max="10756" width="13.33203125" style="1609" bestFit="1" customWidth="1"/>
    <col min="10757" max="10765" width="0" style="1609" hidden="1" customWidth="1"/>
    <col min="10766" max="10766" width="10.1640625" style="1609" bestFit="1" customWidth="1"/>
    <col min="10767" max="10767" width="13" style="1609" bestFit="1" customWidth="1"/>
    <col min="10768" max="10768" width="14.6640625" style="1609" bestFit="1" customWidth="1"/>
    <col min="10769" max="10769" width="7.83203125" style="1609" customWidth="1"/>
    <col min="10770" max="10770" width="10.1640625" style="1609" bestFit="1" customWidth="1"/>
    <col min="10771" max="10771" width="13" style="1609" bestFit="1" customWidth="1"/>
    <col min="10772" max="10772" width="13.6640625" style="1609" customWidth="1"/>
    <col min="10773" max="10773" width="10.1640625" style="1609" bestFit="1" customWidth="1"/>
    <col min="10774" max="10774" width="13" style="1609" bestFit="1" customWidth="1"/>
    <col min="10775" max="10775" width="15.33203125" style="1609" customWidth="1"/>
    <col min="10776" max="10776" width="5.83203125" style="1609" bestFit="1" customWidth="1"/>
    <col min="10777" max="11008" width="9.33203125" style="1609"/>
    <col min="11009" max="11009" width="3.1640625" style="1609" customWidth="1"/>
    <col min="11010" max="11010" width="7.6640625" style="1609" bestFit="1" customWidth="1"/>
    <col min="11011" max="11011" width="31.5" style="1609" customWidth="1"/>
    <col min="11012" max="11012" width="13.33203125" style="1609" bestFit="1" customWidth="1"/>
    <col min="11013" max="11021" width="0" style="1609" hidden="1" customWidth="1"/>
    <col min="11022" max="11022" width="10.1640625" style="1609" bestFit="1" customWidth="1"/>
    <col min="11023" max="11023" width="13" style="1609" bestFit="1" customWidth="1"/>
    <col min="11024" max="11024" width="14.6640625" style="1609" bestFit="1" customWidth="1"/>
    <col min="11025" max="11025" width="7.83203125" style="1609" customWidth="1"/>
    <col min="11026" max="11026" width="10.1640625" style="1609" bestFit="1" customWidth="1"/>
    <col min="11027" max="11027" width="13" style="1609" bestFit="1" customWidth="1"/>
    <col min="11028" max="11028" width="13.6640625" style="1609" customWidth="1"/>
    <col min="11029" max="11029" width="10.1640625" style="1609" bestFit="1" customWidth="1"/>
    <col min="11030" max="11030" width="13" style="1609" bestFit="1" customWidth="1"/>
    <col min="11031" max="11031" width="15.33203125" style="1609" customWidth="1"/>
    <col min="11032" max="11032" width="5.83203125" style="1609" bestFit="1" customWidth="1"/>
    <col min="11033" max="11264" width="9.33203125" style="1609"/>
    <col min="11265" max="11265" width="3.1640625" style="1609" customWidth="1"/>
    <col min="11266" max="11266" width="7.6640625" style="1609" bestFit="1" customWidth="1"/>
    <col min="11267" max="11267" width="31.5" style="1609" customWidth="1"/>
    <col min="11268" max="11268" width="13.33203125" style="1609" bestFit="1" customWidth="1"/>
    <col min="11269" max="11277" width="0" style="1609" hidden="1" customWidth="1"/>
    <col min="11278" max="11278" width="10.1640625" style="1609" bestFit="1" customWidth="1"/>
    <col min="11279" max="11279" width="13" style="1609" bestFit="1" customWidth="1"/>
    <col min="11280" max="11280" width="14.6640625" style="1609" bestFit="1" customWidth="1"/>
    <col min="11281" max="11281" width="7.83203125" style="1609" customWidth="1"/>
    <col min="11282" max="11282" width="10.1640625" style="1609" bestFit="1" customWidth="1"/>
    <col min="11283" max="11283" width="13" style="1609" bestFit="1" customWidth="1"/>
    <col min="11284" max="11284" width="13.6640625" style="1609" customWidth="1"/>
    <col min="11285" max="11285" width="10.1640625" style="1609" bestFit="1" customWidth="1"/>
    <col min="11286" max="11286" width="13" style="1609" bestFit="1" customWidth="1"/>
    <col min="11287" max="11287" width="15.33203125" style="1609" customWidth="1"/>
    <col min="11288" max="11288" width="5.83203125" style="1609" bestFit="1" customWidth="1"/>
    <col min="11289" max="11520" width="9.33203125" style="1609"/>
    <col min="11521" max="11521" width="3.1640625" style="1609" customWidth="1"/>
    <col min="11522" max="11522" width="7.6640625" style="1609" bestFit="1" customWidth="1"/>
    <col min="11523" max="11523" width="31.5" style="1609" customWidth="1"/>
    <col min="11524" max="11524" width="13.33203125" style="1609" bestFit="1" customWidth="1"/>
    <col min="11525" max="11533" width="0" style="1609" hidden="1" customWidth="1"/>
    <col min="11534" max="11534" width="10.1640625" style="1609" bestFit="1" customWidth="1"/>
    <col min="11535" max="11535" width="13" style="1609" bestFit="1" customWidth="1"/>
    <col min="11536" max="11536" width="14.6640625" style="1609" bestFit="1" customWidth="1"/>
    <col min="11537" max="11537" width="7.83203125" style="1609" customWidth="1"/>
    <col min="11538" max="11538" width="10.1640625" style="1609" bestFit="1" customWidth="1"/>
    <col min="11539" max="11539" width="13" style="1609" bestFit="1" customWidth="1"/>
    <col min="11540" max="11540" width="13.6640625" style="1609" customWidth="1"/>
    <col min="11541" max="11541" width="10.1640625" style="1609" bestFit="1" customWidth="1"/>
    <col min="11542" max="11542" width="13" style="1609" bestFit="1" customWidth="1"/>
    <col min="11543" max="11543" width="15.33203125" style="1609" customWidth="1"/>
    <col min="11544" max="11544" width="5.83203125" style="1609" bestFit="1" customWidth="1"/>
    <col min="11545" max="11776" width="9.33203125" style="1609"/>
    <col min="11777" max="11777" width="3.1640625" style="1609" customWidth="1"/>
    <col min="11778" max="11778" width="7.6640625" style="1609" bestFit="1" customWidth="1"/>
    <col min="11779" max="11779" width="31.5" style="1609" customWidth="1"/>
    <col min="11780" max="11780" width="13.33203125" style="1609" bestFit="1" customWidth="1"/>
    <col min="11781" max="11789" width="0" style="1609" hidden="1" customWidth="1"/>
    <col min="11790" max="11790" width="10.1640625" style="1609" bestFit="1" customWidth="1"/>
    <col min="11791" max="11791" width="13" style="1609" bestFit="1" customWidth="1"/>
    <col min="11792" max="11792" width="14.6640625" style="1609" bestFit="1" customWidth="1"/>
    <col min="11793" max="11793" width="7.83203125" style="1609" customWidth="1"/>
    <col min="11794" max="11794" width="10.1640625" style="1609" bestFit="1" customWidth="1"/>
    <col min="11795" max="11795" width="13" style="1609" bestFit="1" customWidth="1"/>
    <col min="11796" max="11796" width="13.6640625" style="1609" customWidth="1"/>
    <col min="11797" max="11797" width="10.1640625" style="1609" bestFit="1" customWidth="1"/>
    <col min="11798" max="11798" width="13" style="1609" bestFit="1" customWidth="1"/>
    <col min="11799" max="11799" width="15.33203125" style="1609" customWidth="1"/>
    <col min="11800" max="11800" width="5.83203125" style="1609" bestFit="1" customWidth="1"/>
    <col min="11801" max="12032" width="9.33203125" style="1609"/>
    <col min="12033" max="12033" width="3.1640625" style="1609" customWidth="1"/>
    <col min="12034" max="12034" width="7.6640625" style="1609" bestFit="1" customWidth="1"/>
    <col min="12035" max="12035" width="31.5" style="1609" customWidth="1"/>
    <col min="12036" max="12036" width="13.33203125" style="1609" bestFit="1" customWidth="1"/>
    <col min="12037" max="12045" width="0" style="1609" hidden="1" customWidth="1"/>
    <col min="12046" max="12046" width="10.1640625" style="1609" bestFit="1" customWidth="1"/>
    <col min="12047" max="12047" width="13" style="1609" bestFit="1" customWidth="1"/>
    <col min="12048" max="12048" width="14.6640625" style="1609" bestFit="1" customWidth="1"/>
    <col min="12049" max="12049" width="7.83203125" style="1609" customWidth="1"/>
    <col min="12050" max="12050" width="10.1640625" style="1609" bestFit="1" customWidth="1"/>
    <col min="12051" max="12051" width="13" style="1609" bestFit="1" customWidth="1"/>
    <col min="12052" max="12052" width="13.6640625" style="1609" customWidth="1"/>
    <col min="12053" max="12053" width="10.1640625" style="1609" bestFit="1" customWidth="1"/>
    <col min="12054" max="12054" width="13" style="1609" bestFit="1" customWidth="1"/>
    <col min="12055" max="12055" width="15.33203125" style="1609" customWidth="1"/>
    <col min="12056" max="12056" width="5.83203125" style="1609" bestFit="1" customWidth="1"/>
    <col min="12057" max="12288" width="9.33203125" style="1609"/>
    <col min="12289" max="12289" width="3.1640625" style="1609" customWidth="1"/>
    <col min="12290" max="12290" width="7.6640625" style="1609" bestFit="1" customWidth="1"/>
    <col min="12291" max="12291" width="31.5" style="1609" customWidth="1"/>
    <col min="12292" max="12292" width="13.33203125" style="1609" bestFit="1" customWidth="1"/>
    <col min="12293" max="12301" width="0" style="1609" hidden="1" customWidth="1"/>
    <col min="12302" max="12302" width="10.1640625" style="1609" bestFit="1" customWidth="1"/>
    <col min="12303" max="12303" width="13" style="1609" bestFit="1" customWidth="1"/>
    <col min="12304" max="12304" width="14.6640625" style="1609" bestFit="1" customWidth="1"/>
    <col min="12305" max="12305" width="7.83203125" style="1609" customWidth="1"/>
    <col min="12306" max="12306" width="10.1640625" style="1609" bestFit="1" customWidth="1"/>
    <col min="12307" max="12307" width="13" style="1609" bestFit="1" customWidth="1"/>
    <col min="12308" max="12308" width="13.6640625" style="1609" customWidth="1"/>
    <col min="12309" max="12309" width="10.1640625" style="1609" bestFit="1" customWidth="1"/>
    <col min="12310" max="12310" width="13" style="1609" bestFit="1" customWidth="1"/>
    <col min="12311" max="12311" width="15.33203125" style="1609" customWidth="1"/>
    <col min="12312" max="12312" width="5.83203125" style="1609" bestFit="1" customWidth="1"/>
    <col min="12313" max="12544" width="9.33203125" style="1609"/>
    <col min="12545" max="12545" width="3.1640625" style="1609" customWidth="1"/>
    <col min="12546" max="12546" width="7.6640625" style="1609" bestFit="1" customWidth="1"/>
    <col min="12547" max="12547" width="31.5" style="1609" customWidth="1"/>
    <col min="12548" max="12548" width="13.33203125" style="1609" bestFit="1" customWidth="1"/>
    <col min="12549" max="12557" width="0" style="1609" hidden="1" customWidth="1"/>
    <col min="12558" max="12558" width="10.1640625" style="1609" bestFit="1" customWidth="1"/>
    <col min="12559" max="12559" width="13" style="1609" bestFit="1" customWidth="1"/>
    <col min="12560" max="12560" width="14.6640625" style="1609" bestFit="1" customWidth="1"/>
    <col min="12561" max="12561" width="7.83203125" style="1609" customWidth="1"/>
    <col min="12562" max="12562" width="10.1640625" style="1609" bestFit="1" customWidth="1"/>
    <col min="12563" max="12563" width="13" style="1609" bestFit="1" customWidth="1"/>
    <col min="12564" max="12564" width="13.6640625" style="1609" customWidth="1"/>
    <col min="12565" max="12565" width="10.1640625" style="1609" bestFit="1" customWidth="1"/>
    <col min="12566" max="12566" width="13" style="1609" bestFit="1" customWidth="1"/>
    <col min="12567" max="12567" width="15.33203125" style="1609" customWidth="1"/>
    <col min="12568" max="12568" width="5.83203125" style="1609" bestFit="1" customWidth="1"/>
    <col min="12569" max="12800" width="9.33203125" style="1609"/>
    <col min="12801" max="12801" width="3.1640625" style="1609" customWidth="1"/>
    <col min="12802" max="12802" width="7.6640625" style="1609" bestFit="1" customWidth="1"/>
    <col min="12803" max="12803" width="31.5" style="1609" customWidth="1"/>
    <col min="12804" max="12804" width="13.33203125" style="1609" bestFit="1" customWidth="1"/>
    <col min="12805" max="12813" width="0" style="1609" hidden="1" customWidth="1"/>
    <col min="12814" max="12814" width="10.1640625" style="1609" bestFit="1" customWidth="1"/>
    <col min="12815" max="12815" width="13" style="1609" bestFit="1" customWidth="1"/>
    <col min="12816" max="12816" width="14.6640625" style="1609" bestFit="1" customWidth="1"/>
    <col min="12817" max="12817" width="7.83203125" style="1609" customWidth="1"/>
    <col min="12818" max="12818" width="10.1640625" style="1609" bestFit="1" customWidth="1"/>
    <col min="12819" max="12819" width="13" style="1609" bestFit="1" customWidth="1"/>
    <col min="12820" max="12820" width="13.6640625" style="1609" customWidth="1"/>
    <col min="12821" max="12821" width="10.1640625" style="1609" bestFit="1" customWidth="1"/>
    <col min="12822" max="12822" width="13" style="1609" bestFit="1" customWidth="1"/>
    <col min="12823" max="12823" width="15.33203125" style="1609" customWidth="1"/>
    <col min="12824" max="12824" width="5.83203125" style="1609" bestFit="1" customWidth="1"/>
    <col min="12825" max="13056" width="9.33203125" style="1609"/>
    <col min="13057" max="13057" width="3.1640625" style="1609" customWidth="1"/>
    <col min="13058" max="13058" width="7.6640625" style="1609" bestFit="1" customWidth="1"/>
    <col min="13059" max="13059" width="31.5" style="1609" customWidth="1"/>
    <col min="13060" max="13060" width="13.33203125" style="1609" bestFit="1" customWidth="1"/>
    <col min="13061" max="13069" width="0" style="1609" hidden="1" customWidth="1"/>
    <col min="13070" max="13070" width="10.1640625" style="1609" bestFit="1" customWidth="1"/>
    <col min="13071" max="13071" width="13" style="1609" bestFit="1" customWidth="1"/>
    <col min="13072" max="13072" width="14.6640625" style="1609" bestFit="1" customWidth="1"/>
    <col min="13073" max="13073" width="7.83203125" style="1609" customWidth="1"/>
    <col min="13074" max="13074" width="10.1640625" style="1609" bestFit="1" customWidth="1"/>
    <col min="13075" max="13075" width="13" style="1609" bestFit="1" customWidth="1"/>
    <col min="13076" max="13076" width="13.6640625" style="1609" customWidth="1"/>
    <col min="13077" max="13077" width="10.1640625" style="1609" bestFit="1" customWidth="1"/>
    <col min="13078" max="13078" width="13" style="1609" bestFit="1" customWidth="1"/>
    <col min="13079" max="13079" width="15.33203125" style="1609" customWidth="1"/>
    <col min="13080" max="13080" width="5.83203125" style="1609" bestFit="1" customWidth="1"/>
    <col min="13081" max="13312" width="9.33203125" style="1609"/>
    <col min="13313" max="13313" width="3.1640625" style="1609" customWidth="1"/>
    <col min="13314" max="13314" width="7.6640625" style="1609" bestFit="1" customWidth="1"/>
    <col min="13315" max="13315" width="31.5" style="1609" customWidth="1"/>
    <col min="13316" max="13316" width="13.33203125" style="1609" bestFit="1" customWidth="1"/>
    <col min="13317" max="13325" width="0" style="1609" hidden="1" customWidth="1"/>
    <col min="13326" max="13326" width="10.1640625" style="1609" bestFit="1" customWidth="1"/>
    <col min="13327" max="13327" width="13" style="1609" bestFit="1" customWidth="1"/>
    <col min="13328" max="13328" width="14.6640625" style="1609" bestFit="1" customWidth="1"/>
    <col min="13329" max="13329" width="7.83203125" style="1609" customWidth="1"/>
    <col min="13330" max="13330" width="10.1640625" style="1609" bestFit="1" customWidth="1"/>
    <col min="13331" max="13331" width="13" style="1609" bestFit="1" customWidth="1"/>
    <col min="13332" max="13332" width="13.6640625" style="1609" customWidth="1"/>
    <col min="13333" max="13333" width="10.1640625" style="1609" bestFit="1" customWidth="1"/>
    <col min="13334" max="13334" width="13" style="1609" bestFit="1" customWidth="1"/>
    <col min="13335" max="13335" width="15.33203125" style="1609" customWidth="1"/>
    <col min="13336" max="13336" width="5.83203125" style="1609" bestFit="1" customWidth="1"/>
    <col min="13337" max="13568" width="9.33203125" style="1609"/>
    <col min="13569" max="13569" width="3.1640625" style="1609" customWidth="1"/>
    <col min="13570" max="13570" width="7.6640625" style="1609" bestFit="1" customWidth="1"/>
    <col min="13571" max="13571" width="31.5" style="1609" customWidth="1"/>
    <col min="13572" max="13572" width="13.33203125" style="1609" bestFit="1" customWidth="1"/>
    <col min="13573" max="13581" width="0" style="1609" hidden="1" customWidth="1"/>
    <col min="13582" max="13582" width="10.1640625" style="1609" bestFit="1" customWidth="1"/>
    <col min="13583" max="13583" width="13" style="1609" bestFit="1" customWidth="1"/>
    <col min="13584" max="13584" width="14.6640625" style="1609" bestFit="1" customWidth="1"/>
    <col min="13585" max="13585" width="7.83203125" style="1609" customWidth="1"/>
    <col min="13586" max="13586" width="10.1640625" style="1609" bestFit="1" customWidth="1"/>
    <col min="13587" max="13587" width="13" style="1609" bestFit="1" customWidth="1"/>
    <col min="13588" max="13588" width="13.6640625" style="1609" customWidth="1"/>
    <col min="13589" max="13589" width="10.1640625" style="1609" bestFit="1" customWidth="1"/>
    <col min="13590" max="13590" width="13" style="1609" bestFit="1" customWidth="1"/>
    <col min="13591" max="13591" width="15.33203125" style="1609" customWidth="1"/>
    <col min="13592" max="13592" width="5.83203125" style="1609" bestFit="1" customWidth="1"/>
    <col min="13593" max="13824" width="9.33203125" style="1609"/>
    <col min="13825" max="13825" width="3.1640625" style="1609" customWidth="1"/>
    <col min="13826" max="13826" width="7.6640625" style="1609" bestFit="1" customWidth="1"/>
    <col min="13827" max="13827" width="31.5" style="1609" customWidth="1"/>
    <col min="13828" max="13828" width="13.33203125" style="1609" bestFit="1" customWidth="1"/>
    <col min="13829" max="13837" width="0" style="1609" hidden="1" customWidth="1"/>
    <col min="13838" max="13838" width="10.1640625" style="1609" bestFit="1" customWidth="1"/>
    <col min="13839" max="13839" width="13" style="1609" bestFit="1" customWidth="1"/>
    <col min="13840" max="13840" width="14.6640625" style="1609" bestFit="1" customWidth="1"/>
    <col min="13841" max="13841" width="7.83203125" style="1609" customWidth="1"/>
    <col min="13842" max="13842" width="10.1640625" style="1609" bestFit="1" customWidth="1"/>
    <col min="13843" max="13843" width="13" style="1609" bestFit="1" customWidth="1"/>
    <col min="13844" max="13844" width="13.6640625" style="1609" customWidth="1"/>
    <col min="13845" max="13845" width="10.1640625" style="1609" bestFit="1" customWidth="1"/>
    <col min="13846" max="13846" width="13" style="1609" bestFit="1" customWidth="1"/>
    <col min="13847" max="13847" width="15.33203125" style="1609" customWidth="1"/>
    <col min="13848" max="13848" width="5.83203125" style="1609" bestFit="1" customWidth="1"/>
    <col min="13849" max="14080" width="9.33203125" style="1609"/>
    <col min="14081" max="14081" width="3.1640625" style="1609" customWidth="1"/>
    <col min="14082" max="14082" width="7.6640625" style="1609" bestFit="1" customWidth="1"/>
    <col min="14083" max="14083" width="31.5" style="1609" customWidth="1"/>
    <col min="14084" max="14084" width="13.33203125" style="1609" bestFit="1" customWidth="1"/>
    <col min="14085" max="14093" width="0" style="1609" hidden="1" customWidth="1"/>
    <col min="14094" max="14094" width="10.1640625" style="1609" bestFit="1" customWidth="1"/>
    <col min="14095" max="14095" width="13" style="1609" bestFit="1" customWidth="1"/>
    <col min="14096" max="14096" width="14.6640625" style="1609" bestFit="1" customWidth="1"/>
    <col min="14097" max="14097" width="7.83203125" style="1609" customWidth="1"/>
    <col min="14098" max="14098" width="10.1640625" style="1609" bestFit="1" customWidth="1"/>
    <col min="14099" max="14099" width="13" style="1609" bestFit="1" customWidth="1"/>
    <col min="14100" max="14100" width="13.6640625" style="1609" customWidth="1"/>
    <col min="14101" max="14101" width="10.1640625" style="1609" bestFit="1" customWidth="1"/>
    <col min="14102" max="14102" width="13" style="1609" bestFit="1" customWidth="1"/>
    <col min="14103" max="14103" width="15.33203125" style="1609" customWidth="1"/>
    <col min="14104" max="14104" width="5.83203125" style="1609" bestFit="1" customWidth="1"/>
    <col min="14105" max="14336" width="9.33203125" style="1609"/>
    <col min="14337" max="14337" width="3.1640625" style="1609" customWidth="1"/>
    <col min="14338" max="14338" width="7.6640625" style="1609" bestFit="1" customWidth="1"/>
    <col min="14339" max="14339" width="31.5" style="1609" customWidth="1"/>
    <col min="14340" max="14340" width="13.33203125" style="1609" bestFit="1" customWidth="1"/>
    <col min="14341" max="14349" width="0" style="1609" hidden="1" customWidth="1"/>
    <col min="14350" max="14350" width="10.1640625" style="1609" bestFit="1" customWidth="1"/>
    <col min="14351" max="14351" width="13" style="1609" bestFit="1" customWidth="1"/>
    <col min="14352" max="14352" width="14.6640625" style="1609" bestFit="1" customWidth="1"/>
    <col min="14353" max="14353" width="7.83203125" style="1609" customWidth="1"/>
    <col min="14354" max="14354" width="10.1640625" style="1609" bestFit="1" customWidth="1"/>
    <col min="14355" max="14355" width="13" style="1609" bestFit="1" customWidth="1"/>
    <col min="14356" max="14356" width="13.6640625" style="1609" customWidth="1"/>
    <col min="14357" max="14357" width="10.1640625" style="1609" bestFit="1" customWidth="1"/>
    <col min="14358" max="14358" width="13" style="1609" bestFit="1" customWidth="1"/>
    <col min="14359" max="14359" width="15.33203125" style="1609" customWidth="1"/>
    <col min="14360" max="14360" width="5.83203125" style="1609" bestFit="1" customWidth="1"/>
    <col min="14361" max="14592" width="9.33203125" style="1609"/>
    <col min="14593" max="14593" width="3.1640625" style="1609" customWidth="1"/>
    <col min="14594" max="14594" width="7.6640625" style="1609" bestFit="1" customWidth="1"/>
    <col min="14595" max="14595" width="31.5" style="1609" customWidth="1"/>
    <col min="14596" max="14596" width="13.33203125" style="1609" bestFit="1" customWidth="1"/>
    <col min="14597" max="14605" width="0" style="1609" hidden="1" customWidth="1"/>
    <col min="14606" max="14606" width="10.1640625" style="1609" bestFit="1" customWidth="1"/>
    <col min="14607" max="14607" width="13" style="1609" bestFit="1" customWidth="1"/>
    <col min="14608" max="14608" width="14.6640625" style="1609" bestFit="1" customWidth="1"/>
    <col min="14609" max="14609" width="7.83203125" style="1609" customWidth="1"/>
    <col min="14610" max="14610" width="10.1640625" style="1609" bestFit="1" customWidth="1"/>
    <col min="14611" max="14611" width="13" style="1609" bestFit="1" customWidth="1"/>
    <col min="14612" max="14612" width="13.6640625" style="1609" customWidth="1"/>
    <col min="14613" max="14613" width="10.1640625" style="1609" bestFit="1" customWidth="1"/>
    <col min="14614" max="14614" width="13" style="1609" bestFit="1" customWidth="1"/>
    <col min="14615" max="14615" width="15.33203125" style="1609" customWidth="1"/>
    <col min="14616" max="14616" width="5.83203125" style="1609" bestFit="1" customWidth="1"/>
    <col min="14617" max="14848" width="9.33203125" style="1609"/>
    <col min="14849" max="14849" width="3.1640625" style="1609" customWidth="1"/>
    <col min="14850" max="14850" width="7.6640625" style="1609" bestFit="1" customWidth="1"/>
    <col min="14851" max="14851" width="31.5" style="1609" customWidth="1"/>
    <col min="14852" max="14852" width="13.33203125" style="1609" bestFit="1" customWidth="1"/>
    <col min="14853" max="14861" width="0" style="1609" hidden="1" customWidth="1"/>
    <col min="14862" max="14862" width="10.1640625" style="1609" bestFit="1" customWidth="1"/>
    <col min="14863" max="14863" width="13" style="1609" bestFit="1" customWidth="1"/>
    <col min="14864" max="14864" width="14.6640625" style="1609" bestFit="1" customWidth="1"/>
    <col min="14865" max="14865" width="7.83203125" style="1609" customWidth="1"/>
    <col min="14866" max="14866" width="10.1640625" style="1609" bestFit="1" customWidth="1"/>
    <col min="14867" max="14867" width="13" style="1609" bestFit="1" customWidth="1"/>
    <col min="14868" max="14868" width="13.6640625" style="1609" customWidth="1"/>
    <col min="14869" max="14869" width="10.1640625" style="1609" bestFit="1" customWidth="1"/>
    <col min="14870" max="14870" width="13" style="1609" bestFit="1" customWidth="1"/>
    <col min="14871" max="14871" width="15.33203125" style="1609" customWidth="1"/>
    <col min="14872" max="14872" width="5.83203125" style="1609" bestFit="1" customWidth="1"/>
    <col min="14873" max="15104" width="9.33203125" style="1609"/>
    <col min="15105" max="15105" width="3.1640625" style="1609" customWidth="1"/>
    <col min="15106" max="15106" width="7.6640625" style="1609" bestFit="1" customWidth="1"/>
    <col min="15107" max="15107" width="31.5" style="1609" customWidth="1"/>
    <col min="15108" max="15108" width="13.33203125" style="1609" bestFit="1" customWidth="1"/>
    <col min="15109" max="15117" width="0" style="1609" hidden="1" customWidth="1"/>
    <col min="15118" max="15118" width="10.1640625" style="1609" bestFit="1" customWidth="1"/>
    <col min="15119" max="15119" width="13" style="1609" bestFit="1" customWidth="1"/>
    <col min="15120" max="15120" width="14.6640625" style="1609" bestFit="1" customWidth="1"/>
    <col min="15121" max="15121" width="7.83203125" style="1609" customWidth="1"/>
    <col min="15122" max="15122" width="10.1640625" style="1609" bestFit="1" customWidth="1"/>
    <col min="15123" max="15123" width="13" style="1609" bestFit="1" customWidth="1"/>
    <col min="15124" max="15124" width="13.6640625" style="1609" customWidth="1"/>
    <col min="15125" max="15125" width="10.1640625" style="1609" bestFit="1" customWidth="1"/>
    <col min="15126" max="15126" width="13" style="1609" bestFit="1" customWidth="1"/>
    <col min="15127" max="15127" width="15.33203125" style="1609" customWidth="1"/>
    <col min="15128" max="15128" width="5.83203125" style="1609" bestFit="1" customWidth="1"/>
    <col min="15129" max="15360" width="9.33203125" style="1609"/>
    <col min="15361" max="15361" width="3.1640625" style="1609" customWidth="1"/>
    <col min="15362" max="15362" width="7.6640625" style="1609" bestFit="1" customWidth="1"/>
    <col min="15363" max="15363" width="31.5" style="1609" customWidth="1"/>
    <col min="15364" max="15364" width="13.33203125" style="1609" bestFit="1" customWidth="1"/>
    <col min="15365" max="15373" width="0" style="1609" hidden="1" customWidth="1"/>
    <col min="15374" max="15374" width="10.1640625" style="1609" bestFit="1" customWidth="1"/>
    <col min="15375" max="15375" width="13" style="1609" bestFit="1" customWidth="1"/>
    <col min="15376" max="15376" width="14.6640625" style="1609" bestFit="1" customWidth="1"/>
    <col min="15377" max="15377" width="7.83203125" style="1609" customWidth="1"/>
    <col min="15378" max="15378" width="10.1640625" style="1609" bestFit="1" customWidth="1"/>
    <col min="15379" max="15379" width="13" style="1609" bestFit="1" customWidth="1"/>
    <col min="15380" max="15380" width="13.6640625" style="1609" customWidth="1"/>
    <col min="15381" max="15381" width="10.1640625" style="1609" bestFit="1" customWidth="1"/>
    <col min="15382" max="15382" width="13" style="1609" bestFit="1" customWidth="1"/>
    <col min="15383" max="15383" width="15.33203125" style="1609" customWidth="1"/>
    <col min="15384" max="15384" width="5.83203125" style="1609" bestFit="1" customWidth="1"/>
    <col min="15385" max="15616" width="9.33203125" style="1609"/>
    <col min="15617" max="15617" width="3.1640625" style="1609" customWidth="1"/>
    <col min="15618" max="15618" width="7.6640625" style="1609" bestFit="1" customWidth="1"/>
    <col min="15619" max="15619" width="31.5" style="1609" customWidth="1"/>
    <col min="15620" max="15620" width="13.33203125" style="1609" bestFit="1" customWidth="1"/>
    <col min="15621" max="15629" width="0" style="1609" hidden="1" customWidth="1"/>
    <col min="15630" max="15630" width="10.1640625" style="1609" bestFit="1" customWidth="1"/>
    <col min="15631" max="15631" width="13" style="1609" bestFit="1" customWidth="1"/>
    <col min="15632" max="15632" width="14.6640625" style="1609" bestFit="1" customWidth="1"/>
    <col min="15633" max="15633" width="7.83203125" style="1609" customWidth="1"/>
    <col min="15634" max="15634" width="10.1640625" style="1609" bestFit="1" customWidth="1"/>
    <col min="15635" max="15635" width="13" style="1609" bestFit="1" customWidth="1"/>
    <col min="15636" max="15636" width="13.6640625" style="1609" customWidth="1"/>
    <col min="15637" max="15637" width="10.1640625" style="1609" bestFit="1" customWidth="1"/>
    <col min="15638" max="15638" width="13" style="1609" bestFit="1" customWidth="1"/>
    <col min="15639" max="15639" width="15.33203125" style="1609" customWidth="1"/>
    <col min="15640" max="15640" width="5.83203125" style="1609" bestFit="1" customWidth="1"/>
    <col min="15641" max="15872" width="9.33203125" style="1609"/>
    <col min="15873" max="15873" width="3.1640625" style="1609" customWidth="1"/>
    <col min="15874" max="15874" width="7.6640625" style="1609" bestFit="1" customWidth="1"/>
    <col min="15875" max="15875" width="31.5" style="1609" customWidth="1"/>
    <col min="15876" max="15876" width="13.33203125" style="1609" bestFit="1" customWidth="1"/>
    <col min="15877" max="15885" width="0" style="1609" hidden="1" customWidth="1"/>
    <col min="15886" max="15886" width="10.1640625" style="1609" bestFit="1" customWidth="1"/>
    <col min="15887" max="15887" width="13" style="1609" bestFit="1" customWidth="1"/>
    <col min="15888" max="15888" width="14.6640625" style="1609" bestFit="1" customWidth="1"/>
    <col min="15889" max="15889" width="7.83203125" style="1609" customWidth="1"/>
    <col min="15890" max="15890" width="10.1640625" style="1609" bestFit="1" customWidth="1"/>
    <col min="15891" max="15891" width="13" style="1609" bestFit="1" customWidth="1"/>
    <col min="15892" max="15892" width="13.6640625" style="1609" customWidth="1"/>
    <col min="15893" max="15893" width="10.1640625" style="1609" bestFit="1" customWidth="1"/>
    <col min="15894" max="15894" width="13" style="1609" bestFit="1" customWidth="1"/>
    <col min="15895" max="15895" width="15.33203125" style="1609" customWidth="1"/>
    <col min="15896" max="15896" width="5.83203125" style="1609" bestFit="1" customWidth="1"/>
    <col min="15897" max="16128" width="9.33203125" style="1609"/>
    <col min="16129" max="16129" width="3.1640625" style="1609" customWidth="1"/>
    <col min="16130" max="16130" width="7.6640625" style="1609" bestFit="1" customWidth="1"/>
    <col min="16131" max="16131" width="31.5" style="1609" customWidth="1"/>
    <col min="16132" max="16132" width="13.33203125" style="1609" bestFit="1" customWidth="1"/>
    <col min="16133" max="16141" width="0" style="1609" hidden="1" customWidth="1"/>
    <col min="16142" max="16142" width="10.1640625" style="1609" bestFit="1" customWidth="1"/>
    <col min="16143" max="16143" width="13" style="1609" bestFit="1" customWidth="1"/>
    <col min="16144" max="16144" width="14.6640625" style="1609" bestFit="1" customWidth="1"/>
    <col min="16145" max="16145" width="7.83203125" style="1609" customWidth="1"/>
    <col min="16146" max="16146" width="10.1640625" style="1609" bestFit="1" customWidth="1"/>
    <col min="16147" max="16147" width="13" style="1609" bestFit="1" customWidth="1"/>
    <col min="16148" max="16148" width="13.6640625" style="1609" customWidth="1"/>
    <col min="16149" max="16149" width="10.1640625" style="1609" bestFit="1" customWidth="1"/>
    <col min="16150" max="16150" width="13" style="1609" bestFit="1" customWidth="1"/>
    <col min="16151" max="16151" width="15.33203125" style="1609" customWidth="1"/>
    <col min="16152" max="16152" width="5.83203125" style="1609" bestFit="1" customWidth="1"/>
    <col min="16153" max="16384" width="9.33203125" style="1609"/>
  </cols>
  <sheetData>
    <row r="1" spans="2:24" x14ac:dyDescent="0.2">
      <c r="S1" s="1608"/>
      <c r="T1" s="1608"/>
      <c r="U1" s="1608"/>
      <c r="V1" s="1608"/>
      <c r="W1" s="1608"/>
    </row>
    <row r="2" spans="2:24" hidden="1" x14ac:dyDescent="0.2">
      <c r="S2" s="1608"/>
      <c r="T2" s="1608"/>
      <c r="U2" s="1608"/>
      <c r="V2" s="1608"/>
      <c r="W2" s="1608"/>
    </row>
    <row r="3" spans="2:24" x14ac:dyDescent="0.2">
      <c r="B3" s="2611" t="s">
        <v>247</v>
      </c>
      <c r="C3" s="2611"/>
      <c r="D3" s="2611"/>
      <c r="E3" s="2611"/>
      <c r="F3" s="2611"/>
      <c r="G3" s="2611"/>
      <c r="H3" s="2611"/>
      <c r="I3" s="2611"/>
      <c r="J3" s="2611"/>
      <c r="K3" s="2611"/>
      <c r="L3" s="2611"/>
      <c r="M3" s="2611"/>
      <c r="N3" s="2611"/>
      <c r="O3" s="2611"/>
      <c r="P3" s="2611"/>
      <c r="Q3" s="2611"/>
      <c r="R3" s="2611"/>
      <c r="S3" s="2611"/>
      <c r="T3" s="2611"/>
      <c r="U3" s="2611"/>
      <c r="V3" s="2611"/>
      <c r="W3" s="2611"/>
    </row>
    <row r="4" spans="2:24" x14ac:dyDescent="0.2">
      <c r="B4" s="2611" t="s">
        <v>1207</v>
      </c>
      <c r="C4" s="2611"/>
      <c r="D4" s="2611"/>
      <c r="E4" s="2611"/>
      <c r="F4" s="2611"/>
      <c r="G4" s="2611"/>
      <c r="H4" s="2611"/>
      <c r="I4" s="2611"/>
      <c r="J4" s="2611"/>
      <c r="K4" s="2611"/>
      <c r="L4" s="2611"/>
      <c r="M4" s="2611"/>
      <c r="N4" s="2611"/>
      <c r="O4" s="2611"/>
      <c r="P4" s="2611"/>
      <c r="Q4" s="2611"/>
      <c r="R4" s="2611"/>
      <c r="S4" s="2611"/>
      <c r="T4" s="2611"/>
      <c r="U4" s="2611"/>
      <c r="V4" s="2611"/>
      <c r="W4" s="2611"/>
    </row>
    <row r="5" spans="2:24" x14ac:dyDescent="0.2">
      <c r="B5" s="2611" t="s">
        <v>1585</v>
      </c>
      <c r="C5" s="2611"/>
      <c r="D5" s="2611"/>
      <c r="E5" s="2611"/>
      <c r="F5" s="2611"/>
      <c r="G5" s="2611"/>
      <c r="H5" s="2611"/>
      <c r="I5" s="2611"/>
      <c r="J5" s="2611"/>
      <c r="K5" s="2611"/>
      <c r="L5" s="2611"/>
      <c r="M5" s="2611"/>
      <c r="N5" s="2611"/>
      <c r="O5" s="2611"/>
      <c r="P5" s="2611"/>
      <c r="Q5" s="2611"/>
      <c r="R5" s="2611"/>
      <c r="S5" s="2611"/>
      <c r="T5" s="2611"/>
      <c r="U5" s="2611"/>
      <c r="V5" s="2611"/>
      <c r="W5" s="2611"/>
    </row>
    <row r="6" spans="2:24" x14ac:dyDescent="0.2">
      <c r="E6" s="354">
        <v>2018</v>
      </c>
      <c r="H6" s="354">
        <v>2019</v>
      </c>
      <c r="J6" s="353" t="s">
        <v>1200</v>
      </c>
      <c r="K6" s="354">
        <v>2019</v>
      </c>
      <c r="M6" s="353" t="s">
        <v>1201</v>
      </c>
      <c r="O6" s="353">
        <v>2020</v>
      </c>
      <c r="S6" s="1609">
        <v>2021</v>
      </c>
      <c r="T6" s="1608"/>
      <c r="U6" s="1608"/>
      <c r="V6" s="1608">
        <v>2022</v>
      </c>
      <c r="W6" s="1610">
        <v>43829</v>
      </c>
    </row>
    <row r="7" spans="2:24" ht="30" customHeight="1" x14ac:dyDescent="0.2">
      <c r="B7" s="2607" t="s">
        <v>78</v>
      </c>
      <c r="C7" s="2607" t="s">
        <v>248</v>
      </c>
      <c r="D7" s="2607" t="s">
        <v>249</v>
      </c>
      <c r="E7" s="2607" t="s">
        <v>1202</v>
      </c>
      <c r="F7" s="2607"/>
      <c r="G7" s="2607"/>
      <c r="H7" s="2607" t="s">
        <v>1203</v>
      </c>
      <c r="I7" s="2607"/>
      <c r="J7" s="2607"/>
      <c r="K7" s="2607" t="s">
        <v>1204</v>
      </c>
      <c r="L7" s="2607"/>
      <c r="M7" s="2607"/>
      <c r="N7" s="2607" t="s">
        <v>1586</v>
      </c>
      <c r="O7" s="2607"/>
      <c r="P7" s="2607"/>
      <c r="Q7" s="2607"/>
      <c r="R7" s="2607" t="s">
        <v>1587</v>
      </c>
      <c r="S7" s="2607"/>
      <c r="T7" s="2607"/>
      <c r="U7" s="2607" t="s">
        <v>1588</v>
      </c>
      <c r="V7" s="2607"/>
      <c r="W7" s="2607"/>
    </row>
    <row r="8" spans="2:24" ht="57.75" x14ac:dyDescent="0.2">
      <c r="B8" s="2607"/>
      <c r="C8" s="2607"/>
      <c r="D8" s="2607"/>
      <c r="E8" s="1611" t="s">
        <v>250</v>
      </c>
      <c r="F8" s="1611" t="s">
        <v>483</v>
      </c>
      <c r="G8" s="1611" t="s">
        <v>484</v>
      </c>
      <c r="H8" s="1611" t="s">
        <v>250</v>
      </c>
      <c r="I8" s="1611" t="s">
        <v>483</v>
      </c>
      <c r="J8" s="1611" t="s">
        <v>484</v>
      </c>
      <c r="K8" s="1611" t="s">
        <v>250</v>
      </c>
      <c r="L8" s="1611" t="s">
        <v>483</v>
      </c>
      <c r="M8" s="1611" t="s">
        <v>484</v>
      </c>
      <c r="N8" s="1611" t="s">
        <v>250</v>
      </c>
      <c r="O8" s="1611" t="s">
        <v>483</v>
      </c>
      <c r="P8" s="1611" t="s">
        <v>484</v>
      </c>
      <c r="Q8" s="1611" t="s">
        <v>182</v>
      </c>
      <c r="R8" s="1611" t="s">
        <v>250</v>
      </c>
      <c r="S8" s="1611" t="s">
        <v>483</v>
      </c>
      <c r="T8" s="1611" t="s">
        <v>484</v>
      </c>
      <c r="U8" s="1611" t="s">
        <v>250</v>
      </c>
      <c r="V8" s="1611" t="s">
        <v>483</v>
      </c>
      <c r="W8" s="1611" t="s">
        <v>484</v>
      </c>
    </row>
    <row r="9" spans="2:24" x14ac:dyDescent="0.2">
      <c r="B9" s="669">
        <v>1</v>
      </c>
      <c r="C9" s="669">
        <v>2</v>
      </c>
      <c r="D9" s="669">
        <v>3</v>
      </c>
      <c r="E9" s="669">
        <v>4</v>
      </c>
      <c r="F9" s="669">
        <v>5</v>
      </c>
      <c r="G9" s="669">
        <v>6</v>
      </c>
      <c r="H9" s="669">
        <v>7</v>
      </c>
      <c r="I9" s="669">
        <v>8</v>
      </c>
      <c r="J9" s="669">
        <v>9</v>
      </c>
      <c r="K9" s="669">
        <v>10</v>
      </c>
      <c r="L9" s="669">
        <v>11</v>
      </c>
      <c r="M9" s="669">
        <v>12</v>
      </c>
      <c r="N9" s="669">
        <v>13</v>
      </c>
      <c r="O9" s="669">
        <v>14</v>
      </c>
      <c r="P9" s="669">
        <v>15</v>
      </c>
      <c r="Q9" s="669">
        <v>16</v>
      </c>
      <c r="R9" s="669">
        <v>17</v>
      </c>
      <c r="S9" s="669">
        <v>18</v>
      </c>
      <c r="T9" s="669">
        <v>19</v>
      </c>
      <c r="U9" s="669">
        <v>20</v>
      </c>
      <c r="V9" s="669">
        <v>21</v>
      </c>
      <c r="W9" s="669">
        <v>22</v>
      </c>
    </row>
    <row r="10" spans="2:24" ht="78.75" x14ac:dyDescent="0.2">
      <c r="B10" s="669">
        <v>1</v>
      </c>
      <c r="C10" s="355" t="s">
        <v>252</v>
      </c>
      <c r="D10" s="669" t="s">
        <v>253</v>
      </c>
      <c r="E10" s="356">
        <v>1829.6</v>
      </c>
      <c r="F10" s="356">
        <v>21.73</v>
      </c>
      <c r="G10" s="356">
        <v>562.96</v>
      </c>
      <c r="H10" s="356">
        <v>1829.6</v>
      </c>
      <c r="I10" s="356">
        <v>21.73</v>
      </c>
      <c r="J10" s="356">
        <f>I10*H10*1.18/1000*12</f>
        <v>562.96</v>
      </c>
      <c r="K10" s="356">
        <v>1829.6</v>
      </c>
      <c r="L10" s="356">
        <v>21.73</v>
      </c>
      <c r="M10" s="356">
        <f>L10*K10*1.18/1000*12</f>
        <v>562.96</v>
      </c>
      <c r="N10" s="356">
        <v>1829.6</v>
      </c>
      <c r="O10" s="356">
        <v>22.49</v>
      </c>
      <c r="P10" s="356">
        <f>N10*O10*1.2/1000*12</f>
        <v>592.53</v>
      </c>
      <c r="Q10" s="1612" t="s">
        <v>1589</v>
      </c>
      <c r="R10" s="356">
        <v>1829.6</v>
      </c>
      <c r="S10" s="357">
        <v>23.37</v>
      </c>
      <c r="T10" s="356">
        <f>R10*S10*1.2/1000*12</f>
        <v>615.71</v>
      </c>
      <c r="U10" s="356">
        <v>1829.6</v>
      </c>
      <c r="V10" s="357">
        <v>24.3</v>
      </c>
      <c r="W10" s="356">
        <f>U10*V10*1.2/1000*12</f>
        <v>640.21</v>
      </c>
      <c r="X10" s="1613"/>
    </row>
    <row r="11" spans="2:24" x14ac:dyDescent="0.2">
      <c r="B11" s="669">
        <v>2</v>
      </c>
      <c r="C11" s="355" t="s">
        <v>254</v>
      </c>
      <c r="D11" s="669" t="s">
        <v>255</v>
      </c>
      <c r="E11" s="356"/>
      <c r="F11" s="356">
        <v>6.38</v>
      </c>
      <c r="G11" s="356"/>
      <c r="H11" s="356"/>
      <c r="I11" s="356">
        <v>6.38</v>
      </c>
      <c r="J11" s="356"/>
      <c r="K11" s="356"/>
      <c r="L11" s="356">
        <v>6.38</v>
      </c>
      <c r="M11" s="356"/>
      <c r="N11" s="356"/>
      <c r="O11" s="356"/>
      <c r="P11" s="356"/>
      <c r="Q11" s="1614"/>
      <c r="R11" s="356"/>
      <c r="S11" s="357"/>
      <c r="T11" s="356"/>
      <c r="U11" s="356"/>
      <c r="V11" s="357"/>
      <c r="W11" s="356"/>
    </row>
    <row r="12" spans="2:24" ht="25.5" x14ac:dyDescent="0.2">
      <c r="B12" s="669">
        <v>3</v>
      </c>
      <c r="C12" s="355" t="s">
        <v>256</v>
      </c>
      <c r="D12" s="669" t="s">
        <v>257</v>
      </c>
      <c r="E12" s="356">
        <v>4</v>
      </c>
      <c r="F12" s="356">
        <v>2060.7800000000002</v>
      </c>
      <c r="G12" s="356">
        <v>9.73</v>
      </c>
      <c r="H12" s="356">
        <v>4</v>
      </c>
      <c r="I12" s="356">
        <v>2060.7800000000002</v>
      </c>
      <c r="J12" s="356">
        <f>H12*I12*1.18/1000</f>
        <v>9.73</v>
      </c>
      <c r="K12" s="356">
        <v>4</v>
      </c>
      <c r="L12" s="356">
        <v>2060.7800000000002</v>
      </c>
      <c r="M12" s="356">
        <f>K12*L12*1.18/1000</f>
        <v>9.73</v>
      </c>
      <c r="N12" s="356">
        <v>4</v>
      </c>
      <c r="O12" s="356">
        <v>2132.91</v>
      </c>
      <c r="P12" s="356">
        <f>N12*O12/1000*1.2</f>
        <v>10.24</v>
      </c>
      <c r="Q12" s="1614"/>
      <c r="R12" s="356">
        <v>4</v>
      </c>
      <c r="S12" s="357">
        <v>2216.09</v>
      </c>
      <c r="T12" s="356">
        <f>R12*S12/1000*1.2</f>
        <v>10.64</v>
      </c>
      <c r="U12" s="356">
        <v>4</v>
      </c>
      <c r="V12" s="357">
        <v>2304.73</v>
      </c>
      <c r="W12" s="356">
        <f>U12*V12/1000*1.2</f>
        <v>11.06</v>
      </c>
    </row>
    <row r="13" spans="2:24" ht="25.5" x14ac:dyDescent="0.2">
      <c r="B13" s="669">
        <v>4</v>
      </c>
      <c r="C13" s="355" t="s">
        <v>258</v>
      </c>
      <c r="D13" s="669" t="s">
        <v>259</v>
      </c>
      <c r="E13" s="356">
        <v>0.14000000000000001</v>
      </c>
      <c r="F13" s="356">
        <v>7922.1</v>
      </c>
      <c r="G13" s="356">
        <v>1.31</v>
      </c>
      <c r="H13" s="356">
        <v>0.14000000000000001</v>
      </c>
      <c r="I13" s="356">
        <v>7922.1</v>
      </c>
      <c r="J13" s="356">
        <f>H13*I13*1.18/1000</f>
        <v>1.31</v>
      </c>
      <c r="K13" s="356">
        <v>0.14000000000000001</v>
      </c>
      <c r="L13" s="356">
        <v>7922.1</v>
      </c>
      <c r="M13" s="356">
        <f>K13*L13*1.18/1000</f>
        <v>1.31</v>
      </c>
      <c r="N13" s="356">
        <v>0.14000000000000001</v>
      </c>
      <c r="O13" s="356">
        <v>8199.3700000000008</v>
      </c>
      <c r="P13" s="356">
        <f>N13*O13/1000*1.2</f>
        <v>1.38</v>
      </c>
      <c r="Q13" s="1614"/>
      <c r="R13" s="356">
        <v>0.14000000000000001</v>
      </c>
      <c r="S13" s="357">
        <v>8519.15</v>
      </c>
      <c r="T13" s="356">
        <f>R13*S13/1000*1.2</f>
        <v>1.43</v>
      </c>
      <c r="U13" s="356">
        <v>0.14000000000000001</v>
      </c>
      <c r="V13" s="357">
        <v>8859.92</v>
      </c>
      <c r="W13" s="356">
        <f>U13*V13/1000*1.2</f>
        <v>1.49</v>
      </c>
    </row>
    <row r="14" spans="2:24" x14ac:dyDescent="0.2">
      <c r="B14" s="669">
        <v>5</v>
      </c>
      <c r="C14" s="355" t="s">
        <v>260</v>
      </c>
      <c r="D14" s="669" t="s">
        <v>261</v>
      </c>
      <c r="E14" s="356"/>
      <c r="F14" s="356">
        <v>7963.77</v>
      </c>
      <c r="G14" s="356">
        <f>E14*F14*1.18/1000</f>
        <v>0</v>
      </c>
      <c r="H14" s="356">
        <v>9</v>
      </c>
      <c r="I14" s="356">
        <v>7963.77</v>
      </c>
      <c r="J14" s="356">
        <f>H14*I14/1000*1.18</f>
        <v>84.58</v>
      </c>
      <c r="K14" s="356">
        <v>9</v>
      </c>
      <c r="L14" s="356">
        <v>2400</v>
      </c>
      <c r="M14" s="356">
        <f>K14*L14/1000</f>
        <v>21.6</v>
      </c>
      <c r="N14" s="356">
        <v>9</v>
      </c>
      <c r="O14" s="356">
        <v>686.87</v>
      </c>
      <c r="P14" s="356">
        <f t="shared" ref="P14:P19" si="0">N14*O14/1000*1.2*12</f>
        <v>89.02</v>
      </c>
      <c r="Q14" s="2608" t="s">
        <v>1590</v>
      </c>
      <c r="R14" s="356">
        <v>9</v>
      </c>
      <c r="S14" s="357">
        <v>713.66</v>
      </c>
      <c r="T14" s="356">
        <f t="shared" ref="T14:T19" si="1">R14*S14/1000*1.2*12</f>
        <v>92.49</v>
      </c>
      <c r="U14" s="356">
        <v>9</v>
      </c>
      <c r="V14" s="357">
        <v>742.21</v>
      </c>
      <c r="W14" s="356">
        <f t="shared" ref="W14:W19" si="2">U14*V14/1000*1.2*12</f>
        <v>96.19</v>
      </c>
    </row>
    <row r="15" spans="2:24" x14ac:dyDescent="0.2">
      <c r="B15" s="669">
        <v>6</v>
      </c>
      <c r="C15" s="355" t="s">
        <v>262</v>
      </c>
      <c r="D15" s="669" t="s">
        <v>261</v>
      </c>
      <c r="E15" s="356"/>
      <c r="F15" s="356">
        <v>4883.6400000000003</v>
      </c>
      <c r="G15" s="356">
        <f>E15*F15*1.18/1000</f>
        <v>0</v>
      </c>
      <c r="H15" s="356">
        <v>20</v>
      </c>
      <c r="I15" s="356">
        <v>4883.6400000000003</v>
      </c>
      <c r="J15" s="356">
        <f>H15*I15/1000*1.18</f>
        <v>115.25</v>
      </c>
      <c r="K15" s="356">
        <v>20</v>
      </c>
      <c r="L15" s="356">
        <v>2160</v>
      </c>
      <c r="M15" s="356">
        <f>K15*L15/1000</f>
        <v>43.2</v>
      </c>
      <c r="N15" s="356">
        <v>20</v>
      </c>
      <c r="O15" s="356">
        <v>421.21</v>
      </c>
      <c r="P15" s="356">
        <f t="shared" si="0"/>
        <v>121.31</v>
      </c>
      <c r="Q15" s="2609"/>
      <c r="R15" s="356">
        <v>20</v>
      </c>
      <c r="S15" s="357">
        <v>437.64</v>
      </c>
      <c r="T15" s="356">
        <f t="shared" si="1"/>
        <v>126.04</v>
      </c>
      <c r="U15" s="356">
        <v>20</v>
      </c>
      <c r="V15" s="357">
        <v>455.15</v>
      </c>
      <c r="W15" s="356">
        <f t="shared" si="2"/>
        <v>131.08000000000001</v>
      </c>
    </row>
    <row r="16" spans="2:24" ht="25.5" x14ac:dyDescent="0.2">
      <c r="B16" s="669">
        <v>7</v>
      </c>
      <c r="C16" s="355" t="s">
        <v>263</v>
      </c>
      <c r="D16" s="669" t="s">
        <v>261</v>
      </c>
      <c r="E16" s="356"/>
      <c r="F16" s="356">
        <v>14423.1</v>
      </c>
      <c r="G16" s="356">
        <f>E16*F16*1.18/1000</f>
        <v>0</v>
      </c>
      <c r="H16" s="356">
        <v>2</v>
      </c>
      <c r="I16" s="356">
        <v>14423.1</v>
      </c>
      <c r="J16" s="356">
        <f>H16*I16/1000*1.18</f>
        <v>34.04</v>
      </c>
      <c r="K16" s="356">
        <v>1</v>
      </c>
      <c r="L16" s="356">
        <v>13200</v>
      </c>
      <c r="M16" s="356">
        <f>K16*L16/1000</f>
        <v>13.2</v>
      </c>
      <c r="N16" s="356">
        <v>1</v>
      </c>
      <c r="O16" s="356">
        <v>1243.99</v>
      </c>
      <c r="P16" s="356">
        <f t="shared" si="0"/>
        <v>17.91</v>
      </c>
      <c r="Q16" s="2610"/>
      <c r="R16" s="356">
        <v>1</v>
      </c>
      <c r="S16" s="357">
        <v>1292.51</v>
      </c>
      <c r="T16" s="356">
        <f t="shared" si="1"/>
        <v>18.61</v>
      </c>
      <c r="U16" s="356">
        <v>1</v>
      </c>
      <c r="V16" s="357">
        <v>1344.21</v>
      </c>
      <c r="W16" s="356">
        <f t="shared" si="2"/>
        <v>19.36</v>
      </c>
    </row>
    <row r="17" spans="2:23" ht="25.5" x14ac:dyDescent="0.2">
      <c r="B17" s="669">
        <v>8</v>
      </c>
      <c r="C17" s="355" t="s">
        <v>264</v>
      </c>
      <c r="D17" s="669" t="s">
        <v>265</v>
      </c>
      <c r="E17" s="356">
        <v>1829.6</v>
      </c>
      <c r="F17" s="356">
        <v>2.62</v>
      </c>
      <c r="G17" s="356">
        <v>67.88</v>
      </c>
      <c r="H17" s="356">
        <v>1829.6</v>
      </c>
      <c r="I17" s="356">
        <v>2.62</v>
      </c>
      <c r="J17" s="356">
        <f>I17*H17*1.18/1000*12</f>
        <v>67.88</v>
      </c>
      <c r="K17" s="356">
        <v>1829.6</v>
      </c>
      <c r="L17" s="356">
        <v>2.62</v>
      </c>
      <c r="M17" s="356">
        <f>L17*K17*1.18/1000*12</f>
        <v>67.88</v>
      </c>
      <c r="N17" s="356">
        <v>1829.6</v>
      </c>
      <c r="O17" s="356">
        <v>2.71</v>
      </c>
      <c r="P17" s="356">
        <f t="shared" si="0"/>
        <v>71.400000000000006</v>
      </c>
      <c r="Q17" s="356"/>
      <c r="R17" s="356">
        <v>1829.6</v>
      </c>
      <c r="S17" s="357">
        <v>2.82</v>
      </c>
      <c r="T17" s="356">
        <f t="shared" si="1"/>
        <v>74.3</v>
      </c>
      <c r="U17" s="356">
        <v>1829.6</v>
      </c>
      <c r="V17" s="357">
        <v>2.93</v>
      </c>
      <c r="W17" s="356">
        <f t="shared" si="2"/>
        <v>77.19</v>
      </c>
    </row>
    <row r="18" spans="2:23" x14ac:dyDescent="0.2">
      <c r="B18" s="669">
        <v>9</v>
      </c>
      <c r="C18" s="355" t="s">
        <v>266</v>
      </c>
      <c r="D18" s="669" t="s">
        <v>257</v>
      </c>
      <c r="E18" s="356">
        <v>1</v>
      </c>
      <c r="F18" s="356">
        <v>4036.11</v>
      </c>
      <c r="G18" s="356">
        <v>57.15</v>
      </c>
      <c r="H18" s="356">
        <v>1</v>
      </c>
      <c r="I18" s="356">
        <v>4036.11</v>
      </c>
      <c r="J18" s="356">
        <f>I18*H18*1.18/1000*12</f>
        <v>57.15</v>
      </c>
      <c r="K18" s="356">
        <v>1</v>
      </c>
      <c r="L18" s="356">
        <v>4036.11</v>
      </c>
      <c r="M18" s="356">
        <f>L18*K18*1.18/1000*12</f>
        <v>57.15</v>
      </c>
      <c r="N18" s="356">
        <v>1</v>
      </c>
      <c r="O18" s="356">
        <v>4177.37</v>
      </c>
      <c r="P18" s="356">
        <f t="shared" si="0"/>
        <v>60.15</v>
      </c>
      <c r="Q18" s="356"/>
      <c r="R18" s="356">
        <v>1</v>
      </c>
      <c r="S18" s="357">
        <v>4340.29</v>
      </c>
      <c r="T18" s="356">
        <f t="shared" si="1"/>
        <v>62.5</v>
      </c>
      <c r="U18" s="356">
        <v>1</v>
      </c>
      <c r="V18" s="357">
        <v>4513.8999999999996</v>
      </c>
      <c r="W18" s="356">
        <f t="shared" si="2"/>
        <v>65</v>
      </c>
    </row>
    <row r="19" spans="2:23" x14ac:dyDescent="0.2">
      <c r="B19" s="669"/>
      <c r="C19" s="355" t="s">
        <v>485</v>
      </c>
      <c r="D19" s="669"/>
      <c r="E19" s="356"/>
      <c r="F19" s="356"/>
      <c r="G19" s="356"/>
      <c r="H19" s="356"/>
      <c r="I19" s="356"/>
      <c r="J19" s="356"/>
      <c r="K19" s="356"/>
      <c r="L19" s="356"/>
      <c r="M19" s="356"/>
      <c r="N19" s="356">
        <v>1</v>
      </c>
      <c r="O19" s="356">
        <v>1660.61</v>
      </c>
      <c r="P19" s="356">
        <f t="shared" si="0"/>
        <v>23.91</v>
      </c>
      <c r="Q19" s="356"/>
      <c r="R19" s="356">
        <v>1</v>
      </c>
      <c r="S19" s="356">
        <v>1725.37</v>
      </c>
      <c r="T19" s="356">
        <f t="shared" si="1"/>
        <v>24.85</v>
      </c>
      <c r="U19" s="356">
        <v>1</v>
      </c>
      <c r="V19" s="356">
        <v>1794.38</v>
      </c>
      <c r="W19" s="356">
        <f t="shared" si="2"/>
        <v>25.84</v>
      </c>
    </row>
    <row r="20" spans="2:23" x14ac:dyDescent="0.2">
      <c r="B20" s="358">
        <v>10</v>
      </c>
      <c r="C20" s="359" t="s">
        <v>287</v>
      </c>
      <c r="D20" s="669"/>
      <c r="E20" s="356"/>
      <c r="F20" s="356"/>
      <c r="G20" s="356"/>
      <c r="H20" s="356"/>
      <c r="I20" s="357"/>
      <c r="J20" s="356"/>
      <c r="K20" s="356"/>
      <c r="L20" s="356"/>
      <c r="M20" s="356"/>
      <c r="N20" s="356"/>
      <c r="O20" s="356"/>
      <c r="P20" s="356"/>
      <c r="Q20" s="356"/>
      <c r="R20" s="356"/>
      <c r="S20" s="357"/>
      <c r="T20" s="356"/>
      <c r="U20" s="356"/>
      <c r="V20" s="357"/>
      <c r="W20" s="356"/>
    </row>
    <row r="21" spans="2:23" x14ac:dyDescent="0.2">
      <c r="B21" s="360" t="s">
        <v>288</v>
      </c>
      <c r="C21" s="359" t="s">
        <v>289</v>
      </c>
      <c r="D21" s="669" t="s">
        <v>257</v>
      </c>
      <c r="E21" s="356"/>
      <c r="F21" s="356">
        <v>196.79</v>
      </c>
      <c r="G21" s="356">
        <f>F21*E21*1.18/1000*12</f>
        <v>0</v>
      </c>
      <c r="H21" s="356"/>
      <c r="I21" s="356">
        <v>196.79</v>
      </c>
      <c r="J21" s="356">
        <f>I21*H21*1.18/1000*12</f>
        <v>0</v>
      </c>
      <c r="K21" s="356"/>
      <c r="L21" s="356">
        <v>196.79</v>
      </c>
      <c r="M21" s="356">
        <f>L21*K21*1.18/1000*12</f>
        <v>0</v>
      </c>
      <c r="N21" s="356"/>
      <c r="O21" s="356">
        <v>203.68</v>
      </c>
      <c r="P21" s="356">
        <f>N21*O21*1.18/1000*12</f>
        <v>0</v>
      </c>
      <c r="Q21" s="356"/>
      <c r="R21" s="356"/>
      <c r="S21" s="357">
        <v>211.62</v>
      </c>
      <c r="T21" s="356">
        <f>R21*S21*1.18/1000*12</f>
        <v>0</v>
      </c>
      <c r="U21" s="356"/>
      <c r="V21" s="357">
        <v>220.08</v>
      </c>
      <c r="W21" s="356">
        <f>U21*V21*1.18/1000*12</f>
        <v>0</v>
      </c>
    </row>
    <row r="22" spans="2:23" x14ac:dyDescent="0.2">
      <c r="B22" s="360" t="s">
        <v>290</v>
      </c>
      <c r="C22" s="359" t="s">
        <v>291</v>
      </c>
      <c r="D22" s="669" t="s">
        <v>257</v>
      </c>
      <c r="E22" s="356"/>
      <c r="F22" s="356">
        <v>213.07</v>
      </c>
      <c r="G22" s="356">
        <f>F22*E22*1.18/1000*12</f>
        <v>0</v>
      </c>
      <c r="H22" s="356"/>
      <c r="I22" s="356">
        <v>213.07</v>
      </c>
      <c r="J22" s="356">
        <f>I22*H22*1.18/1000*12</f>
        <v>0</v>
      </c>
      <c r="K22" s="356"/>
      <c r="L22" s="356">
        <v>213.07</v>
      </c>
      <c r="M22" s="356">
        <f>L22*K22*1.18/1000*12</f>
        <v>0</v>
      </c>
      <c r="N22" s="356"/>
      <c r="O22" s="356">
        <v>220.53</v>
      </c>
      <c r="P22" s="356">
        <f>N22*O22*1.18/1000*12</f>
        <v>0</v>
      </c>
      <c r="Q22" s="356"/>
      <c r="R22" s="356"/>
      <c r="S22" s="357">
        <v>229.13</v>
      </c>
      <c r="T22" s="356">
        <f>R22*S22*1.18/1000*12</f>
        <v>0</v>
      </c>
      <c r="U22" s="356"/>
      <c r="V22" s="357">
        <v>238.3</v>
      </c>
      <c r="W22" s="356">
        <f>U22*V22*1.18/1000*12</f>
        <v>0</v>
      </c>
    </row>
    <row r="23" spans="2:23" x14ac:dyDescent="0.2">
      <c r="B23" s="358" t="s">
        <v>292</v>
      </c>
      <c r="C23" s="359" t="s">
        <v>293</v>
      </c>
      <c r="D23" s="669" t="s">
        <v>257</v>
      </c>
      <c r="E23" s="356"/>
      <c r="F23" s="356">
        <v>222.95</v>
      </c>
      <c r="G23" s="356">
        <f>F23*E23*1.18/1000*12</f>
        <v>0</v>
      </c>
      <c r="H23" s="356"/>
      <c r="I23" s="356">
        <v>222.95</v>
      </c>
      <c r="J23" s="356">
        <f>I23*H23*1.18/1000*12</f>
        <v>0</v>
      </c>
      <c r="K23" s="356"/>
      <c r="L23" s="356">
        <v>222.95</v>
      </c>
      <c r="M23" s="356">
        <f>L23*K23*1.18/1000*12</f>
        <v>0</v>
      </c>
      <c r="N23" s="356"/>
      <c r="O23" s="356">
        <v>230.75</v>
      </c>
      <c r="P23" s="356">
        <f>N23*O23*1.18/1000*12</f>
        <v>0</v>
      </c>
      <c r="Q23" s="356"/>
      <c r="R23" s="356"/>
      <c r="S23" s="357">
        <v>239.75</v>
      </c>
      <c r="T23" s="356">
        <f>R23*S23*1.18/1000*12</f>
        <v>0</v>
      </c>
      <c r="U23" s="356"/>
      <c r="V23" s="357">
        <v>249.34</v>
      </c>
      <c r="W23" s="356">
        <f>U23*V23*1.18/1000*12</f>
        <v>0</v>
      </c>
    </row>
    <row r="24" spans="2:23" x14ac:dyDescent="0.2">
      <c r="B24" s="358" t="s">
        <v>294</v>
      </c>
      <c r="C24" s="359" t="s">
        <v>295</v>
      </c>
      <c r="D24" s="669" t="s">
        <v>257</v>
      </c>
      <c r="E24" s="356"/>
      <c r="F24" s="356">
        <v>239.36</v>
      </c>
      <c r="G24" s="356">
        <f>F24*E24*1.18/1000*12</f>
        <v>0</v>
      </c>
      <c r="H24" s="356"/>
      <c r="I24" s="356">
        <v>239.36</v>
      </c>
      <c r="J24" s="356">
        <f>I24*H24*1.18/1000*12</f>
        <v>0</v>
      </c>
      <c r="K24" s="356"/>
      <c r="L24" s="356">
        <v>239.36</v>
      </c>
      <c r="M24" s="356">
        <f>L24*K24*1.18/1000*12</f>
        <v>0</v>
      </c>
      <c r="N24" s="356"/>
      <c r="O24" s="356">
        <v>247.74</v>
      </c>
      <c r="P24" s="356">
        <f>N24*O24*1.18/1000*12</f>
        <v>0</v>
      </c>
      <c r="Q24" s="356"/>
      <c r="R24" s="356"/>
      <c r="S24" s="357">
        <v>257.39999999999998</v>
      </c>
      <c r="T24" s="356">
        <f>R24*S24*1.18/1000*12</f>
        <v>0</v>
      </c>
      <c r="U24" s="356"/>
      <c r="V24" s="357">
        <v>267.7</v>
      </c>
      <c r="W24" s="356">
        <f>U24*V24*1.18/1000*12</f>
        <v>0</v>
      </c>
    </row>
    <row r="25" spans="2:23" x14ac:dyDescent="0.2">
      <c r="B25" s="358" t="s">
        <v>296</v>
      </c>
      <c r="C25" s="359" t="s">
        <v>297</v>
      </c>
      <c r="D25" s="669" t="s">
        <v>257</v>
      </c>
      <c r="E25" s="356"/>
      <c r="F25" s="356">
        <v>244.98</v>
      </c>
      <c r="G25" s="356">
        <f>F25*E25*1.18/1000*12</f>
        <v>0</v>
      </c>
      <c r="H25" s="356"/>
      <c r="I25" s="356">
        <v>244.98</v>
      </c>
      <c r="J25" s="356">
        <f>I25*H25*1.18/1000*12</f>
        <v>0</v>
      </c>
      <c r="K25" s="356"/>
      <c r="L25" s="356">
        <v>244.98</v>
      </c>
      <c r="M25" s="356">
        <f>L25*K25*1.18/1000*12</f>
        <v>0</v>
      </c>
      <c r="N25" s="356"/>
      <c r="O25" s="356">
        <v>253.55</v>
      </c>
      <c r="P25" s="356">
        <f>N25*O25*1.18/1000*12</f>
        <v>0</v>
      </c>
      <c r="Q25" s="356"/>
      <c r="R25" s="356"/>
      <c r="S25" s="357">
        <v>263.44</v>
      </c>
      <c r="T25" s="356">
        <f>R25*S25*1.18/1000*12</f>
        <v>0</v>
      </c>
      <c r="U25" s="356"/>
      <c r="V25" s="357">
        <v>273.98</v>
      </c>
      <c r="W25" s="356">
        <f>U25*V25*1.18/1000*12</f>
        <v>0</v>
      </c>
    </row>
    <row r="26" spans="2:23" x14ac:dyDescent="0.2">
      <c r="B26" s="358">
        <v>11</v>
      </c>
      <c r="C26" s="359" t="s">
        <v>298</v>
      </c>
      <c r="D26" s="669"/>
      <c r="E26" s="356"/>
      <c r="F26" s="356"/>
      <c r="G26" s="356"/>
      <c r="H26" s="356"/>
      <c r="I26" s="356"/>
      <c r="J26" s="356"/>
      <c r="K26" s="356"/>
      <c r="L26" s="356"/>
      <c r="M26" s="356"/>
      <c r="N26" s="356"/>
      <c r="O26" s="356"/>
      <c r="P26" s="356"/>
      <c r="Q26" s="356"/>
      <c r="R26" s="356"/>
      <c r="S26" s="357"/>
      <c r="T26" s="356"/>
      <c r="U26" s="356"/>
      <c r="V26" s="357"/>
      <c r="W26" s="356"/>
    </row>
    <row r="27" spans="2:23" x14ac:dyDescent="0.2">
      <c r="B27" s="358" t="s">
        <v>299</v>
      </c>
      <c r="C27" s="359" t="s">
        <v>289</v>
      </c>
      <c r="D27" s="669" t="s">
        <v>257</v>
      </c>
      <c r="E27" s="356">
        <v>1</v>
      </c>
      <c r="F27" s="356">
        <v>1111.3499999999999</v>
      </c>
      <c r="G27" s="356">
        <v>15.74</v>
      </c>
      <c r="H27" s="356">
        <v>1</v>
      </c>
      <c r="I27" s="356">
        <v>1111.3499999999999</v>
      </c>
      <c r="J27" s="356">
        <f>I27*H27*1.18/1000*12</f>
        <v>15.74</v>
      </c>
      <c r="K27" s="356">
        <v>1</v>
      </c>
      <c r="L27" s="356">
        <v>1111.3499999999999</v>
      </c>
      <c r="M27" s="356">
        <f>L27*K27*1.18/1000*12</f>
        <v>15.74</v>
      </c>
      <c r="N27" s="356">
        <v>1</v>
      </c>
      <c r="O27" s="356">
        <v>1150.25</v>
      </c>
      <c r="P27" s="356">
        <f>N27*O27*1.2/1000*12+0.0885</f>
        <v>16.649999999999999</v>
      </c>
      <c r="Q27" s="356"/>
      <c r="R27" s="356">
        <v>1</v>
      </c>
      <c r="S27" s="357">
        <v>1195.1099999999999</v>
      </c>
      <c r="T27" s="356">
        <f>R27*S27*1.2/1000*12+0.0256-0.01</f>
        <v>17.23</v>
      </c>
      <c r="U27" s="356">
        <v>1</v>
      </c>
      <c r="V27" s="357">
        <v>1242.9100000000001</v>
      </c>
      <c r="W27" s="356">
        <f>U27*V27*1.2/1000*12+0.0733+0.01</f>
        <v>17.98</v>
      </c>
    </row>
    <row r="28" spans="2:23" x14ac:dyDescent="0.2">
      <c r="B28" s="358" t="s">
        <v>300</v>
      </c>
      <c r="C28" s="359" t="s">
        <v>291</v>
      </c>
      <c r="D28" s="669" t="s">
        <v>257</v>
      </c>
      <c r="E28" s="356"/>
      <c r="F28" s="356">
        <v>1112.76</v>
      </c>
      <c r="G28" s="356">
        <f t="shared" ref="G28:G36" si="3">F28*E28*1.18/1000*12</f>
        <v>0</v>
      </c>
      <c r="H28" s="356"/>
      <c r="I28" s="356">
        <v>1112.76</v>
      </c>
      <c r="J28" s="356">
        <f>I28*H28*1.18/1000*12</f>
        <v>0</v>
      </c>
      <c r="K28" s="356"/>
      <c r="L28" s="356">
        <v>1112.76</v>
      </c>
      <c r="M28" s="356">
        <f>L28*K28*1.18/1000*12</f>
        <v>0</v>
      </c>
      <c r="N28" s="356"/>
      <c r="O28" s="356">
        <v>1151.71</v>
      </c>
      <c r="P28" s="356">
        <f>N28*O28*1.18/1000*12</f>
        <v>0</v>
      </c>
      <c r="Q28" s="356"/>
      <c r="R28" s="356"/>
      <c r="S28" s="357">
        <v>1196.6300000000001</v>
      </c>
      <c r="T28" s="356">
        <f>R28*S28*1.18/1000*12</f>
        <v>0</v>
      </c>
      <c r="U28" s="356"/>
      <c r="V28" s="357">
        <v>1244.5</v>
      </c>
      <c r="W28" s="356">
        <f>U28*V28*1.18/1000*12</f>
        <v>0</v>
      </c>
    </row>
    <row r="29" spans="2:23" x14ac:dyDescent="0.2">
      <c r="B29" s="358" t="s">
        <v>301</v>
      </c>
      <c r="C29" s="359" t="s">
        <v>293</v>
      </c>
      <c r="D29" s="669" t="s">
        <v>257</v>
      </c>
      <c r="E29" s="356"/>
      <c r="F29" s="356">
        <v>1113.8399999999999</v>
      </c>
      <c r="G29" s="356">
        <f t="shared" si="3"/>
        <v>0</v>
      </c>
      <c r="H29" s="356"/>
      <c r="I29" s="356">
        <v>1113.8399999999999</v>
      </c>
      <c r="J29" s="356">
        <f>I29*H29*1.18/1000*12</f>
        <v>0</v>
      </c>
      <c r="K29" s="356"/>
      <c r="L29" s="356">
        <v>1113.8399999999999</v>
      </c>
      <c r="M29" s="356">
        <f>L29*K29*1.18/1000*12</f>
        <v>0</v>
      </c>
      <c r="N29" s="356"/>
      <c r="O29" s="356">
        <v>1152.82</v>
      </c>
      <c r="P29" s="356">
        <f>N29*O29*1.18/1000*12</f>
        <v>0</v>
      </c>
      <c r="Q29" s="356"/>
      <c r="R29" s="356"/>
      <c r="S29" s="357">
        <v>1197.78</v>
      </c>
      <c r="T29" s="356">
        <f>R29*S29*1.18/1000*12</f>
        <v>0</v>
      </c>
      <c r="U29" s="356"/>
      <c r="V29" s="357">
        <v>1245.69</v>
      </c>
      <c r="W29" s="356">
        <f>U29*V29*1.18/1000*12</f>
        <v>0</v>
      </c>
    </row>
    <row r="30" spans="2:23" x14ac:dyDescent="0.2">
      <c r="B30" s="358" t="s">
        <v>302</v>
      </c>
      <c r="C30" s="359" t="s">
        <v>295</v>
      </c>
      <c r="D30" s="669" t="s">
        <v>257</v>
      </c>
      <c r="E30" s="356"/>
      <c r="F30" s="356">
        <v>1115.3800000000001</v>
      </c>
      <c r="G30" s="356">
        <f t="shared" si="3"/>
        <v>0</v>
      </c>
      <c r="H30" s="356"/>
      <c r="I30" s="356">
        <v>1115.3800000000001</v>
      </c>
      <c r="J30" s="356">
        <f>I30*H30*1.18/1000*12</f>
        <v>0</v>
      </c>
      <c r="K30" s="356"/>
      <c r="L30" s="356">
        <v>1115.3800000000001</v>
      </c>
      <c r="M30" s="356">
        <f>L30*K30*1.18/1000*12</f>
        <v>0</v>
      </c>
      <c r="N30" s="356"/>
      <c r="O30" s="356">
        <v>1154.42</v>
      </c>
      <c r="P30" s="356">
        <f>N30*O30*1.18/1000*12</f>
        <v>0</v>
      </c>
      <c r="Q30" s="356"/>
      <c r="R30" s="356"/>
      <c r="S30" s="357">
        <v>1199.44</v>
      </c>
      <c r="T30" s="356">
        <f>R30*S30*1.18/1000*12</f>
        <v>0</v>
      </c>
      <c r="U30" s="356"/>
      <c r="V30" s="357">
        <v>1247.42</v>
      </c>
      <c r="W30" s="356">
        <f>U30*V30*1.18/1000*12</f>
        <v>0</v>
      </c>
    </row>
    <row r="31" spans="2:23" x14ac:dyDescent="0.2">
      <c r="B31" s="358" t="s">
        <v>303</v>
      </c>
      <c r="C31" s="359" t="s">
        <v>297</v>
      </c>
      <c r="D31" s="669" t="s">
        <v>257</v>
      </c>
      <c r="E31" s="356"/>
      <c r="F31" s="356">
        <v>1121</v>
      </c>
      <c r="G31" s="356">
        <f t="shared" si="3"/>
        <v>0</v>
      </c>
      <c r="H31" s="356"/>
      <c r="I31" s="356">
        <v>1121</v>
      </c>
      <c r="J31" s="356">
        <f>I31*H31*1.18/1000*12</f>
        <v>0</v>
      </c>
      <c r="K31" s="356"/>
      <c r="L31" s="356">
        <v>1121</v>
      </c>
      <c r="M31" s="356">
        <f>L31*K31*1.18/1000*12</f>
        <v>0</v>
      </c>
      <c r="N31" s="356"/>
      <c r="O31" s="356">
        <v>1160.24</v>
      </c>
      <c r="P31" s="356">
        <f>N31*O31*1.18/1000*12</f>
        <v>0</v>
      </c>
      <c r="Q31" s="356"/>
      <c r="R31" s="356"/>
      <c r="S31" s="357">
        <v>1205.49</v>
      </c>
      <c r="T31" s="356">
        <f>R31*S31*1.18/1000*12</f>
        <v>0</v>
      </c>
      <c r="U31" s="356"/>
      <c r="V31" s="357">
        <v>1253.71</v>
      </c>
      <c r="W31" s="356">
        <f>U31*V31*1.18/1000*12</f>
        <v>0</v>
      </c>
    </row>
    <row r="32" spans="2:23" x14ac:dyDescent="0.2">
      <c r="B32" s="358">
        <v>12</v>
      </c>
      <c r="C32" s="359" t="s">
        <v>304</v>
      </c>
      <c r="D32" s="669"/>
      <c r="E32" s="356"/>
      <c r="F32" s="356"/>
      <c r="G32" s="356">
        <f t="shared" si="3"/>
        <v>0</v>
      </c>
      <c r="H32" s="356"/>
      <c r="I32" s="356"/>
      <c r="J32" s="356"/>
      <c r="K32" s="356"/>
      <c r="L32" s="356"/>
      <c r="M32" s="356"/>
      <c r="N32" s="356"/>
      <c r="O32" s="356"/>
      <c r="P32" s="356"/>
      <c r="Q32" s="356"/>
      <c r="R32" s="356"/>
      <c r="S32" s="357"/>
      <c r="T32" s="356"/>
      <c r="U32" s="356"/>
      <c r="V32" s="357"/>
      <c r="W32" s="356"/>
    </row>
    <row r="33" spans="2:23" x14ac:dyDescent="0.2">
      <c r="B33" s="358" t="s">
        <v>305</v>
      </c>
      <c r="C33" s="359" t="s">
        <v>289</v>
      </c>
      <c r="D33" s="669" t="s">
        <v>257</v>
      </c>
      <c r="E33" s="356"/>
      <c r="F33" s="356">
        <v>732.45</v>
      </c>
      <c r="G33" s="356">
        <f t="shared" si="3"/>
        <v>0</v>
      </c>
      <c r="H33" s="356"/>
      <c r="I33" s="356">
        <v>732.45</v>
      </c>
      <c r="J33" s="356">
        <f>I33*H33*1.18/1000*12</f>
        <v>0</v>
      </c>
      <c r="K33" s="356"/>
      <c r="L33" s="356">
        <v>732.45</v>
      </c>
      <c r="M33" s="356">
        <f>L33*K33*1.18/1000*12</f>
        <v>0</v>
      </c>
      <c r="N33" s="356"/>
      <c r="O33" s="356">
        <v>758.09</v>
      </c>
      <c r="P33" s="356">
        <f>N33*O33*1.18/1000*12</f>
        <v>0</v>
      </c>
      <c r="Q33" s="356"/>
      <c r="R33" s="356"/>
      <c r="S33" s="357">
        <v>787.66</v>
      </c>
      <c r="T33" s="356">
        <f>R33*S33*1.18/1000*12</f>
        <v>0</v>
      </c>
      <c r="U33" s="356"/>
      <c r="V33" s="357">
        <v>819.17</v>
      </c>
      <c r="W33" s="356">
        <f>U33*V33*1.18/1000*12</f>
        <v>0</v>
      </c>
    </row>
    <row r="34" spans="2:23" x14ac:dyDescent="0.2">
      <c r="B34" s="358" t="s">
        <v>306</v>
      </c>
      <c r="C34" s="359" t="s">
        <v>291</v>
      </c>
      <c r="D34" s="669" t="s">
        <v>257</v>
      </c>
      <c r="E34" s="356"/>
      <c r="F34" s="356">
        <v>733.01</v>
      </c>
      <c r="G34" s="356">
        <f t="shared" si="3"/>
        <v>0</v>
      </c>
      <c r="H34" s="356"/>
      <c r="I34" s="356">
        <v>733.01</v>
      </c>
      <c r="J34" s="356">
        <f>I34*H34*1.18/1000*12</f>
        <v>0</v>
      </c>
      <c r="K34" s="356"/>
      <c r="L34" s="356">
        <v>733.01</v>
      </c>
      <c r="M34" s="356">
        <f>L34*K34*1.18/1000*12</f>
        <v>0</v>
      </c>
      <c r="N34" s="356"/>
      <c r="O34" s="356">
        <v>758.67</v>
      </c>
      <c r="P34" s="356">
        <f>N34*O34*1.18/1000*12</f>
        <v>0</v>
      </c>
      <c r="Q34" s="356"/>
      <c r="R34" s="356"/>
      <c r="S34" s="357">
        <v>788.26</v>
      </c>
      <c r="T34" s="356">
        <f>R34*S34*1.18/1000*12</f>
        <v>0</v>
      </c>
      <c r="U34" s="356"/>
      <c r="V34" s="357">
        <v>819.79</v>
      </c>
      <c r="W34" s="356">
        <f>U34*V34*1.18/1000*12</f>
        <v>0</v>
      </c>
    </row>
    <row r="35" spans="2:23" x14ac:dyDescent="0.2">
      <c r="B35" s="358" t="s">
        <v>307</v>
      </c>
      <c r="C35" s="359" t="s">
        <v>293</v>
      </c>
      <c r="D35" s="669" t="s">
        <v>257</v>
      </c>
      <c r="E35" s="356"/>
      <c r="F35" s="356">
        <v>733.58</v>
      </c>
      <c r="G35" s="356">
        <f t="shared" si="3"/>
        <v>0</v>
      </c>
      <c r="H35" s="356"/>
      <c r="I35" s="356">
        <v>733.58</v>
      </c>
      <c r="J35" s="356">
        <f>I35*H35*1.18/1000*12</f>
        <v>0</v>
      </c>
      <c r="K35" s="356"/>
      <c r="L35" s="356">
        <v>733.58</v>
      </c>
      <c r="M35" s="356">
        <f>L35*K35*1.18/1000*12</f>
        <v>0</v>
      </c>
      <c r="N35" s="356"/>
      <c r="O35" s="356">
        <v>759.26</v>
      </c>
      <c r="P35" s="356">
        <f>N35*O35*1.18/1000*12</f>
        <v>0</v>
      </c>
      <c r="Q35" s="356"/>
      <c r="R35" s="356"/>
      <c r="S35" s="357">
        <v>788.87</v>
      </c>
      <c r="T35" s="356">
        <f>R35*S35*1.18/1000*12</f>
        <v>0</v>
      </c>
      <c r="U35" s="356"/>
      <c r="V35" s="357">
        <v>820.42</v>
      </c>
      <c r="W35" s="356">
        <f>U35*V35*1.18/1000*12</f>
        <v>0</v>
      </c>
    </row>
    <row r="36" spans="2:23" x14ac:dyDescent="0.2">
      <c r="B36" s="358" t="s">
        <v>308</v>
      </c>
      <c r="C36" s="359" t="s">
        <v>295</v>
      </c>
      <c r="D36" s="669" t="s">
        <v>257</v>
      </c>
      <c r="E36" s="356"/>
      <c r="F36" s="356">
        <v>734.17</v>
      </c>
      <c r="G36" s="356">
        <f t="shared" si="3"/>
        <v>0</v>
      </c>
      <c r="H36" s="356"/>
      <c r="I36" s="356">
        <v>734.17</v>
      </c>
      <c r="J36" s="356">
        <f>I36*H36*1.18/1000*12</f>
        <v>0</v>
      </c>
      <c r="K36" s="356"/>
      <c r="L36" s="356">
        <v>734.17</v>
      </c>
      <c r="M36" s="356">
        <f>L36*K36*1.18/1000*12</f>
        <v>0</v>
      </c>
      <c r="N36" s="356"/>
      <c r="O36" s="356">
        <v>759.87</v>
      </c>
      <c r="P36" s="356">
        <f>N36*O36*1.18/1000*12</f>
        <v>0</v>
      </c>
      <c r="Q36" s="356"/>
      <c r="R36" s="356"/>
      <c r="S36" s="357">
        <v>789.5</v>
      </c>
      <c r="T36" s="356">
        <f>R36*S36*1.18/1000*12</f>
        <v>0</v>
      </c>
      <c r="U36" s="356"/>
      <c r="V36" s="357">
        <v>821.08</v>
      </c>
      <c r="W36" s="356">
        <f>U36*V36*1.18/1000*12</f>
        <v>0</v>
      </c>
    </row>
    <row r="37" spans="2:23" ht="24" x14ac:dyDescent="0.2">
      <c r="B37" s="358">
        <v>21</v>
      </c>
      <c r="C37" s="359" t="s">
        <v>318</v>
      </c>
      <c r="D37" s="358"/>
      <c r="E37" s="356"/>
      <c r="F37" s="356"/>
      <c r="G37" s="361">
        <f>SUM(G10:G36)</f>
        <v>714.77</v>
      </c>
      <c r="H37" s="361"/>
      <c r="I37" s="361"/>
      <c r="J37" s="361">
        <f>SUM(J10:J36)</f>
        <v>948.64</v>
      </c>
      <c r="K37" s="361"/>
      <c r="L37" s="361"/>
      <c r="M37" s="361">
        <f>SUM(M10:M36)</f>
        <v>792.77</v>
      </c>
      <c r="N37" s="361"/>
      <c r="O37" s="361"/>
      <c r="P37" s="361">
        <f>SUM(P10:P36)</f>
        <v>1004.5</v>
      </c>
      <c r="Q37" s="361"/>
      <c r="R37" s="361"/>
      <c r="S37" s="361"/>
      <c r="T37" s="361">
        <f>SUM(T10:T36)</f>
        <v>1043.8</v>
      </c>
      <c r="U37" s="361"/>
      <c r="V37" s="361"/>
      <c r="W37" s="361">
        <f>SUM(W10:W36)</f>
        <v>1085.4000000000001</v>
      </c>
    </row>
    <row r="38" spans="2:23" x14ac:dyDescent="0.2">
      <c r="B38" s="358"/>
      <c r="C38" s="359" t="s">
        <v>486</v>
      </c>
      <c r="D38" s="358"/>
      <c r="E38" s="356"/>
      <c r="F38" s="356"/>
      <c r="G38" s="356"/>
      <c r="H38" s="356"/>
      <c r="I38" s="356"/>
      <c r="J38" s="356"/>
      <c r="K38" s="356"/>
      <c r="L38" s="356"/>
      <c r="M38" s="356"/>
      <c r="N38" s="356"/>
      <c r="O38" s="1615"/>
      <c r="P38" s="356">
        <f>N38*O38/1000*1.18</f>
        <v>0</v>
      </c>
      <c r="Q38" s="356"/>
      <c r="R38" s="356"/>
      <c r="S38" s="356"/>
      <c r="T38" s="356">
        <f>R38*S38/1000*1.18</f>
        <v>0</v>
      </c>
      <c r="U38" s="356"/>
      <c r="V38" s="356"/>
      <c r="W38" s="356">
        <f>U38*V38/1000*1.18</f>
        <v>0</v>
      </c>
    </row>
    <row r="39" spans="2:23" x14ac:dyDescent="0.2">
      <c r="B39" s="358" t="s">
        <v>487</v>
      </c>
      <c r="C39" s="359" t="s">
        <v>488</v>
      </c>
      <c r="D39" s="358"/>
      <c r="E39" s="356"/>
      <c r="F39" s="356"/>
      <c r="G39" s="356"/>
      <c r="H39" s="356"/>
      <c r="I39" s="356"/>
      <c r="J39" s="356"/>
      <c r="K39" s="356"/>
      <c r="L39" s="356"/>
      <c r="M39" s="356"/>
      <c r="N39" s="356"/>
      <c r="O39" s="1615"/>
      <c r="P39" s="356">
        <f>N39*O39/1000*1.18</f>
        <v>0</v>
      </c>
      <c r="Q39" s="356"/>
      <c r="R39" s="356"/>
      <c r="S39" s="356"/>
      <c r="T39" s="356">
        <f>R39*S39/1000*1.18</f>
        <v>0</v>
      </c>
      <c r="U39" s="356"/>
      <c r="V39" s="356"/>
      <c r="W39" s="356">
        <f>U39*V39/1000*1.18</f>
        <v>0</v>
      </c>
    </row>
    <row r="40" spans="2:23" x14ac:dyDescent="0.2">
      <c r="B40" s="360" t="s">
        <v>489</v>
      </c>
      <c r="C40" s="359" t="s">
        <v>490</v>
      </c>
      <c r="D40" s="358"/>
      <c r="E40" s="356"/>
      <c r="F40" s="356"/>
      <c r="G40" s="356">
        <f>G37</f>
        <v>714.77</v>
      </c>
      <c r="H40" s="356"/>
      <c r="I40" s="356"/>
      <c r="J40" s="356">
        <f>J37</f>
        <v>948.64</v>
      </c>
      <c r="K40" s="356"/>
      <c r="L40" s="356"/>
      <c r="M40" s="356">
        <f>M37</f>
        <v>792.77</v>
      </c>
      <c r="N40" s="356"/>
      <c r="O40" s="356"/>
      <c r="P40" s="356">
        <f>P37</f>
        <v>1004.5</v>
      </c>
      <c r="Q40" s="356"/>
      <c r="R40" s="356"/>
      <c r="S40" s="356"/>
      <c r="T40" s="356">
        <f>T37</f>
        <v>1043.8</v>
      </c>
      <c r="U40" s="356"/>
      <c r="V40" s="356"/>
      <c r="W40" s="356">
        <f>W37</f>
        <v>1085.4000000000001</v>
      </c>
    </row>
    <row r="41" spans="2:23" x14ac:dyDescent="0.2">
      <c r="E41" s="1616"/>
      <c r="F41" s="1616"/>
      <c r="G41" s="1616"/>
      <c r="H41" s="1616"/>
      <c r="I41" s="1616"/>
      <c r="J41" s="1616"/>
      <c r="K41" s="1616"/>
      <c r="L41" s="1616"/>
      <c r="M41" s="1616"/>
      <c r="N41" s="1616"/>
      <c r="O41" s="1616"/>
      <c r="P41" s="1616"/>
      <c r="Q41" s="1616"/>
      <c r="R41" s="1616"/>
      <c r="S41" s="1616"/>
      <c r="T41" s="1616"/>
      <c r="U41" s="1616"/>
      <c r="V41" s="1616"/>
      <c r="W41" s="1616"/>
    </row>
    <row r="42" spans="2:23" s="717" customFormat="1" x14ac:dyDescent="0.2">
      <c r="B42" s="718"/>
      <c r="C42" s="719" t="s">
        <v>1208</v>
      </c>
      <c r="D42" s="720"/>
      <c r="E42" s="721"/>
      <c r="F42" s="721"/>
      <c r="G42" s="721"/>
      <c r="H42" s="721"/>
      <c r="I42" s="721"/>
      <c r="J42" s="721"/>
      <c r="K42" s="721"/>
      <c r="L42" s="721"/>
      <c r="M42" s="721"/>
      <c r="N42" s="721"/>
      <c r="O42" s="721"/>
      <c r="P42" s="721"/>
      <c r="Q42" s="721"/>
      <c r="R42" s="721"/>
      <c r="S42" s="721"/>
      <c r="T42" s="721"/>
      <c r="U42" s="721"/>
      <c r="V42" s="721"/>
      <c r="W42" s="721"/>
    </row>
    <row r="43" spans="2:23" s="717" customFormat="1" x14ac:dyDescent="0.2">
      <c r="B43" s="718"/>
      <c r="C43" s="719" t="s">
        <v>574</v>
      </c>
      <c r="D43" s="720"/>
      <c r="E43" s="721"/>
      <c r="F43" s="721"/>
      <c r="G43" s="721"/>
      <c r="H43" s="721"/>
      <c r="I43" s="721"/>
      <c r="J43" s="721"/>
      <c r="K43" s="721"/>
      <c r="L43" s="721"/>
      <c r="M43" s="721"/>
      <c r="N43" s="721"/>
      <c r="O43" s="721"/>
      <c r="P43" s="721"/>
      <c r="Q43" s="721"/>
      <c r="R43" s="721"/>
      <c r="S43" s="721"/>
      <c r="T43" s="721"/>
      <c r="U43" s="721"/>
      <c r="V43" s="721"/>
      <c r="W43" s="721"/>
    </row>
    <row r="44" spans="2:23" s="717" customFormat="1" x14ac:dyDescent="0.2">
      <c r="B44" s="718"/>
      <c r="C44" s="719"/>
      <c r="D44" s="720"/>
      <c r="E44" s="721"/>
      <c r="F44" s="721"/>
      <c r="G44" s="721"/>
      <c r="H44" s="721"/>
      <c r="I44" s="721"/>
      <c r="J44" s="721"/>
      <c r="K44" s="721"/>
      <c r="L44" s="721"/>
      <c r="M44" s="721"/>
      <c r="N44" s="721"/>
      <c r="O44" s="721"/>
      <c r="P44" s="721"/>
      <c r="Q44" s="721"/>
      <c r="R44" s="721"/>
      <c r="S44" s="721"/>
      <c r="T44" s="721"/>
      <c r="U44" s="721"/>
      <c r="V44" s="721"/>
      <c r="W44" s="721"/>
    </row>
    <row r="45" spans="2:23" s="717" customFormat="1" x14ac:dyDescent="0.2">
      <c r="B45" s="716"/>
      <c r="C45" s="716"/>
      <c r="D45" s="716"/>
      <c r="E45" s="716"/>
      <c r="F45" s="716"/>
      <c r="G45" s="716"/>
      <c r="H45" s="716"/>
      <c r="I45" s="716"/>
      <c r="J45" s="716"/>
      <c r="K45" s="716"/>
      <c r="L45" s="716"/>
      <c r="M45" s="716"/>
      <c r="N45" s="716"/>
      <c r="O45" s="716"/>
      <c r="P45" s="716"/>
      <c r="Q45" s="716"/>
      <c r="R45" s="716"/>
      <c r="S45" s="716"/>
      <c r="T45" s="722" t="s">
        <v>1205</v>
      </c>
      <c r="U45" s="722" t="s">
        <v>1206</v>
      </c>
      <c r="V45" s="716"/>
      <c r="W45" s="716"/>
    </row>
    <row r="46" spans="2:23" s="717" customFormat="1" x14ac:dyDescent="0.2">
      <c r="B46" s="716"/>
      <c r="C46" s="716"/>
      <c r="D46" s="716"/>
      <c r="E46" s="716"/>
      <c r="F46" s="716"/>
      <c r="G46" s="716"/>
      <c r="H46" s="716"/>
      <c r="I46" s="716"/>
      <c r="J46" s="716"/>
      <c r="K46" s="716"/>
      <c r="L46" s="716"/>
      <c r="M46" s="716"/>
      <c r="N46" s="716"/>
      <c r="O46" s="716"/>
      <c r="P46" s="716"/>
      <c r="Q46" s="716"/>
      <c r="R46" s="716"/>
      <c r="S46" s="716">
        <v>2020</v>
      </c>
      <c r="T46" s="1617">
        <v>1004.5</v>
      </c>
      <c r="U46" s="488">
        <f>T46-P37</f>
        <v>0</v>
      </c>
      <c r="V46" s="716"/>
      <c r="W46" s="716"/>
    </row>
    <row r="47" spans="2:23" s="717" customFormat="1" x14ac:dyDescent="0.2">
      <c r="B47" s="716"/>
      <c r="C47" s="716"/>
      <c r="D47" s="716"/>
      <c r="E47" s="716"/>
      <c r="F47" s="716"/>
      <c r="G47" s="716"/>
      <c r="H47" s="716"/>
      <c r="I47" s="716"/>
      <c r="J47" s="716"/>
      <c r="K47" s="716"/>
      <c r="L47" s="716"/>
      <c r="M47" s="716"/>
      <c r="N47" s="716"/>
      <c r="O47" s="716"/>
      <c r="P47" s="723"/>
      <c r="Q47" s="716"/>
      <c r="R47" s="716"/>
      <c r="S47" s="716">
        <v>2021</v>
      </c>
      <c r="T47" s="1617">
        <v>1043.8</v>
      </c>
      <c r="U47" s="488">
        <f>T47-T37</f>
        <v>0</v>
      </c>
      <c r="V47" s="716"/>
      <c r="W47" s="716"/>
    </row>
    <row r="48" spans="2:23" s="717" customFormat="1" x14ac:dyDescent="0.2">
      <c r="B48" s="716"/>
      <c r="C48" s="716"/>
      <c r="D48" s="716"/>
      <c r="E48" s="716"/>
      <c r="F48" s="716"/>
      <c r="G48" s="716"/>
      <c r="H48" s="716"/>
      <c r="I48" s="716"/>
      <c r="J48" s="716"/>
      <c r="K48" s="716"/>
      <c r="L48" s="716"/>
      <c r="M48" s="716"/>
      <c r="N48" s="716"/>
      <c r="O48" s="716"/>
      <c r="P48" s="716"/>
      <c r="Q48" s="716"/>
      <c r="R48" s="716"/>
      <c r="S48" s="716">
        <v>2022</v>
      </c>
      <c r="T48" s="1617">
        <v>1085.4000000000001</v>
      </c>
      <c r="U48" s="488">
        <f>T48-W37</f>
        <v>0</v>
      </c>
      <c r="V48" s="716"/>
      <c r="W48" s="716"/>
    </row>
    <row r="49" spans="5:23" x14ac:dyDescent="0.2">
      <c r="E49" s="1616"/>
      <c r="F49" s="1616"/>
      <c r="G49" s="1616"/>
      <c r="H49" s="1616"/>
      <c r="I49" s="1616"/>
      <c r="J49" s="1616"/>
      <c r="K49" s="1616"/>
      <c r="L49" s="1616"/>
      <c r="M49" s="1616"/>
      <c r="N49" s="1616"/>
      <c r="O49" s="1616"/>
      <c r="P49" s="1616"/>
      <c r="Q49" s="1616"/>
      <c r="R49" s="1616"/>
      <c r="S49" s="1616"/>
      <c r="T49" s="1616"/>
      <c r="U49" s="1616"/>
      <c r="V49" s="1616"/>
      <c r="W49" s="1616"/>
    </row>
    <row r="50" spans="5:23" x14ac:dyDescent="0.2">
      <c r="E50" s="1616"/>
      <c r="F50" s="1616"/>
      <c r="G50" s="1616"/>
      <c r="H50" s="1616"/>
      <c r="I50" s="1616"/>
      <c r="J50" s="1616"/>
      <c r="K50" s="1616"/>
      <c r="L50" s="1616"/>
      <c r="M50" s="1616"/>
      <c r="N50" s="1616"/>
      <c r="O50" s="1616"/>
      <c r="P50" s="1616"/>
      <c r="Q50" s="1616"/>
      <c r="R50" s="1616"/>
      <c r="S50" s="1616"/>
      <c r="T50" s="1616"/>
      <c r="U50" s="1616"/>
      <c r="V50" s="1616"/>
      <c r="W50" s="1616"/>
    </row>
  </sheetData>
  <mergeCells count="13">
    <mergeCell ref="R7:T7"/>
    <mergeCell ref="U7:W7"/>
    <mergeCell ref="Q14:Q16"/>
    <mergeCell ref="B3:W3"/>
    <mergeCell ref="B4:W4"/>
    <mergeCell ref="B5:W5"/>
    <mergeCell ref="B7:B8"/>
    <mergeCell ref="C7:C8"/>
    <mergeCell ref="D7:D8"/>
    <mergeCell ref="E7:G7"/>
    <mergeCell ref="H7:J7"/>
    <mergeCell ref="K7:M7"/>
    <mergeCell ref="N7:Q7"/>
  </mergeCells>
  <pageMargins left="0.7" right="0.7" top="0.75" bottom="0.75" header="0.3" footer="0.3"/>
  <pageSetup paperSize="9" scale="68" orientation="landscape" r:id="rId1"/>
  <rowBreaks count="1" manualBreakCount="1">
    <brk id="41" max="22" man="1"/>
  </row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sheetPr>
  <dimension ref="A1:Y40"/>
  <sheetViews>
    <sheetView view="pageBreakPreview" zoomScale="90" zoomScaleNormal="80" zoomScaleSheetLayoutView="90" workbookViewId="0">
      <pane xSplit="2" ySplit="8" topLeftCell="M18" activePane="bottomRight" state="frozen"/>
      <selection activeCell="L17" sqref="L17"/>
      <selection pane="topRight" activeCell="L17" sqref="L17"/>
      <selection pane="bottomLeft" activeCell="L17" sqref="L17"/>
      <selection pane="bottomRight" activeCell="AG16" sqref="AG16"/>
    </sheetView>
  </sheetViews>
  <sheetFormatPr defaultRowHeight="12.75" x14ac:dyDescent="0.2"/>
  <cols>
    <col min="1" max="1" width="24.1640625" style="1619" customWidth="1"/>
    <col min="2" max="2" width="6" style="1619" customWidth="1"/>
    <col min="3" max="12" width="0" style="1619" hidden="1" customWidth="1"/>
    <col min="13" max="13" width="12.33203125" style="1619" customWidth="1"/>
    <col min="14" max="14" width="12.83203125" style="1776" customWidth="1"/>
    <col min="15" max="15" width="12.5" style="1619" customWidth="1"/>
    <col min="16" max="16" width="13" style="1619" customWidth="1"/>
    <col min="17" max="17" width="20" style="1619" customWidth="1"/>
    <col min="18" max="18" width="12.33203125" style="1619" customWidth="1"/>
    <col min="19" max="21" width="13.1640625" style="1619" customWidth="1"/>
    <col min="22" max="22" width="9.33203125" style="1619"/>
    <col min="23" max="23" width="20.5" style="1619" customWidth="1"/>
    <col min="24" max="25" width="13.1640625" style="1619" customWidth="1"/>
    <col min="26" max="256" width="9.33203125" style="1619"/>
    <col min="257" max="257" width="24.1640625" style="1619" customWidth="1"/>
    <col min="258" max="258" width="6" style="1619" customWidth="1"/>
    <col min="259" max="268" width="0" style="1619" hidden="1" customWidth="1"/>
    <col min="269" max="269" width="12.33203125" style="1619" customWidth="1"/>
    <col min="270" max="270" width="12.83203125" style="1619" customWidth="1"/>
    <col min="271" max="271" width="12.5" style="1619" customWidth="1"/>
    <col min="272" max="272" width="13" style="1619" customWidth="1"/>
    <col min="273" max="273" width="20" style="1619" customWidth="1"/>
    <col min="274" max="274" width="12.33203125" style="1619" customWidth="1"/>
    <col min="275" max="277" width="13.1640625" style="1619" customWidth="1"/>
    <col min="278" max="278" width="9.33203125" style="1619"/>
    <col min="279" max="279" width="20.5" style="1619" customWidth="1"/>
    <col min="280" max="281" width="13.1640625" style="1619" customWidth="1"/>
    <col min="282" max="512" width="9.33203125" style="1619"/>
    <col min="513" max="513" width="24.1640625" style="1619" customWidth="1"/>
    <col min="514" max="514" width="6" style="1619" customWidth="1"/>
    <col min="515" max="524" width="0" style="1619" hidden="1" customWidth="1"/>
    <col min="525" max="525" width="12.33203125" style="1619" customWidth="1"/>
    <col min="526" max="526" width="12.83203125" style="1619" customWidth="1"/>
    <col min="527" max="527" width="12.5" style="1619" customWidth="1"/>
    <col min="528" max="528" width="13" style="1619" customWidth="1"/>
    <col min="529" max="529" width="20" style="1619" customWidth="1"/>
    <col min="530" max="530" width="12.33203125" style="1619" customWidth="1"/>
    <col min="531" max="533" width="13.1640625" style="1619" customWidth="1"/>
    <col min="534" max="534" width="9.33203125" style="1619"/>
    <col min="535" max="535" width="20.5" style="1619" customWidth="1"/>
    <col min="536" max="537" width="13.1640625" style="1619" customWidth="1"/>
    <col min="538" max="768" width="9.33203125" style="1619"/>
    <col min="769" max="769" width="24.1640625" style="1619" customWidth="1"/>
    <col min="770" max="770" width="6" style="1619" customWidth="1"/>
    <col min="771" max="780" width="0" style="1619" hidden="1" customWidth="1"/>
    <col min="781" max="781" width="12.33203125" style="1619" customWidth="1"/>
    <col min="782" max="782" width="12.83203125" style="1619" customWidth="1"/>
    <col min="783" max="783" width="12.5" style="1619" customWidth="1"/>
    <col min="784" max="784" width="13" style="1619" customWidth="1"/>
    <col min="785" max="785" width="20" style="1619" customWidth="1"/>
    <col min="786" max="786" width="12.33203125" style="1619" customWidth="1"/>
    <col min="787" max="789" width="13.1640625" style="1619" customWidth="1"/>
    <col min="790" max="790" width="9.33203125" style="1619"/>
    <col min="791" max="791" width="20.5" style="1619" customWidth="1"/>
    <col min="792" max="793" width="13.1640625" style="1619" customWidth="1"/>
    <col min="794" max="1024" width="9.33203125" style="1619"/>
    <col min="1025" max="1025" width="24.1640625" style="1619" customWidth="1"/>
    <col min="1026" max="1026" width="6" style="1619" customWidth="1"/>
    <col min="1027" max="1036" width="0" style="1619" hidden="1" customWidth="1"/>
    <col min="1037" max="1037" width="12.33203125" style="1619" customWidth="1"/>
    <col min="1038" max="1038" width="12.83203125" style="1619" customWidth="1"/>
    <col min="1039" max="1039" width="12.5" style="1619" customWidth="1"/>
    <col min="1040" max="1040" width="13" style="1619" customWidth="1"/>
    <col min="1041" max="1041" width="20" style="1619" customWidth="1"/>
    <col min="1042" max="1042" width="12.33203125" style="1619" customWidth="1"/>
    <col min="1043" max="1045" width="13.1640625" style="1619" customWidth="1"/>
    <col min="1046" max="1046" width="9.33203125" style="1619"/>
    <col min="1047" max="1047" width="20.5" style="1619" customWidth="1"/>
    <col min="1048" max="1049" width="13.1640625" style="1619" customWidth="1"/>
    <col min="1050" max="1280" width="9.33203125" style="1619"/>
    <col min="1281" max="1281" width="24.1640625" style="1619" customWidth="1"/>
    <col min="1282" max="1282" width="6" style="1619" customWidth="1"/>
    <col min="1283" max="1292" width="0" style="1619" hidden="1" customWidth="1"/>
    <col min="1293" max="1293" width="12.33203125" style="1619" customWidth="1"/>
    <col min="1294" max="1294" width="12.83203125" style="1619" customWidth="1"/>
    <col min="1295" max="1295" width="12.5" style="1619" customWidth="1"/>
    <col min="1296" max="1296" width="13" style="1619" customWidth="1"/>
    <col min="1297" max="1297" width="20" style="1619" customWidth="1"/>
    <col min="1298" max="1298" width="12.33203125" style="1619" customWidth="1"/>
    <col min="1299" max="1301" width="13.1640625" style="1619" customWidth="1"/>
    <col min="1302" max="1302" width="9.33203125" style="1619"/>
    <col min="1303" max="1303" width="20.5" style="1619" customWidth="1"/>
    <col min="1304" max="1305" width="13.1640625" style="1619" customWidth="1"/>
    <col min="1306" max="1536" width="9.33203125" style="1619"/>
    <col min="1537" max="1537" width="24.1640625" style="1619" customWidth="1"/>
    <col min="1538" max="1538" width="6" style="1619" customWidth="1"/>
    <col min="1539" max="1548" width="0" style="1619" hidden="1" customWidth="1"/>
    <col min="1549" max="1549" width="12.33203125" style="1619" customWidth="1"/>
    <col min="1550" max="1550" width="12.83203125" style="1619" customWidth="1"/>
    <col min="1551" max="1551" width="12.5" style="1619" customWidth="1"/>
    <col min="1552" max="1552" width="13" style="1619" customWidth="1"/>
    <col min="1553" max="1553" width="20" style="1619" customWidth="1"/>
    <col min="1554" max="1554" width="12.33203125" style="1619" customWidth="1"/>
    <col min="1555" max="1557" width="13.1640625" style="1619" customWidth="1"/>
    <col min="1558" max="1558" width="9.33203125" style="1619"/>
    <col min="1559" max="1559" width="20.5" style="1619" customWidth="1"/>
    <col min="1560" max="1561" width="13.1640625" style="1619" customWidth="1"/>
    <col min="1562" max="1792" width="9.33203125" style="1619"/>
    <col min="1793" max="1793" width="24.1640625" style="1619" customWidth="1"/>
    <col min="1794" max="1794" width="6" style="1619" customWidth="1"/>
    <col min="1795" max="1804" width="0" style="1619" hidden="1" customWidth="1"/>
    <col min="1805" max="1805" width="12.33203125" style="1619" customWidth="1"/>
    <col min="1806" max="1806" width="12.83203125" style="1619" customWidth="1"/>
    <col min="1807" max="1807" width="12.5" style="1619" customWidth="1"/>
    <col min="1808" max="1808" width="13" style="1619" customWidth="1"/>
    <col min="1809" max="1809" width="20" style="1619" customWidth="1"/>
    <col min="1810" max="1810" width="12.33203125" style="1619" customWidth="1"/>
    <col min="1811" max="1813" width="13.1640625" style="1619" customWidth="1"/>
    <col min="1814" max="1814" width="9.33203125" style="1619"/>
    <col min="1815" max="1815" width="20.5" style="1619" customWidth="1"/>
    <col min="1816" max="1817" width="13.1640625" style="1619" customWidth="1"/>
    <col min="1818" max="2048" width="9.33203125" style="1619"/>
    <col min="2049" max="2049" width="24.1640625" style="1619" customWidth="1"/>
    <col min="2050" max="2050" width="6" style="1619" customWidth="1"/>
    <col min="2051" max="2060" width="0" style="1619" hidden="1" customWidth="1"/>
    <col min="2061" max="2061" width="12.33203125" style="1619" customWidth="1"/>
    <col min="2062" max="2062" width="12.83203125" style="1619" customWidth="1"/>
    <col min="2063" max="2063" width="12.5" style="1619" customWidth="1"/>
    <col min="2064" max="2064" width="13" style="1619" customWidth="1"/>
    <col min="2065" max="2065" width="20" style="1619" customWidth="1"/>
    <col min="2066" max="2066" width="12.33203125" style="1619" customWidth="1"/>
    <col min="2067" max="2069" width="13.1640625" style="1619" customWidth="1"/>
    <col min="2070" max="2070" width="9.33203125" style="1619"/>
    <col min="2071" max="2071" width="20.5" style="1619" customWidth="1"/>
    <col min="2072" max="2073" width="13.1640625" style="1619" customWidth="1"/>
    <col min="2074" max="2304" width="9.33203125" style="1619"/>
    <col min="2305" max="2305" width="24.1640625" style="1619" customWidth="1"/>
    <col min="2306" max="2306" width="6" style="1619" customWidth="1"/>
    <col min="2307" max="2316" width="0" style="1619" hidden="1" customWidth="1"/>
    <col min="2317" max="2317" width="12.33203125" style="1619" customWidth="1"/>
    <col min="2318" max="2318" width="12.83203125" style="1619" customWidth="1"/>
    <col min="2319" max="2319" width="12.5" style="1619" customWidth="1"/>
    <col min="2320" max="2320" width="13" style="1619" customWidth="1"/>
    <col min="2321" max="2321" width="20" style="1619" customWidth="1"/>
    <col min="2322" max="2322" width="12.33203125" style="1619" customWidth="1"/>
    <col min="2323" max="2325" width="13.1640625" style="1619" customWidth="1"/>
    <col min="2326" max="2326" width="9.33203125" style="1619"/>
    <col min="2327" max="2327" width="20.5" style="1619" customWidth="1"/>
    <col min="2328" max="2329" width="13.1640625" style="1619" customWidth="1"/>
    <col min="2330" max="2560" width="9.33203125" style="1619"/>
    <col min="2561" max="2561" width="24.1640625" style="1619" customWidth="1"/>
    <col min="2562" max="2562" width="6" style="1619" customWidth="1"/>
    <col min="2563" max="2572" width="0" style="1619" hidden="1" customWidth="1"/>
    <col min="2573" max="2573" width="12.33203125" style="1619" customWidth="1"/>
    <col min="2574" max="2574" width="12.83203125" style="1619" customWidth="1"/>
    <col min="2575" max="2575" width="12.5" style="1619" customWidth="1"/>
    <col min="2576" max="2576" width="13" style="1619" customWidth="1"/>
    <col min="2577" max="2577" width="20" style="1619" customWidth="1"/>
    <col min="2578" max="2578" width="12.33203125" style="1619" customWidth="1"/>
    <col min="2579" max="2581" width="13.1640625" style="1619" customWidth="1"/>
    <col min="2582" max="2582" width="9.33203125" style="1619"/>
    <col min="2583" max="2583" width="20.5" style="1619" customWidth="1"/>
    <col min="2584" max="2585" width="13.1640625" style="1619" customWidth="1"/>
    <col min="2586" max="2816" width="9.33203125" style="1619"/>
    <col min="2817" max="2817" width="24.1640625" style="1619" customWidth="1"/>
    <col min="2818" max="2818" width="6" style="1619" customWidth="1"/>
    <col min="2819" max="2828" width="0" style="1619" hidden="1" customWidth="1"/>
    <col min="2829" max="2829" width="12.33203125" style="1619" customWidth="1"/>
    <col min="2830" max="2830" width="12.83203125" style="1619" customWidth="1"/>
    <col min="2831" max="2831" width="12.5" style="1619" customWidth="1"/>
    <col min="2832" max="2832" width="13" style="1619" customWidth="1"/>
    <col min="2833" max="2833" width="20" style="1619" customWidth="1"/>
    <col min="2834" max="2834" width="12.33203125" style="1619" customWidth="1"/>
    <col min="2835" max="2837" width="13.1640625" style="1619" customWidth="1"/>
    <col min="2838" max="2838" width="9.33203125" style="1619"/>
    <col min="2839" max="2839" width="20.5" style="1619" customWidth="1"/>
    <col min="2840" max="2841" width="13.1640625" style="1619" customWidth="1"/>
    <col min="2842" max="3072" width="9.33203125" style="1619"/>
    <col min="3073" max="3073" width="24.1640625" style="1619" customWidth="1"/>
    <col min="3074" max="3074" width="6" style="1619" customWidth="1"/>
    <col min="3075" max="3084" width="0" style="1619" hidden="1" customWidth="1"/>
    <col min="3085" max="3085" width="12.33203125" style="1619" customWidth="1"/>
    <col min="3086" max="3086" width="12.83203125" style="1619" customWidth="1"/>
    <col min="3087" max="3087" width="12.5" style="1619" customWidth="1"/>
    <col min="3088" max="3088" width="13" style="1619" customWidth="1"/>
    <col min="3089" max="3089" width="20" style="1619" customWidth="1"/>
    <col min="3090" max="3090" width="12.33203125" style="1619" customWidth="1"/>
    <col min="3091" max="3093" width="13.1640625" style="1619" customWidth="1"/>
    <col min="3094" max="3094" width="9.33203125" style="1619"/>
    <col min="3095" max="3095" width="20.5" style="1619" customWidth="1"/>
    <col min="3096" max="3097" width="13.1640625" style="1619" customWidth="1"/>
    <col min="3098" max="3328" width="9.33203125" style="1619"/>
    <col min="3329" max="3329" width="24.1640625" style="1619" customWidth="1"/>
    <col min="3330" max="3330" width="6" style="1619" customWidth="1"/>
    <col min="3331" max="3340" width="0" style="1619" hidden="1" customWidth="1"/>
    <col min="3341" max="3341" width="12.33203125" style="1619" customWidth="1"/>
    <col min="3342" max="3342" width="12.83203125" style="1619" customWidth="1"/>
    <col min="3343" max="3343" width="12.5" style="1619" customWidth="1"/>
    <col min="3344" max="3344" width="13" style="1619" customWidth="1"/>
    <col min="3345" max="3345" width="20" style="1619" customWidth="1"/>
    <col min="3346" max="3346" width="12.33203125" style="1619" customWidth="1"/>
    <col min="3347" max="3349" width="13.1640625" style="1619" customWidth="1"/>
    <col min="3350" max="3350" width="9.33203125" style="1619"/>
    <col min="3351" max="3351" width="20.5" style="1619" customWidth="1"/>
    <col min="3352" max="3353" width="13.1640625" style="1619" customWidth="1"/>
    <col min="3354" max="3584" width="9.33203125" style="1619"/>
    <col min="3585" max="3585" width="24.1640625" style="1619" customWidth="1"/>
    <col min="3586" max="3586" width="6" style="1619" customWidth="1"/>
    <col min="3587" max="3596" width="0" style="1619" hidden="1" customWidth="1"/>
    <col min="3597" max="3597" width="12.33203125" style="1619" customWidth="1"/>
    <col min="3598" max="3598" width="12.83203125" style="1619" customWidth="1"/>
    <col min="3599" max="3599" width="12.5" style="1619" customWidth="1"/>
    <col min="3600" max="3600" width="13" style="1619" customWidth="1"/>
    <col min="3601" max="3601" width="20" style="1619" customWidth="1"/>
    <col min="3602" max="3602" width="12.33203125" style="1619" customWidth="1"/>
    <col min="3603" max="3605" width="13.1640625" style="1619" customWidth="1"/>
    <col min="3606" max="3606" width="9.33203125" style="1619"/>
    <col min="3607" max="3607" width="20.5" style="1619" customWidth="1"/>
    <col min="3608" max="3609" width="13.1640625" style="1619" customWidth="1"/>
    <col min="3610" max="3840" width="9.33203125" style="1619"/>
    <col min="3841" max="3841" width="24.1640625" style="1619" customWidth="1"/>
    <col min="3842" max="3842" width="6" style="1619" customWidth="1"/>
    <col min="3843" max="3852" width="0" style="1619" hidden="1" customWidth="1"/>
    <col min="3853" max="3853" width="12.33203125" style="1619" customWidth="1"/>
    <col min="3854" max="3854" width="12.83203125" style="1619" customWidth="1"/>
    <col min="3855" max="3855" width="12.5" style="1619" customWidth="1"/>
    <col min="3856" max="3856" width="13" style="1619" customWidth="1"/>
    <col min="3857" max="3857" width="20" style="1619" customWidth="1"/>
    <col min="3858" max="3858" width="12.33203125" style="1619" customWidth="1"/>
    <col min="3859" max="3861" width="13.1640625" style="1619" customWidth="1"/>
    <col min="3862" max="3862" width="9.33203125" style="1619"/>
    <col min="3863" max="3863" width="20.5" style="1619" customWidth="1"/>
    <col min="3864" max="3865" width="13.1640625" style="1619" customWidth="1"/>
    <col min="3866" max="4096" width="9.33203125" style="1619"/>
    <col min="4097" max="4097" width="24.1640625" style="1619" customWidth="1"/>
    <col min="4098" max="4098" width="6" style="1619" customWidth="1"/>
    <col min="4099" max="4108" width="0" style="1619" hidden="1" customWidth="1"/>
    <col min="4109" max="4109" width="12.33203125" style="1619" customWidth="1"/>
    <col min="4110" max="4110" width="12.83203125" style="1619" customWidth="1"/>
    <col min="4111" max="4111" width="12.5" style="1619" customWidth="1"/>
    <col min="4112" max="4112" width="13" style="1619" customWidth="1"/>
    <col min="4113" max="4113" width="20" style="1619" customWidth="1"/>
    <col min="4114" max="4114" width="12.33203125" style="1619" customWidth="1"/>
    <col min="4115" max="4117" width="13.1640625" style="1619" customWidth="1"/>
    <col min="4118" max="4118" width="9.33203125" style="1619"/>
    <col min="4119" max="4119" width="20.5" style="1619" customWidth="1"/>
    <col min="4120" max="4121" width="13.1640625" style="1619" customWidth="1"/>
    <col min="4122" max="4352" width="9.33203125" style="1619"/>
    <col min="4353" max="4353" width="24.1640625" style="1619" customWidth="1"/>
    <col min="4354" max="4354" width="6" style="1619" customWidth="1"/>
    <col min="4355" max="4364" width="0" style="1619" hidden="1" customWidth="1"/>
    <col min="4365" max="4365" width="12.33203125" style="1619" customWidth="1"/>
    <col min="4366" max="4366" width="12.83203125" style="1619" customWidth="1"/>
    <col min="4367" max="4367" width="12.5" style="1619" customWidth="1"/>
    <col min="4368" max="4368" width="13" style="1619" customWidth="1"/>
    <col min="4369" max="4369" width="20" style="1619" customWidth="1"/>
    <col min="4370" max="4370" width="12.33203125" style="1619" customWidth="1"/>
    <col min="4371" max="4373" width="13.1640625" style="1619" customWidth="1"/>
    <col min="4374" max="4374" width="9.33203125" style="1619"/>
    <col min="4375" max="4375" width="20.5" style="1619" customWidth="1"/>
    <col min="4376" max="4377" width="13.1640625" style="1619" customWidth="1"/>
    <col min="4378" max="4608" width="9.33203125" style="1619"/>
    <col min="4609" max="4609" width="24.1640625" style="1619" customWidth="1"/>
    <col min="4610" max="4610" width="6" style="1619" customWidth="1"/>
    <col min="4611" max="4620" width="0" style="1619" hidden="1" customWidth="1"/>
    <col min="4621" max="4621" width="12.33203125" style="1619" customWidth="1"/>
    <col min="4622" max="4622" width="12.83203125" style="1619" customWidth="1"/>
    <col min="4623" max="4623" width="12.5" style="1619" customWidth="1"/>
    <col min="4624" max="4624" width="13" style="1619" customWidth="1"/>
    <col min="4625" max="4625" width="20" style="1619" customWidth="1"/>
    <col min="4626" max="4626" width="12.33203125" style="1619" customWidth="1"/>
    <col min="4627" max="4629" width="13.1640625" style="1619" customWidth="1"/>
    <col min="4630" max="4630" width="9.33203125" style="1619"/>
    <col min="4631" max="4631" width="20.5" style="1619" customWidth="1"/>
    <col min="4632" max="4633" width="13.1640625" style="1619" customWidth="1"/>
    <col min="4634" max="4864" width="9.33203125" style="1619"/>
    <col min="4865" max="4865" width="24.1640625" style="1619" customWidth="1"/>
    <col min="4866" max="4866" width="6" style="1619" customWidth="1"/>
    <col min="4867" max="4876" width="0" style="1619" hidden="1" customWidth="1"/>
    <col min="4877" max="4877" width="12.33203125" style="1619" customWidth="1"/>
    <col min="4878" max="4878" width="12.83203125" style="1619" customWidth="1"/>
    <col min="4879" max="4879" width="12.5" style="1619" customWidth="1"/>
    <col min="4880" max="4880" width="13" style="1619" customWidth="1"/>
    <col min="4881" max="4881" width="20" style="1619" customWidth="1"/>
    <col min="4882" max="4882" width="12.33203125" style="1619" customWidth="1"/>
    <col min="4883" max="4885" width="13.1640625" style="1619" customWidth="1"/>
    <col min="4886" max="4886" width="9.33203125" style="1619"/>
    <col min="4887" max="4887" width="20.5" style="1619" customWidth="1"/>
    <col min="4888" max="4889" width="13.1640625" style="1619" customWidth="1"/>
    <col min="4890" max="5120" width="9.33203125" style="1619"/>
    <col min="5121" max="5121" width="24.1640625" style="1619" customWidth="1"/>
    <col min="5122" max="5122" width="6" style="1619" customWidth="1"/>
    <col min="5123" max="5132" width="0" style="1619" hidden="1" customWidth="1"/>
    <col min="5133" max="5133" width="12.33203125" style="1619" customWidth="1"/>
    <col min="5134" max="5134" width="12.83203125" style="1619" customWidth="1"/>
    <col min="5135" max="5135" width="12.5" style="1619" customWidth="1"/>
    <col min="5136" max="5136" width="13" style="1619" customWidth="1"/>
    <col min="5137" max="5137" width="20" style="1619" customWidth="1"/>
    <col min="5138" max="5138" width="12.33203125" style="1619" customWidth="1"/>
    <col min="5139" max="5141" width="13.1640625" style="1619" customWidth="1"/>
    <col min="5142" max="5142" width="9.33203125" style="1619"/>
    <col min="5143" max="5143" width="20.5" style="1619" customWidth="1"/>
    <col min="5144" max="5145" width="13.1640625" style="1619" customWidth="1"/>
    <col min="5146" max="5376" width="9.33203125" style="1619"/>
    <col min="5377" max="5377" width="24.1640625" style="1619" customWidth="1"/>
    <col min="5378" max="5378" width="6" style="1619" customWidth="1"/>
    <col min="5379" max="5388" width="0" style="1619" hidden="1" customWidth="1"/>
    <col min="5389" max="5389" width="12.33203125" style="1619" customWidth="1"/>
    <col min="5390" max="5390" width="12.83203125" style="1619" customWidth="1"/>
    <col min="5391" max="5391" width="12.5" style="1619" customWidth="1"/>
    <col min="5392" max="5392" width="13" style="1619" customWidth="1"/>
    <col min="5393" max="5393" width="20" style="1619" customWidth="1"/>
    <col min="5394" max="5394" width="12.33203125" style="1619" customWidth="1"/>
    <col min="5395" max="5397" width="13.1640625" style="1619" customWidth="1"/>
    <col min="5398" max="5398" width="9.33203125" style="1619"/>
    <col min="5399" max="5399" width="20.5" style="1619" customWidth="1"/>
    <col min="5400" max="5401" width="13.1640625" style="1619" customWidth="1"/>
    <col min="5402" max="5632" width="9.33203125" style="1619"/>
    <col min="5633" max="5633" width="24.1640625" style="1619" customWidth="1"/>
    <col min="5634" max="5634" width="6" style="1619" customWidth="1"/>
    <col min="5635" max="5644" width="0" style="1619" hidden="1" customWidth="1"/>
    <col min="5645" max="5645" width="12.33203125" style="1619" customWidth="1"/>
    <col min="5646" max="5646" width="12.83203125" style="1619" customWidth="1"/>
    <col min="5647" max="5647" width="12.5" style="1619" customWidth="1"/>
    <col min="5648" max="5648" width="13" style="1619" customWidth="1"/>
    <col min="5649" max="5649" width="20" style="1619" customWidth="1"/>
    <col min="5650" max="5650" width="12.33203125" style="1619" customWidth="1"/>
    <col min="5651" max="5653" width="13.1640625" style="1619" customWidth="1"/>
    <col min="5654" max="5654" width="9.33203125" style="1619"/>
    <col min="5655" max="5655" width="20.5" style="1619" customWidth="1"/>
    <col min="5656" max="5657" width="13.1640625" style="1619" customWidth="1"/>
    <col min="5658" max="5888" width="9.33203125" style="1619"/>
    <col min="5889" max="5889" width="24.1640625" style="1619" customWidth="1"/>
    <col min="5890" max="5890" width="6" style="1619" customWidth="1"/>
    <col min="5891" max="5900" width="0" style="1619" hidden="1" customWidth="1"/>
    <col min="5901" max="5901" width="12.33203125" style="1619" customWidth="1"/>
    <col min="5902" max="5902" width="12.83203125" style="1619" customWidth="1"/>
    <col min="5903" max="5903" width="12.5" style="1619" customWidth="1"/>
    <col min="5904" max="5904" width="13" style="1619" customWidth="1"/>
    <col min="5905" max="5905" width="20" style="1619" customWidth="1"/>
    <col min="5906" max="5906" width="12.33203125" style="1619" customWidth="1"/>
    <col min="5907" max="5909" width="13.1640625" style="1619" customWidth="1"/>
    <col min="5910" max="5910" width="9.33203125" style="1619"/>
    <col min="5911" max="5911" width="20.5" style="1619" customWidth="1"/>
    <col min="5912" max="5913" width="13.1640625" style="1619" customWidth="1"/>
    <col min="5914" max="6144" width="9.33203125" style="1619"/>
    <col min="6145" max="6145" width="24.1640625" style="1619" customWidth="1"/>
    <col min="6146" max="6146" width="6" style="1619" customWidth="1"/>
    <col min="6147" max="6156" width="0" style="1619" hidden="1" customWidth="1"/>
    <col min="6157" max="6157" width="12.33203125" style="1619" customWidth="1"/>
    <col min="6158" max="6158" width="12.83203125" style="1619" customWidth="1"/>
    <col min="6159" max="6159" width="12.5" style="1619" customWidth="1"/>
    <col min="6160" max="6160" width="13" style="1619" customWidth="1"/>
    <col min="6161" max="6161" width="20" style="1619" customWidth="1"/>
    <col min="6162" max="6162" width="12.33203125" style="1619" customWidth="1"/>
    <col min="6163" max="6165" width="13.1640625" style="1619" customWidth="1"/>
    <col min="6166" max="6166" width="9.33203125" style="1619"/>
    <col min="6167" max="6167" width="20.5" style="1619" customWidth="1"/>
    <col min="6168" max="6169" width="13.1640625" style="1619" customWidth="1"/>
    <col min="6170" max="6400" width="9.33203125" style="1619"/>
    <col min="6401" max="6401" width="24.1640625" style="1619" customWidth="1"/>
    <col min="6402" max="6402" width="6" style="1619" customWidth="1"/>
    <col min="6403" max="6412" width="0" style="1619" hidden="1" customWidth="1"/>
    <col min="6413" max="6413" width="12.33203125" style="1619" customWidth="1"/>
    <col min="6414" max="6414" width="12.83203125" style="1619" customWidth="1"/>
    <col min="6415" max="6415" width="12.5" style="1619" customWidth="1"/>
    <col min="6416" max="6416" width="13" style="1619" customWidth="1"/>
    <col min="6417" max="6417" width="20" style="1619" customWidth="1"/>
    <col min="6418" max="6418" width="12.33203125" style="1619" customWidth="1"/>
    <col min="6419" max="6421" width="13.1640625" style="1619" customWidth="1"/>
    <col min="6422" max="6422" width="9.33203125" style="1619"/>
    <col min="6423" max="6423" width="20.5" style="1619" customWidth="1"/>
    <col min="6424" max="6425" width="13.1640625" style="1619" customWidth="1"/>
    <col min="6426" max="6656" width="9.33203125" style="1619"/>
    <col min="6657" max="6657" width="24.1640625" style="1619" customWidth="1"/>
    <col min="6658" max="6658" width="6" style="1619" customWidth="1"/>
    <col min="6659" max="6668" width="0" style="1619" hidden="1" customWidth="1"/>
    <col min="6669" max="6669" width="12.33203125" style="1619" customWidth="1"/>
    <col min="6670" max="6670" width="12.83203125" style="1619" customWidth="1"/>
    <col min="6671" max="6671" width="12.5" style="1619" customWidth="1"/>
    <col min="6672" max="6672" width="13" style="1619" customWidth="1"/>
    <col min="6673" max="6673" width="20" style="1619" customWidth="1"/>
    <col min="6674" max="6674" width="12.33203125" style="1619" customWidth="1"/>
    <col min="6675" max="6677" width="13.1640625" style="1619" customWidth="1"/>
    <col min="6678" max="6678" width="9.33203125" style="1619"/>
    <col min="6679" max="6679" width="20.5" style="1619" customWidth="1"/>
    <col min="6680" max="6681" width="13.1640625" style="1619" customWidth="1"/>
    <col min="6682" max="6912" width="9.33203125" style="1619"/>
    <col min="6913" max="6913" width="24.1640625" style="1619" customWidth="1"/>
    <col min="6914" max="6914" width="6" style="1619" customWidth="1"/>
    <col min="6915" max="6924" width="0" style="1619" hidden="1" customWidth="1"/>
    <col min="6925" max="6925" width="12.33203125" style="1619" customWidth="1"/>
    <col min="6926" max="6926" width="12.83203125" style="1619" customWidth="1"/>
    <col min="6927" max="6927" width="12.5" style="1619" customWidth="1"/>
    <col min="6928" max="6928" width="13" style="1619" customWidth="1"/>
    <col min="6929" max="6929" width="20" style="1619" customWidth="1"/>
    <col min="6930" max="6930" width="12.33203125" style="1619" customWidth="1"/>
    <col min="6931" max="6933" width="13.1640625" style="1619" customWidth="1"/>
    <col min="6934" max="6934" width="9.33203125" style="1619"/>
    <col min="6935" max="6935" width="20.5" style="1619" customWidth="1"/>
    <col min="6936" max="6937" width="13.1640625" style="1619" customWidth="1"/>
    <col min="6938" max="7168" width="9.33203125" style="1619"/>
    <col min="7169" max="7169" width="24.1640625" style="1619" customWidth="1"/>
    <col min="7170" max="7170" width="6" style="1619" customWidth="1"/>
    <col min="7171" max="7180" width="0" style="1619" hidden="1" customWidth="1"/>
    <col min="7181" max="7181" width="12.33203125" style="1619" customWidth="1"/>
    <col min="7182" max="7182" width="12.83203125" style="1619" customWidth="1"/>
    <col min="7183" max="7183" width="12.5" style="1619" customWidth="1"/>
    <col min="7184" max="7184" width="13" style="1619" customWidth="1"/>
    <col min="7185" max="7185" width="20" style="1619" customWidth="1"/>
    <col min="7186" max="7186" width="12.33203125" style="1619" customWidth="1"/>
    <col min="7187" max="7189" width="13.1640625" style="1619" customWidth="1"/>
    <col min="7190" max="7190" width="9.33203125" style="1619"/>
    <col min="7191" max="7191" width="20.5" style="1619" customWidth="1"/>
    <col min="7192" max="7193" width="13.1640625" style="1619" customWidth="1"/>
    <col min="7194" max="7424" width="9.33203125" style="1619"/>
    <col min="7425" max="7425" width="24.1640625" style="1619" customWidth="1"/>
    <col min="7426" max="7426" width="6" style="1619" customWidth="1"/>
    <col min="7427" max="7436" width="0" style="1619" hidden="1" customWidth="1"/>
    <col min="7437" max="7437" width="12.33203125" style="1619" customWidth="1"/>
    <col min="7438" max="7438" width="12.83203125" style="1619" customWidth="1"/>
    <col min="7439" max="7439" width="12.5" style="1619" customWidth="1"/>
    <col min="7440" max="7440" width="13" style="1619" customWidth="1"/>
    <col min="7441" max="7441" width="20" style="1619" customWidth="1"/>
    <col min="7442" max="7442" width="12.33203125" style="1619" customWidth="1"/>
    <col min="7443" max="7445" width="13.1640625" style="1619" customWidth="1"/>
    <col min="7446" max="7446" width="9.33203125" style="1619"/>
    <col min="7447" max="7447" width="20.5" style="1619" customWidth="1"/>
    <col min="7448" max="7449" width="13.1640625" style="1619" customWidth="1"/>
    <col min="7450" max="7680" width="9.33203125" style="1619"/>
    <col min="7681" max="7681" width="24.1640625" style="1619" customWidth="1"/>
    <col min="7682" max="7682" width="6" style="1619" customWidth="1"/>
    <col min="7683" max="7692" width="0" style="1619" hidden="1" customWidth="1"/>
    <col min="7693" max="7693" width="12.33203125" style="1619" customWidth="1"/>
    <col min="7694" max="7694" width="12.83203125" style="1619" customWidth="1"/>
    <col min="7695" max="7695" width="12.5" style="1619" customWidth="1"/>
    <col min="7696" max="7696" width="13" style="1619" customWidth="1"/>
    <col min="7697" max="7697" width="20" style="1619" customWidth="1"/>
    <col min="7698" max="7698" width="12.33203125" style="1619" customWidth="1"/>
    <col min="7699" max="7701" width="13.1640625" style="1619" customWidth="1"/>
    <col min="7702" max="7702" width="9.33203125" style="1619"/>
    <col min="7703" max="7703" width="20.5" style="1619" customWidth="1"/>
    <col min="7704" max="7705" width="13.1640625" style="1619" customWidth="1"/>
    <col min="7706" max="7936" width="9.33203125" style="1619"/>
    <col min="7937" max="7937" width="24.1640625" style="1619" customWidth="1"/>
    <col min="7938" max="7938" width="6" style="1619" customWidth="1"/>
    <col min="7939" max="7948" width="0" style="1619" hidden="1" customWidth="1"/>
    <col min="7949" max="7949" width="12.33203125" style="1619" customWidth="1"/>
    <col min="7950" max="7950" width="12.83203125" style="1619" customWidth="1"/>
    <col min="7951" max="7951" width="12.5" style="1619" customWidth="1"/>
    <col min="7952" max="7952" width="13" style="1619" customWidth="1"/>
    <col min="7953" max="7953" width="20" style="1619" customWidth="1"/>
    <col min="7954" max="7954" width="12.33203125" style="1619" customWidth="1"/>
    <col min="7955" max="7957" width="13.1640625" style="1619" customWidth="1"/>
    <col min="7958" max="7958" width="9.33203125" style="1619"/>
    <col min="7959" max="7959" width="20.5" style="1619" customWidth="1"/>
    <col min="7960" max="7961" width="13.1640625" style="1619" customWidth="1"/>
    <col min="7962" max="8192" width="9.33203125" style="1619"/>
    <col min="8193" max="8193" width="24.1640625" style="1619" customWidth="1"/>
    <col min="8194" max="8194" width="6" style="1619" customWidth="1"/>
    <col min="8195" max="8204" width="0" style="1619" hidden="1" customWidth="1"/>
    <col min="8205" max="8205" width="12.33203125" style="1619" customWidth="1"/>
    <col min="8206" max="8206" width="12.83203125" style="1619" customWidth="1"/>
    <col min="8207" max="8207" width="12.5" style="1619" customWidth="1"/>
    <col min="8208" max="8208" width="13" style="1619" customWidth="1"/>
    <col min="8209" max="8209" width="20" style="1619" customWidth="1"/>
    <col min="8210" max="8210" width="12.33203125" style="1619" customWidth="1"/>
    <col min="8211" max="8213" width="13.1640625" style="1619" customWidth="1"/>
    <col min="8214" max="8214" width="9.33203125" style="1619"/>
    <col min="8215" max="8215" width="20.5" style="1619" customWidth="1"/>
    <col min="8216" max="8217" width="13.1640625" style="1619" customWidth="1"/>
    <col min="8218" max="8448" width="9.33203125" style="1619"/>
    <col min="8449" max="8449" width="24.1640625" style="1619" customWidth="1"/>
    <col min="8450" max="8450" width="6" style="1619" customWidth="1"/>
    <col min="8451" max="8460" width="0" style="1619" hidden="1" customWidth="1"/>
    <col min="8461" max="8461" width="12.33203125" style="1619" customWidth="1"/>
    <col min="8462" max="8462" width="12.83203125" style="1619" customWidth="1"/>
    <col min="8463" max="8463" width="12.5" style="1619" customWidth="1"/>
    <col min="8464" max="8464" width="13" style="1619" customWidth="1"/>
    <col min="8465" max="8465" width="20" style="1619" customWidth="1"/>
    <col min="8466" max="8466" width="12.33203125" style="1619" customWidth="1"/>
    <col min="8467" max="8469" width="13.1640625" style="1619" customWidth="1"/>
    <col min="8470" max="8470" width="9.33203125" style="1619"/>
    <col min="8471" max="8471" width="20.5" style="1619" customWidth="1"/>
    <col min="8472" max="8473" width="13.1640625" style="1619" customWidth="1"/>
    <col min="8474" max="8704" width="9.33203125" style="1619"/>
    <col min="8705" max="8705" width="24.1640625" style="1619" customWidth="1"/>
    <col min="8706" max="8706" width="6" style="1619" customWidth="1"/>
    <col min="8707" max="8716" width="0" style="1619" hidden="1" customWidth="1"/>
    <col min="8717" max="8717" width="12.33203125" style="1619" customWidth="1"/>
    <col min="8718" max="8718" width="12.83203125" style="1619" customWidth="1"/>
    <col min="8719" max="8719" width="12.5" style="1619" customWidth="1"/>
    <col min="8720" max="8720" width="13" style="1619" customWidth="1"/>
    <col min="8721" max="8721" width="20" style="1619" customWidth="1"/>
    <col min="8722" max="8722" width="12.33203125" style="1619" customWidth="1"/>
    <col min="8723" max="8725" width="13.1640625" style="1619" customWidth="1"/>
    <col min="8726" max="8726" width="9.33203125" style="1619"/>
    <col min="8727" max="8727" width="20.5" style="1619" customWidth="1"/>
    <col min="8728" max="8729" width="13.1640625" style="1619" customWidth="1"/>
    <col min="8730" max="8960" width="9.33203125" style="1619"/>
    <col min="8961" max="8961" width="24.1640625" style="1619" customWidth="1"/>
    <col min="8962" max="8962" width="6" style="1619" customWidth="1"/>
    <col min="8963" max="8972" width="0" style="1619" hidden="1" customWidth="1"/>
    <col min="8973" max="8973" width="12.33203125" style="1619" customWidth="1"/>
    <col min="8974" max="8974" width="12.83203125" style="1619" customWidth="1"/>
    <col min="8975" max="8975" width="12.5" style="1619" customWidth="1"/>
    <col min="8976" max="8976" width="13" style="1619" customWidth="1"/>
    <col min="8977" max="8977" width="20" style="1619" customWidth="1"/>
    <col min="8978" max="8978" width="12.33203125" style="1619" customWidth="1"/>
    <col min="8979" max="8981" width="13.1640625" style="1619" customWidth="1"/>
    <col min="8982" max="8982" width="9.33203125" style="1619"/>
    <col min="8983" max="8983" width="20.5" style="1619" customWidth="1"/>
    <col min="8984" max="8985" width="13.1640625" style="1619" customWidth="1"/>
    <col min="8986" max="9216" width="9.33203125" style="1619"/>
    <col min="9217" max="9217" width="24.1640625" style="1619" customWidth="1"/>
    <col min="9218" max="9218" width="6" style="1619" customWidth="1"/>
    <col min="9219" max="9228" width="0" style="1619" hidden="1" customWidth="1"/>
    <col min="9229" max="9229" width="12.33203125" style="1619" customWidth="1"/>
    <col min="9230" max="9230" width="12.83203125" style="1619" customWidth="1"/>
    <col min="9231" max="9231" width="12.5" style="1619" customWidth="1"/>
    <col min="9232" max="9232" width="13" style="1619" customWidth="1"/>
    <col min="9233" max="9233" width="20" style="1619" customWidth="1"/>
    <col min="9234" max="9234" width="12.33203125" style="1619" customWidth="1"/>
    <col min="9235" max="9237" width="13.1640625" style="1619" customWidth="1"/>
    <col min="9238" max="9238" width="9.33203125" style="1619"/>
    <col min="9239" max="9239" width="20.5" style="1619" customWidth="1"/>
    <col min="9240" max="9241" width="13.1640625" style="1619" customWidth="1"/>
    <col min="9242" max="9472" width="9.33203125" style="1619"/>
    <col min="9473" max="9473" width="24.1640625" style="1619" customWidth="1"/>
    <col min="9474" max="9474" width="6" style="1619" customWidth="1"/>
    <col min="9475" max="9484" width="0" style="1619" hidden="1" customWidth="1"/>
    <col min="9485" max="9485" width="12.33203125" style="1619" customWidth="1"/>
    <col min="9486" max="9486" width="12.83203125" style="1619" customWidth="1"/>
    <col min="9487" max="9487" width="12.5" style="1619" customWidth="1"/>
    <col min="9488" max="9488" width="13" style="1619" customWidth="1"/>
    <col min="9489" max="9489" width="20" style="1619" customWidth="1"/>
    <col min="9490" max="9490" width="12.33203125" style="1619" customWidth="1"/>
    <col min="9491" max="9493" width="13.1640625" style="1619" customWidth="1"/>
    <col min="9494" max="9494" width="9.33203125" style="1619"/>
    <col min="9495" max="9495" width="20.5" style="1619" customWidth="1"/>
    <col min="9496" max="9497" width="13.1640625" style="1619" customWidth="1"/>
    <col min="9498" max="9728" width="9.33203125" style="1619"/>
    <col min="9729" max="9729" width="24.1640625" style="1619" customWidth="1"/>
    <col min="9730" max="9730" width="6" style="1619" customWidth="1"/>
    <col min="9731" max="9740" width="0" style="1619" hidden="1" customWidth="1"/>
    <col min="9741" max="9741" width="12.33203125" style="1619" customWidth="1"/>
    <col min="9742" max="9742" width="12.83203125" style="1619" customWidth="1"/>
    <col min="9743" max="9743" width="12.5" style="1619" customWidth="1"/>
    <col min="9744" max="9744" width="13" style="1619" customWidth="1"/>
    <col min="9745" max="9745" width="20" style="1619" customWidth="1"/>
    <col min="9746" max="9746" width="12.33203125" style="1619" customWidth="1"/>
    <col min="9747" max="9749" width="13.1640625" style="1619" customWidth="1"/>
    <col min="9750" max="9750" width="9.33203125" style="1619"/>
    <col min="9751" max="9751" width="20.5" style="1619" customWidth="1"/>
    <col min="9752" max="9753" width="13.1640625" style="1619" customWidth="1"/>
    <col min="9754" max="9984" width="9.33203125" style="1619"/>
    <col min="9985" max="9985" width="24.1640625" style="1619" customWidth="1"/>
    <col min="9986" max="9986" width="6" style="1619" customWidth="1"/>
    <col min="9987" max="9996" width="0" style="1619" hidden="1" customWidth="1"/>
    <col min="9997" max="9997" width="12.33203125" style="1619" customWidth="1"/>
    <col min="9998" max="9998" width="12.83203125" style="1619" customWidth="1"/>
    <col min="9999" max="9999" width="12.5" style="1619" customWidth="1"/>
    <col min="10000" max="10000" width="13" style="1619" customWidth="1"/>
    <col min="10001" max="10001" width="20" style="1619" customWidth="1"/>
    <col min="10002" max="10002" width="12.33203125" style="1619" customWidth="1"/>
    <col min="10003" max="10005" width="13.1640625" style="1619" customWidth="1"/>
    <col min="10006" max="10006" width="9.33203125" style="1619"/>
    <col min="10007" max="10007" width="20.5" style="1619" customWidth="1"/>
    <col min="10008" max="10009" width="13.1640625" style="1619" customWidth="1"/>
    <col min="10010" max="10240" width="9.33203125" style="1619"/>
    <col min="10241" max="10241" width="24.1640625" style="1619" customWidth="1"/>
    <col min="10242" max="10242" width="6" style="1619" customWidth="1"/>
    <col min="10243" max="10252" width="0" style="1619" hidden="1" customWidth="1"/>
    <col min="10253" max="10253" width="12.33203125" style="1619" customWidth="1"/>
    <col min="10254" max="10254" width="12.83203125" style="1619" customWidth="1"/>
    <col min="10255" max="10255" width="12.5" style="1619" customWidth="1"/>
    <col min="10256" max="10256" width="13" style="1619" customWidth="1"/>
    <col min="10257" max="10257" width="20" style="1619" customWidth="1"/>
    <col min="10258" max="10258" width="12.33203125" style="1619" customWidth="1"/>
    <col min="10259" max="10261" width="13.1640625" style="1619" customWidth="1"/>
    <col min="10262" max="10262" width="9.33203125" style="1619"/>
    <col min="10263" max="10263" width="20.5" style="1619" customWidth="1"/>
    <col min="10264" max="10265" width="13.1640625" style="1619" customWidth="1"/>
    <col min="10266" max="10496" width="9.33203125" style="1619"/>
    <col min="10497" max="10497" width="24.1640625" style="1619" customWidth="1"/>
    <col min="10498" max="10498" width="6" style="1619" customWidth="1"/>
    <col min="10499" max="10508" width="0" style="1619" hidden="1" customWidth="1"/>
    <col min="10509" max="10509" width="12.33203125" style="1619" customWidth="1"/>
    <col min="10510" max="10510" width="12.83203125" style="1619" customWidth="1"/>
    <col min="10511" max="10511" width="12.5" style="1619" customWidth="1"/>
    <col min="10512" max="10512" width="13" style="1619" customWidth="1"/>
    <col min="10513" max="10513" width="20" style="1619" customWidth="1"/>
    <col min="10514" max="10514" width="12.33203125" style="1619" customWidth="1"/>
    <col min="10515" max="10517" width="13.1640625" style="1619" customWidth="1"/>
    <col min="10518" max="10518" width="9.33203125" style="1619"/>
    <col min="10519" max="10519" width="20.5" style="1619" customWidth="1"/>
    <col min="10520" max="10521" width="13.1640625" style="1619" customWidth="1"/>
    <col min="10522" max="10752" width="9.33203125" style="1619"/>
    <col min="10753" max="10753" width="24.1640625" style="1619" customWidth="1"/>
    <col min="10754" max="10754" width="6" style="1619" customWidth="1"/>
    <col min="10755" max="10764" width="0" style="1619" hidden="1" customWidth="1"/>
    <col min="10765" max="10765" width="12.33203125" style="1619" customWidth="1"/>
    <col min="10766" max="10766" width="12.83203125" style="1619" customWidth="1"/>
    <col min="10767" max="10767" width="12.5" style="1619" customWidth="1"/>
    <col min="10768" max="10768" width="13" style="1619" customWidth="1"/>
    <col min="10769" max="10769" width="20" style="1619" customWidth="1"/>
    <col min="10770" max="10770" width="12.33203125" style="1619" customWidth="1"/>
    <col min="10771" max="10773" width="13.1640625" style="1619" customWidth="1"/>
    <col min="10774" max="10774" width="9.33203125" style="1619"/>
    <col min="10775" max="10775" width="20.5" style="1619" customWidth="1"/>
    <col min="10776" max="10777" width="13.1640625" style="1619" customWidth="1"/>
    <col min="10778" max="11008" width="9.33203125" style="1619"/>
    <col min="11009" max="11009" width="24.1640625" style="1619" customWidth="1"/>
    <col min="11010" max="11010" width="6" style="1619" customWidth="1"/>
    <col min="11011" max="11020" width="0" style="1619" hidden="1" customWidth="1"/>
    <col min="11021" max="11021" width="12.33203125" style="1619" customWidth="1"/>
    <col min="11022" max="11022" width="12.83203125" style="1619" customWidth="1"/>
    <col min="11023" max="11023" width="12.5" style="1619" customWidth="1"/>
    <col min="11024" max="11024" width="13" style="1619" customWidth="1"/>
    <col min="11025" max="11025" width="20" style="1619" customWidth="1"/>
    <col min="11026" max="11026" width="12.33203125" style="1619" customWidth="1"/>
    <col min="11027" max="11029" width="13.1640625" style="1619" customWidth="1"/>
    <col min="11030" max="11030" width="9.33203125" style="1619"/>
    <col min="11031" max="11031" width="20.5" style="1619" customWidth="1"/>
    <col min="11032" max="11033" width="13.1640625" style="1619" customWidth="1"/>
    <col min="11034" max="11264" width="9.33203125" style="1619"/>
    <col min="11265" max="11265" width="24.1640625" style="1619" customWidth="1"/>
    <col min="11266" max="11266" width="6" style="1619" customWidth="1"/>
    <col min="11267" max="11276" width="0" style="1619" hidden="1" customWidth="1"/>
    <col min="11277" max="11277" width="12.33203125" style="1619" customWidth="1"/>
    <col min="11278" max="11278" width="12.83203125" style="1619" customWidth="1"/>
    <col min="11279" max="11279" width="12.5" style="1619" customWidth="1"/>
    <col min="11280" max="11280" width="13" style="1619" customWidth="1"/>
    <col min="11281" max="11281" width="20" style="1619" customWidth="1"/>
    <col min="11282" max="11282" width="12.33203125" style="1619" customWidth="1"/>
    <col min="11283" max="11285" width="13.1640625" style="1619" customWidth="1"/>
    <col min="11286" max="11286" width="9.33203125" style="1619"/>
    <col min="11287" max="11287" width="20.5" style="1619" customWidth="1"/>
    <col min="11288" max="11289" width="13.1640625" style="1619" customWidth="1"/>
    <col min="11290" max="11520" width="9.33203125" style="1619"/>
    <col min="11521" max="11521" width="24.1640625" style="1619" customWidth="1"/>
    <col min="11522" max="11522" width="6" style="1619" customWidth="1"/>
    <col min="11523" max="11532" width="0" style="1619" hidden="1" customWidth="1"/>
    <col min="11533" max="11533" width="12.33203125" style="1619" customWidth="1"/>
    <col min="11534" max="11534" width="12.83203125" style="1619" customWidth="1"/>
    <col min="11535" max="11535" width="12.5" style="1619" customWidth="1"/>
    <col min="11536" max="11536" width="13" style="1619" customWidth="1"/>
    <col min="11537" max="11537" width="20" style="1619" customWidth="1"/>
    <col min="11538" max="11538" width="12.33203125" style="1619" customWidth="1"/>
    <col min="11539" max="11541" width="13.1640625" style="1619" customWidth="1"/>
    <col min="11542" max="11542" width="9.33203125" style="1619"/>
    <col min="11543" max="11543" width="20.5" style="1619" customWidth="1"/>
    <col min="11544" max="11545" width="13.1640625" style="1619" customWidth="1"/>
    <col min="11546" max="11776" width="9.33203125" style="1619"/>
    <col min="11777" max="11777" width="24.1640625" style="1619" customWidth="1"/>
    <col min="11778" max="11778" width="6" style="1619" customWidth="1"/>
    <col min="11779" max="11788" width="0" style="1619" hidden="1" customWidth="1"/>
    <col min="11789" max="11789" width="12.33203125" style="1619" customWidth="1"/>
    <col min="11790" max="11790" width="12.83203125" style="1619" customWidth="1"/>
    <col min="11791" max="11791" width="12.5" style="1619" customWidth="1"/>
    <col min="11792" max="11792" width="13" style="1619" customWidth="1"/>
    <col min="11793" max="11793" width="20" style="1619" customWidth="1"/>
    <col min="11794" max="11794" width="12.33203125" style="1619" customWidth="1"/>
    <col min="11795" max="11797" width="13.1640625" style="1619" customWidth="1"/>
    <col min="11798" max="11798" width="9.33203125" style="1619"/>
    <col min="11799" max="11799" width="20.5" style="1619" customWidth="1"/>
    <col min="11800" max="11801" width="13.1640625" style="1619" customWidth="1"/>
    <col min="11802" max="12032" width="9.33203125" style="1619"/>
    <col min="12033" max="12033" width="24.1640625" style="1619" customWidth="1"/>
    <col min="12034" max="12034" width="6" style="1619" customWidth="1"/>
    <col min="12035" max="12044" width="0" style="1619" hidden="1" customWidth="1"/>
    <col min="12045" max="12045" width="12.33203125" style="1619" customWidth="1"/>
    <col min="12046" max="12046" width="12.83203125" style="1619" customWidth="1"/>
    <col min="12047" max="12047" width="12.5" style="1619" customWidth="1"/>
    <col min="12048" max="12048" width="13" style="1619" customWidth="1"/>
    <col min="12049" max="12049" width="20" style="1619" customWidth="1"/>
    <col min="12050" max="12050" width="12.33203125" style="1619" customWidth="1"/>
    <col min="12051" max="12053" width="13.1640625" style="1619" customWidth="1"/>
    <col min="12054" max="12054" width="9.33203125" style="1619"/>
    <col min="12055" max="12055" width="20.5" style="1619" customWidth="1"/>
    <col min="12056" max="12057" width="13.1640625" style="1619" customWidth="1"/>
    <col min="12058" max="12288" width="9.33203125" style="1619"/>
    <col min="12289" max="12289" width="24.1640625" style="1619" customWidth="1"/>
    <col min="12290" max="12290" width="6" style="1619" customWidth="1"/>
    <col min="12291" max="12300" width="0" style="1619" hidden="1" customWidth="1"/>
    <col min="12301" max="12301" width="12.33203125" style="1619" customWidth="1"/>
    <col min="12302" max="12302" width="12.83203125" style="1619" customWidth="1"/>
    <col min="12303" max="12303" width="12.5" style="1619" customWidth="1"/>
    <col min="12304" max="12304" width="13" style="1619" customWidth="1"/>
    <col min="12305" max="12305" width="20" style="1619" customWidth="1"/>
    <col min="12306" max="12306" width="12.33203125" style="1619" customWidth="1"/>
    <col min="12307" max="12309" width="13.1640625" style="1619" customWidth="1"/>
    <col min="12310" max="12310" width="9.33203125" style="1619"/>
    <col min="12311" max="12311" width="20.5" style="1619" customWidth="1"/>
    <col min="12312" max="12313" width="13.1640625" style="1619" customWidth="1"/>
    <col min="12314" max="12544" width="9.33203125" style="1619"/>
    <col min="12545" max="12545" width="24.1640625" style="1619" customWidth="1"/>
    <col min="12546" max="12546" width="6" style="1619" customWidth="1"/>
    <col min="12547" max="12556" width="0" style="1619" hidden="1" customWidth="1"/>
    <col min="12557" max="12557" width="12.33203125" style="1619" customWidth="1"/>
    <col min="12558" max="12558" width="12.83203125" style="1619" customWidth="1"/>
    <col min="12559" max="12559" width="12.5" style="1619" customWidth="1"/>
    <col min="12560" max="12560" width="13" style="1619" customWidth="1"/>
    <col min="12561" max="12561" width="20" style="1619" customWidth="1"/>
    <col min="12562" max="12562" width="12.33203125" style="1619" customWidth="1"/>
    <col min="12563" max="12565" width="13.1640625" style="1619" customWidth="1"/>
    <col min="12566" max="12566" width="9.33203125" style="1619"/>
    <col min="12567" max="12567" width="20.5" style="1619" customWidth="1"/>
    <col min="12568" max="12569" width="13.1640625" style="1619" customWidth="1"/>
    <col min="12570" max="12800" width="9.33203125" style="1619"/>
    <col min="12801" max="12801" width="24.1640625" style="1619" customWidth="1"/>
    <col min="12802" max="12802" width="6" style="1619" customWidth="1"/>
    <col min="12803" max="12812" width="0" style="1619" hidden="1" customWidth="1"/>
    <col min="12813" max="12813" width="12.33203125" style="1619" customWidth="1"/>
    <col min="12814" max="12814" width="12.83203125" style="1619" customWidth="1"/>
    <col min="12815" max="12815" width="12.5" style="1619" customWidth="1"/>
    <col min="12816" max="12816" width="13" style="1619" customWidth="1"/>
    <col min="12817" max="12817" width="20" style="1619" customWidth="1"/>
    <col min="12818" max="12818" width="12.33203125" style="1619" customWidth="1"/>
    <col min="12819" max="12821" width="13.1640625" style="1619" customWidth="1"/>
    <col min="12822" max="12822" width="9.33203125" style="1619"/>
    <col min="12823" max="12823" width="20.5" style="1619" customWidth="1"/>
    <col min="12824" max="12825" width="13.1640625" style="1619" customWidth="1"/>
    <col min="12826" max="13056" width="9.33203125" style="1619"/>
    <col min="13057" max="13057" width="24.1640625" style="1619" customWidth="1"/>
    <col min="13058" max="13058" width="6" style="1619" customWidth="1"/>
    <col min="13059" max="13068" width="0" style="1619" hidden="1" customWidth="1"/>
    <col min="13069" max="13069" width="12.33203125" style="1619" customWidth="1"/>
    <col min="13070" max="13070" width="12.83203125" style="1619" customWidth="1"/>
    <col min="13071" max="13071" width="12.5" style="1619" customWidth="1"/>
    <col min="13072" max="13072" width="13" style="1619" customWidth="1"/>
    <col min="13073" max="13073" width="20" style="1619" customWidth="1"/>
    <col min="13074" max="13074" width="12.33203125" style="1619" customWidth="1"/>
    <col min="13075" max="13077" width="13.1640625" style="1619" customWidth="1"/>
    <col min="13078" max="13078" width="9.33203125" style="1619"/>
    <col min="13079" max="13079" width="20.5" style="1619" customWidth="1"/>
    <col min="13080" max="13081" width="13.1640625" style="1619" customWidth="1"/>
    <col min="13082" max="13312" width="9.33203125" style="1619"/>
    <col min="13313" max="13313" width="24.1640625" style="1619" customWidth="1"/>
    <col min="13314" max="13314" width="6" style="1619" customWidth="1"/>
    <col min="13315" max="13324" width="0" style="1619" hidden="1" customWidth="1"/>
    <col min="13325" max="13325" width="12.33203125" style="1619" customWidth="1"/>
    <col min="13326" max="13326" width="12.83203125" style="1619" customWidth="1"/>
    <col min="13327" max="13327" width="12.5" style="1619" customWidth="1"/>
    <col min="13328" max="13328" width="13" style="1619" customWidth="1"/>
    <col min="13329" max="13329" width="20" style="1619" customWidth="1"/>
    <col min="13330" max="13330" width="12.33203125" style="1619" customWidth="1"/>
    <col min="13331" max="13333" width="13.1640625" style="1619" customWidth="1"/>
    <col min="13334" max="13334" width="9.33203125" style="1619"/>
    <col min="13335" max="13335" width="20.5" style="1619" customWidth="1"/>
    <col min="13336" max="13337" width="13.1640625" style="1619" customWidth="1"/>
    <col min="13338" max="13568" width="9.33203125" style="1619"/>
    <col min="13569" max="13569" width="24.1640625" style="1619" customWidth="1"/>
    <col min="13570" max="13570" width="6" style="1619" customWidth="1"/>
    <col min="13571" max="13580" width="0" style="1619" hidden="1" customWidth="1"/>
    <col min="13581" max="13581" width="12.33203125" style="1619" customWidth="1"/>
    <col min="13582" max="13582" width="12.83203125" style="1619" customWidth="1"/>
    <col min="13583" max="13583" width="12.5" style="1619" customWidth="1"/>
    <col min="13584" max="13584" width="13" style="1619" customWidth="1"/>
    <col min="13585" max="13585" width="20" style="1619" customWidth="1"/>
    <col min="13586" max="13586" width="12.33203125" style="1619" customWidth="1"/>
    <col min="13587" max="13589" width="13.1640625" style="1619" customWidth="1"/>
    <col min="13590" max="13590" width="9.33203125" style="1619"/>
    <col min="13591" max="13591" width="20.5" style="1619" customWidth="1"/>
    <col min="13592" max="13593" width="13.1640625" style="1619" customWidth="1"/>
    <col min="13594" max="13824" width="9.33203125" style="1619"/>
    <col min="13825" max="13825" width="24.1640625" style="1619" customWidth="1"/>
    <col min="13826" max="13826" width="6" style="1619" customWidth="1"/>
    <col min="13827" max="13836" width="0" style="1619" hidden="1" customWidth="1"/>
    <col min="13837" max="13837" width="12.33203125" style="1619" customWidth="1"/>
    <col min="13838" max="13838" width="12.83203125" style="1619" customWidth="1"/>
    <col min="13839" max="13839" width="12.5" style="1619" customWidth="1"/>
    <col min="13840" max="13840" width="13" style="1619" customWidth="1"/>
    <col min="13841" max="13841" width="20" style="1619" customWidth="1"/>
    <col min="13842" max="13842" width="12.33203125" style="1619" customWidth="1"/>
    <col min="13843" max="13845" width="13.1640625" style="1619" customWidth="1"/>
    <col min="13846" max="13846" width="9.33203125" style="1619"/>
    <col min="13847" max="13847" width="20.5" style="1619" customWidth="1"/>
    <col min="13848" max="13849" width="13.1640625" style="1619" customWidth="1"/>
    <col min="13850" max="14080" width="9.33203125" style="1619"/>
    <col min="14081" max="14081" width="24.1640625" style="1619" customWidth="1"/>
    <col min="14082" max="14082" width="6" style="1619" customWidth="1"/>
    <col min="14083" max="14092" width="0" style="1619" hidden="1" customWidth="1"/>
    <col min="14093" max="14093" width="12.33203125" style="1619" customWidth="1"/>
    <col min="14094" max="14094" width="12.83203125" style="1619" customWidth="1"/>
    <col min="14095" max="14095" width="12.5" style="1619" customWidth="1"/>
    <col min="14096" max="14096" width="13" style="1619" customWidth="1"/>
    <col min="14097" max="14097" width="20" style="1619" customWidth="1"/>
    <col min="14098" max="14098" width="12.33203125" style="1619" customWidth="1"/>
    <col min="14099" max="14101" width="13.1640625" style="1619" customWidth="1"/>
    <col min="14102" max="14102" width="9.33203125" style="1619"/>
    <col min="14103" max="14103" width="20.5" style="1619" customWidth="1"/>
    <col min="14104" max="14105" width="13.1640625" style="1619" customWidth="1"/>
    <col min="14106" max="14336" width="9.33203125" style="1619"/>
    <col min="14337" max="14337" width="24.1640625" style="1619" customWidth="1"/>
    <col min="14338" max="14338" width="6" style="1619" customWidth="1"/>
    <col min="14339" max="14348" width="0" style="1619" hidden="1" customWidth="1"/>
    <col min="14349" max="14349" width="12.33203125" style="1619" customWidth="1"/>
    <col min="14350" max="14350" width="12.83203125" style="1619" customWidth="1"/>
    <col min="14351" max="14351" width="12.5" style="1619" customWidth="1"/>
    <col min="14352" max="14352" width="13" style="1619" customWidth="1"/>
    <col min="14353" max="14353" width="20" style="1619" customWidth="1"/>
    <col min="14354" max="14354" width="12.33203125" style="1619" customWidth="1"/>
    <col min="14355" max="14357" width="13.1640625" style="1619" customWidth="1"/>
    <col min="14358" max="14358" width="9.33203125" style="1619"/>
    <col min="14359" max="14359" width="20.5" style="1619" customWidth="1"/>
    <col min="14360" max="14361" width="13.1640625" style="1619" customWidth="1"/>
    <col min="14362" max="14592" width="9.33203125" style="1619"/>
    <col min="14593" max="14593" width="24.1640625" style="1619" customWidth="1"/>
    <col min="14594" max="14594" width="6" style="1619" customWidth="1"/>
    <col min="14595" max="14604" width="0" style="1619" hidden="1" customWidth="1"/>
    <col min="14605" max="14605" width="12.33203125" style="1619" customWidth="1"/>
    <col min="14606" max="14606" width="12.83203125" style="1619" customWidth="1"/>
    <col min="14607" max="14607" width="12.5" style="1619" customWidth="1"/>
    <col min="14608" max="14608" width="13" style="1619" customWidth="1"/>
    <col min="14609" max="14609" width="20" style="1619" customWidth="1"/>
    <col min="14610" max="14610" width="12.33203125" style="1619" customWidth="1"/>
    <col min="14611" max="14613" width="13.1640625" style="1619" customWidth="1"/>
    <col min="14614" max="14614" width="9.33203125" style="1619"/>
    <col min="14615" max="14615" width="20.5" style="1619" customWidth="1"/>
    <col min="14616" max="14617" width="13.1640625" style="1619" customWidth="1"/>
    <col min="14618" max="14848" width="9.33203125" style="1619"/>
    <col min="14849" max="14849" width="24.1640625" style="1619" customWidth="1"/>
    <col min="14850" max="14850" width="6" style="1619" customWidth="1"/>
    <col min="14851" max="14860" width="0" style="1619" hidden="1" customWidth="1"/>
    <col min="14861" max="14861" width="12.33203125" style="1619" customWidth="1"/>
    <col min="14862" max="14862" width="12.83203125" style="1619" customWidth="1"/>
    <col min="14863" max="14863" width="12.5" style="1619" customWidth="1"/>
    <col min="14864" max="14864" width="13" style="1619" customWidth="1"/>
    <col min="14865" max="14865" width="20" style="1619" customWidth="1"/>
    <col min="14866" max="14866" width="12.33203125" style="1619" customWidth="1"/>
    <col min="14867" max="14869" width="13.1640625" style="1619" customWidth="1"/>
    <col min="14870" max="14870" width="9.33203125" style="1619"/>
    <col min="14871" max="14871" width="20.5" style="1619" customWidth="1"/>
    <col min="14872" max="14873" width="13.1640625" style="1619" customWidth="1"/>
    <col min="14874" max="15104" width="9.33203125" style="1619"/>
    <col min="15105" max="15105" width="24.1640625" style="1619" customWidth="1"/>
    <col min="15106" max="15106" width="6" style="1619" customWidth="1"/>
    <col min="15107" max="15116" width="0" style="1619" hidden="1" customWidth="1"/>
    <col min="15117" max="15117" width="12.33203125" style="1619" customWidth="1"/>
    <col min="15118" max="15118" width="12.83203125" style="1619" customWidth="1"/>
    <col min="15119" max="15119" width="12.5" style="1619" customWidth="1"/>
    <col min="15120" max="15120" width="13" style="1619" customWidth="1"/>
    <col min="15121" max="15121" width="20" style="1619" customWidth="1"/>
    <col min="15122" max="15122" width="12.33203125" style="1619" customWidth="1"/>
    <col min="15123" max="15125" width="13.1640625" style="1619" customWidth="1"/>
    <col min="15126" max="15126" width="9.33203125" style="1619"/>
    <col min="15127" max="15127" width="20.5" style="1619" customWidth="1"/>
    <col min="15128" max="15129" width="13.1640625" style="1619" customWidth="1"/>
    <col min="15130" max="15360" width="9.33203125" style="1619"/>
    <col min="15361" max="15361" width="24.1640625" style="1619" customWidth="1"/>
    <col min="15362" max="15362" width="6" style="1619" customWidth="1"/>
    <col min="15363" max="15372" width="0" style="1619" hidden="1" customWidth="1"/>
    <col min="15373" max="15373" width="12.33203125" style="1619" customWidth="1"/>
    <col min="15374" max="15374" width="12.83203125" style="1619" customWidth="1"/>
    <col min="15375" max="15375" width="12.5" style="1619" customWidth="1"/>
    <col min="15376" max="15376" width="13" style="1619" customWidth="1"/>
    <col min="15377" max="15377" width="20" style="1619" customWidth="1"/>
    <col min="15378" max="15378" width="12.33203125" style="1619" customWidth="1"/>
    <col min="15379" max="15381" width="13.1640625" style="1619" customWidth="1"/>
    <col min="15382" max="15382" width="9.33203125" style="1619"/>
    <col min="15383" max="15383" width="20.5" style="1619" customWidth="1"/>
    <col min="15384" max="15385" width="13.1640625" style="1619" customWidth="1"/>
    <col min="15386" max="15616" width="9.33203125" style="1619"/>
    <col min="15617" max="15617" width="24.1640625" style="1619" customWidth="1"/>
    <col min="15618" max="15618" width="6" style="1619" customWidth="1"/>
    <col min="15619" max="15628" width="0" style="1619" hidden="1" customWidth="1"/>
    <col min="15629" max="15629" width="12.33203125" style="1619" customWidth="1"/>
    <col min="15630" max="15630" width="12.83203125" style="1619" customWidth="1"/>
    <col min="15631" max="15631" width="12.5" style="1619" customWidth="1"/>
    <col min="15632" max="15632" width="13" style="1619" customWidth="1"/>
    <col min="15633" max="15633" width="20" style="1619" customWidth="1"/>
    <col min="15634" max="15634" width="12.33203125" style="1619" customWidth="1"/>
    <col min="15635" max="15637" width="13.1640625" style="1619" customWidth="1"/>
    <col min="15638" max="15638" width="9.33203125" style="1619"/>
    <col min="15639" max="15639" width="20.5" style="1619" customWidth="1"/>
    <col min="15640" max="15641" width="13.1640625" style="1619" customWidth="1"/>
    <col min="15642" max="15872" width="9.33203125" style="1619"/>
    <col min="15873" max="15873" width="24.1640625" style="1619" customWidth="1"/>
    <col min="15874" max="15874" width="6" style="1619" customWidth="1"/>
    <col min="15875" max="15884" width="0" style="1619" hidden="1" customWidth="1"/>
    <col min="15885" max="15885" width="12.33203125" style="1619" customWidth="1"/>
    <col min="15886" max="15886" width="12.83203125" style="1619" customWidth="1"/>
    <col min="15887" max="15887" width="12.5" style="1619" customWidth="1"/>
    <col min="15888" max="15888" width="13" style="1619" customWidth="1"/>
    <col min="15889" max="15889" width="20" style="1619" customWidth="1"/>
    <col min="15890" max="15890" width="12.33203125" style="1619" customWidth="1"/>
    <col min="15891" max="15893" width="13.1640625" style="1619" customWidth="1"/>
    <col min="15894" max="15894" width="9.33203125" style="1619"/>
    <col min="15895" max="15895" width="20.5" style="1619" customWidth="1"/>
    <col min="15896" max="15897" width="13.1640625" style="1619" customWidth="1"/>
    <col min="15898" max="16128" width="9.33203125" style="1619"/>
    <col min="16129" max="16129" width="24.1640625" style="1619" customWidth="1"/>
    <col min="16130" max="16130" width="6" style="1619" customWidth="1"/>
    <col min="16131" max="16140" width="0" style="1619" hidden="1" customWidth="1"/>
    <col min="16141" max="16141" width="12.33203125" style="1619" customWidth="1"/>
    <col min="16142" max="16142" width="12.83203125" style="1619" customWidth="1"/>
    <col min="16143" max="16143" width="12.5" style="1619" customWidth="1"/>
    <col min="16144" max="16144" width="13" style="1619" customWidth="1"/>
    <col min="16145" max="16145" width="20" style="1619" customWidth="1"/>
    <col min="16146" max="16146" width="12.33203125" style="1619" customWidth="1"/>
    <col min="16147" max="16149" width="13.1640625" style="1619" customWidth="1"/>
    <col min="16150" max="16150" width="9.33203125" style="1619"/>
    <col min="16151" max="16151" width="20.5" style="1619" customWidth="1"/>
    <col min="16152" max="16153" width="13.1640625" style="1619" customWidth="1"/>
    <col min="16154" max="16384" width="9.33203125" style="1619"/>
  </cols>
  <sheetData>
    <row r="1" spans="1:24" x14ac:dyDescent="0.2">
      <c r="A1" s="1618"/>
      <c r="F1" s="1620" t="s">
        <v>547</v>
      </c>
      <c r="G1" s="1620"/>
      <c r="H1" s="1620"/>
      <c r="I1" s="1620"/>
      <c r="J1" s="1620"/>
      <c r="K1" s="1620"/>
      <c r="L1" s="1618"/>
      <c r="M1" s="1618"/>
      <c r="N1" s="1618"/>
      <c r="O1" s="1618"/>
      <c r="P1" s="1618"/>
      <c r="Q1" s="1618"/>
      <c r="R1" s="1618"/>
      <c r="S1" s="1618"/>
      <c r="T1" s="1618"/>
      <c r="U1" s="1618"/>
    </row>
    <row r="2" spans="1:24" s="376" customFormat="1" ht="30.75" customHeight="1" x14ac:dyDescent="0.2">
      <c r="A2" s="2642" t="s">
        <v>1591</v>
      </c>
      <c r="B2" s="2642"/>
      <c r="C2" s="2642"/>
      <c r="D2" s="2642"/>
      <c r="E2" s="2642"/>
      <c r="F2" s="2642"/>
      <c r="G2" s="2642"/>
      <c r="H2" s="2642"/>
      <c r="I2" s="2642"/>
      <c r="J2" s="2642"/>
      <c r="K2" s="2642"/>
      <c r="L2" s="2642"/>
      <c r="M2" s="2642"/>
      <c r="N2" s="2642"/>
      <c r="O2" s="2642"/>
      <c r="P2" s="2642"/>
      <c r="Q2" s="2642"/>
      <c r="R2" s="2642"/>
      <c r="S2" s="2642"/>
      <c r="T2" s="2642"/>
      <c r="U2" s="2642"/>
      <c r="V2" s="1802"/>
      <c r="W2" s="1802"/>
    </row>
    <row r="3" spans="1:24" ht="13.5" thickBot="1" x14ac:dyDescent="0.25">
      <c r="A3" s="1618"/>
      <c r="B3" s="1618"/>
      <c r="C3" s="1618"/>
      <c r="D3" s="1618"/>
      <c r="E3" s="1618"/>
      <c r="F3" s="1618"/>
      <c r="G3" s="1618"/>
      <c r="H3" s="1618"/>
      <c r="I3" s="1618"/>
      <c r="J3" s="1618"/>
      <c r="K3" s="1618"/>
      <c r="L3" s="1618"/>
      <c r="M3" s="1618"/>
      <c r="N3" s="1618"/>
      <c r="O3" s="1618"/>
      <c r="P3" s="1618"/>
      <c r="Q3" s="1618"/>
      <c r="R3" s="1618"/>
      <c r="S3" s="1618"/>
      <c r="T3" s="1618"/>
      <c r="U3" s="2074">
        <v>43829</v>
      </c>
    </row>
    <row r="4" spans="1:24" ht="12.75" customHeight="1" x14ac:dyDescent="0.2">
      <c r="A4" s="1621"/>
      <c r="B4" s="2643" t="s">
        <v>548</v>
      </c>
      <c r="C4" s="2645" t="s">
        <v>549</v>
      </c>
      <c r="D4" s="2646"/>
      <c r="E4" s="2645" t="s">
        <v>550</v>
      </c>
      <c r="F4" s="2648"/>
      <c r="G4" s="2649" t="s">
        <v>551</v>
      </c>
      <c r="H4" s="2646"/>
      <c r="I4" s="2645" t="s">
        <v>474</v>
      </c>
      <c r="J4" s="2651"/>
      <c r="K4" s="2651"/>
      <c r="L4" s="2648"/>
      <c r="M4" s="2649" t="s">
        <v>552</v>
      </c>
      <c r="N4" s="2651"/>
      <c r="O4" s="2651"/>
      <c r="P4" s="2651"/>
      <c r="Q4" s="2646"/>
      <c r="R4" s="2646"/>
      <c r="S4" s="2648"/>
      <c r="T4" s="2652" t="s">
        <v>553</v>
      </c>
      <c r="U4" s="2654" t="s">
        <v>554</v>
      </c>
      <c r="W4" s="2625" t="s">
        <v>555</v>
      </c>
    </row>
    <row r="5" spans="1:24" x14ac:dyDescent="0.2">
      <c r="A5" s="1622"/>
      <c r="B5" s="2644"/>
      <c r="C5" s="2627"/>
      <c r="D5" s="2647"/>
      <c r="E5" s="2627"/>
      <c r="F5" s="2629"/>
      <c r="G5" s="2650"/>
      <c r="H5" s="2647"/>
      <c r="I5" s="2627" t="s">
        <v>357</v>
      </c>
      <c r="J5" s="2628"/>
      <c r="K5" s="2628" t="s">
        <v>556</v>
      </c>
      <c r="L5" s="2629"/>
      <c r="M5" s="2650"/>
      <c r="N5" s="2628"/>
      <c r="O5" s="2628"/>
      <c r="P5" s="2628"/>
      <c r="Q5" s="2647"/>
      <c r="R5" s="2647"/>
      <c r="S5" s="2629"/>
      <c r="T5" s="2653"/>
      <c r="U5" s="2655"/>
      <c r="W5" s="2626"/>
    </row>
    <row r="6" spans="1:24" ht="12.75" customHeight="1" x14ac:dyDescent="0.2">
      <c r="A6" s="1622"/>
      <c r="B6" s="2644"/>
      <c r="C6" s="2638" t="s">
        <v>375</v>
      </c>
      <c r="D6" s="2640" t="s">
        <v>557</v>
      </c>
      <c r="E6" s="2638" t="s">
        <v>375</v>
      </c>
      <c r="F6" s="2634" t="s">
        <v>557</v>
      </c>
      <c r="G6" s="2636" t="s">
        <v>375</v>
      </c>
      <c r="H6" s="2640" t="s">
        <v>557</v>
      </c>
      <c r="I6" s="2630" t="s">
        <v>375</v>
      </c>
      <c r="J6" s="2656" t="s">
        <v>557</v>
      </c>
      <c r="K6" s="2632" t="s">
        <v>375</v>
      </c>
      <c r="L6" s="2634" t="s">
        <v>557</v>
      </c>
      <c r="M6" s="2636" t="s">
        <v>558</v>
      </c>
      <c r="N6" s="2632" t="s">
        <v>559</v>
      </c>
      <c r="O6" s="2636" t="s">
        <v>560</v>
      </c>
      <c r="P6" s="2632" t="s">
        <v>561</v>
      </c>
      <c r="Q6" s="2632" t="s">
        <v>562</v>
      </c>
      <c r="R6" s="2632" t="s">
        <v>563</v>
      </c>
      <c r="S6" s="2658" t="s">
        <v>564</v>
      </c>
      <c r="T6" s="2660" t="s">
        <v>564</v>
      </c>
      <c r="U6" s="2612" t="s">
        <v>564</v>
      </c>
      <c r="W6" s="2626"/>
    </row>
    <row r="7" spans="1:24" ht="54.75" customHeight="1" thickBot="1" x14ac:dyDescent="0.25">
      <c r="A7" s="1622"/>
      <c r="B7" s="2644"/>
      <c r="C7" s="2639"/>
      <c r="D7" s="2641"/>
      <c r="E7" s="2639"/>
      <c r="F7" s="2635"/>
      <c r="G7" s="2637"/>
      <c r="H7" s="2641"/>
      <c r="I7" s="2631"/>
      <c r="J7" s="2657"/>
      <c r="K7" s="2633"/>
      <c r="L7" s="2635"/>
      <c r="M7" s="2637"/>
      <c r="N7" s="2633"/>
      <c r="O7" s="2637"/>
      <c r="P7" s="2633"/>
      <c r="Q7" s="2633"/>
      <c r="R7" s="2633"/>
      <c r="S7" s="2659"/>
      <c r="T7" s="2661"/>
      <c r="U7" s="2613"/>
      <c r="W7" s="2626"/>
    </row>
    <row r="8" spans="1:24" ht="13.5" thickBot="1" x14ac:dyDescent="0.25">
      <c r="A8" s="1623">
        <v>1</v>
      </c>
      <c r="B8" s="1624">
        <v>2</v>
      </c>
      <c r="C8" s="1625">
        <v>3</v>
      </c>
      <c r="D8" s="1626">
        <v>4</v>
      </c>
      <c r="E8" s="1625">
        <v>5</v>
      </c>
      <c r="F8" s="1627">
        <v>6</v>
      </c>
      <c r="G8" s="1628">
        <v>7</v>
      </c>
      <c r="H8" s="1626">
        <v>8</v>
      </c>
      <c r="I8" s="1625">
        <v>9</v>
      </c>
      <c r="J8" s="1629">
        <v>10</v>
      </c>
      <c r="K8" s="1629">
        <v>11</v>
      </c>
      <c r="L8" s="1627">
        <v>12</v>
      </c>
      <c r="M8" s="1628">
        <v>13</v>
      </c>
      <c r="N8" s="1629">
        <v>14</v>
      </c>
      <c r="O8" s="1628">
        <v>15</v>
      </c>
      <c r="P8" s="1629">
        <v>16</v>
      </c>
      <c r="Q8" s="1629">
        <v>17</v>
      </c>
      <c r="R8" s="1626">
        <v>18</v>
      </c>
      <c r="S8" s="1627">
        <v>19</v>
      </c>
      <c r="T8" s="1630">
        <v>20</v>
      </c>
      <c r="U8" s="1631">
        <v>21</v>
      </c>
      <c r="W8" s="1632">
        <v>20</v>
      </c>
    </row>
    <row r="9" spans="1:24" x14ac:dyDescent="0.2">
      <c r="A9" s="2614" t="s">
        <v>238</v>
      </c>
      <c r="B9" s="2620">
        <v>931</v>
      </c>
      <c r="C9" s="1633">
        <v>633.4</v>
      </c>
      <c r="D9" s="1634">
        <v>707.61</v>
      </c>
      <c r="E9" s="1635">
        <v>581.12</v>
      </c>
      <c r="F9" s="1636">
        <v>673.32</v>
      </c>
      <c r="G9" s="1637">
        <v>592.61540000000002</v>
      </c>
      <c r="H9" s="1638">
        <v>712.65</v>
      </c>
      <c r="I9" s="1639">
        <v>616.65</v>
      </c>
      <c r="J9" s="1640">
        <v>798.54</v>
      </c>
      <c r="K9" s="1641">
        <v>600.08000000000004</v>
      </c>
      <c r="L9" s="1642">
        <v>759.2</v>
      </c>
      <c r="M9" s="1643">
        <f>372.76-53.631</f>
        <v>319.12900000000002</v>
      </c>
      <c r="N9" s="1640">
        <v>1.07236</v>
      </c>
      <c r="O9" s="1643">
        <v>218.512</v>
      </c>
      <c r="P9" s="1644">
        <v>1.10131</v>
      </c>
      <c r="Q9" s="1645" t="s">
        <v>565</v>
      </c>
      <c r="R9" s="1646">
        <f>SUM(M9+O9)</f>
        <v>537.64099999999996</v>
      </c>
      <c r="S9" s="1647">
        <f t="shared" ref="S9:S25" si="0">SUM(M9*N9+O9*P9)*1.2</f>
        <v>699.44</v>
      </c>
      <c r="T9" s="1648">
        <f>S9</f>
        <v>699.44</v>
      </c>
      <c r="U9" s="1649">
        <f>S9</f>
        <v>699.44</v>
      </c>
      <c r="V9" s="1650"/>
      <c r="W9" s="1651">
        <v>733.6</v>
      </c>
    </row>
    <row r="10" spans="1:24" x14ac:dyDescent="0.2">
      <c r="A10" s="2618"/>
      <c r="B10" s="2619"/>
      <c r="C10" s="1652"/>
      <c r="D10" s="1653"/>
      <c r="E10" s="1654"/>
      <c r="F10" s="1655"/>
      <c r="G10" s="1656"/>
      <c r="H10" s="1657"/>
      <c r="I10" s="1658"/>
      <c r="J10" s="1659"/>
      <c r="K10" s="1660"/>
      <c r="L10" s="1661"/>
      <c r="M10" s="1662"/>
      <c r="N10" s="1659">
        <v>0.97328000000000003</v>
      </c>
      <c r="O10" s="1663"/>
      <c r="P10" s="1664">
        <v>0.99956</v>
      </c>
      <c r="Q10" s="1665" t="s">
        <v>566</v>
      </c>
      <c r="R10" s="1666">
        <f t="shared" ref="R10:R25" si="1">SUM(M10+O10)</f>
        <v>0</v>
      </c>
      <c r="S10" s="1667">
        <f t="shared" si="0"/>
        <v>0</v>
      </c>
      <c r="T10" s="1668">
        <f t="shared" ref="T10:T26" si="2">S10</f>
        <v>0</v>
      </c>
      <c r="U10" s="1669">
        <f t="shared" ref="U10:U26" si="3">S10</f>
        <v>0</v>
      </c>
      <c r="V10" s="1650"/>
      <c r="W10" s="1670"/>
    </row>
    <row r="11" spans="1:24" ht="13.5" thickBot="1" x14ac:dyDescent="0.25">
      <c r="A11" s="2615"/>
      <c r="B11" s="2621"/>
      <c r="C11" s="1671"/>
      <c r="D11" s="1672"/>
      <c r="E11" s="1673"/>
      <c r="F11" s="1674"/>
      <c r="G11" s="1675"/>
      <c r="H11" s="1676"/>
      <c r="I11" s="1677"/>
      <c r="J11" s="1678"/>
      <c r="K11" s="1679"/>
      <c r="L11" s="1680"/>
      <c r="M11" s="1681"/>
      <c r="N11" s="1682"/>
      <c r="O11" s="1683"/>
      <c r="P11" s="1684"/>
      <c r="Q11" s="1685"/>
      <c r="R11" s="1686">
        <f t="shared" si="1"/>
        <v>0</v>
      </c>
      <c r="S11" s="1687">
        <f t="shared" si="0"/>
        <v>0</v>
      </c>
      <c r="T11" s="1688">
        <f t="shared" si="2"/>
        <v>0</v>
      </c>
      <c r="U11" s="1689">
        <f t="shared" si="3"/>
        <v>0</v>
      </c>
      <c r="V11" s="1650"/>
      <c r="W11" s="1690"/>
    </row>
    <row r="12" spans="1:24" ht="25.5" x14ac:dyDescent="0.2">
      <c r="A12" s="2614" t="s">
        <v>239</v>
      </c>
      <c r="B12" s="2620">
        <v>932</v>
      </c>
      <c r="C12" s="1633">
        <v>35.506999999999998</v>
      </c>
      <c r="D12" s="1634">
        <v>104.99</v>
      </c>
      <c r="E12" s="1635">
        <v>49.311</v>
      </c>
      <c r="F12" s="1636">
        <v>154.37</v>
      </c>
      <c r="G12" s="1637">
        <v>34.752000000000002</v>
      </c>
      <c r="H12" s="1638">
        <v>112.89</v>
      </c>
      <c r="I12" s="1639">
        <v>43.27</v>
      </c>
      <c r="J12" s="1640">
        <v>150.79</v>
      </c>
      <c r="K12" s="1641">
        <v>39.380000000000003</v>
      </c>
      <c r="L12" s="1642">
        <v>134.94999999999999</v>
      </c>
      <c r="M12" s="1643">
        <f>19.33-3.3455</f>
        <v>15.984999999999999</v>
      </c>
      <c r="N12" s="1691">
        <f>2.89*1.053</f>
        <v>3.0431699999999999</v>
      </c>
      <c r="O12" s="1643">
        <v>21.942</v>
      </c>
      <c r="P12" s="1691">
        <f>2.89*1.053</f>
        <v>3.0431699999999999</v>
      </c>
      <c r="Q12" s="1692" t="s">
        <v>567</v>
      </c>
      <c r="R12" s="1646">
        <f t="shared" si="1"/>
        <v>37.927</v>
      </c>
      <c r="S12" s="1647">
        <f t="shared" si="0"/>
        <v>138.5</v>
      </c>
      <c r="T12" s="1648">
        <f t="shared" si="2"/>
        <v>138.5</v>
      </c>
      <c r="U12" s="1649">
        <f t="shared" si="3"/>
        <v>138.5</v>
      </c>
      <c r="V12" s="1650"/>
      <c r="W12" s="1651">
        <v>138.5</v>
      </c>
    </row>
    <row r="13" spans="1:24" x14ac:dyDescent="0.2">
      <c r="A13" s="2618"/>
      <c r="B13" s="2619"/>
      <c r="C13" s="1693"/>
      <c r="D13" s="1694"/>
      <c r="E13" s="1695"/>
      <c r="F13" s="1696"/>
      <c r="G13" s="1697"/>
      <c r="H13" s="1698"/>
      <c r="I13" s="1699"/>
      <c r="J13" s="1682"/>
      <c r="K13" s="1700"/>
      <c r="L13" s="1701"/>
      <c r="M13" s="1683"/>
      <c r="N13" s="1682">
        <v>1.17</v>
      </c>
      <c r="O13" s="1663"/>
      <c r="P13" s="1684">
        <v>1.17</v>
      </c>
      <c r="Q13" s="1702" t="s">
        <v>568</v>
      </c>
      <c r="R13" s="1666">
        <f t="shared" si="1"/>
        <v>0</v>
      </c>
      <c r="S13" s="1667">
        <f t="shared" si="0"/>
        <v>0</v>
      </c>
      <c r="T13" s="1668">
        <f t="shared" si="2"/>
        <v>0</v>
      </c>
      <c r="U13" s="1669">
        <f t="shared" si="3"/>
        <v>0</v>
      </c>
      <c r="V13" s="1650"/>
      <c r="W13" s="1703"/>
    </row>
    <row r="14" spans="1:24" ht="13.5" thickBot="1" x14ac:dyDescent="0.25">
      <c r="A14" s="2615"/>
      <c r="B14" s="2621"/>
      <c r="C14" s="1671"/>
      <c r="D14" s="1672"/>
      <c r="E14" s="1673"/>
      <c r="F14" s="1674"/>
      <c r="G14" s="1675"/>
      <c r="H14" s="1676"/>
      <c r="I14" s="1677"/>
      <c r="J14" s="1678"/>
      <c r="K14" s="1679"/>
      <c r="L14" s="1680"/>
      <c r="M14" s="1704"/>
      <c r="N14" s="1678"/>
      <c r="O14" s="1705"/>
      <c r="P14" s="1706"/>
      <c r="Q14" s="1707"/>
      <c r="R14" s="1708">
        <f t="shared" si="1"/>
        <v>0</v>
      </c>
      <c r="S14" s="1709">
        <f t="shared" si="0"/>
        <v>0</v>
      </c>
      <c r="T14" s="1688">
        <f t="shared" si="2"/>
        <v>0</v>
      </c>
      <c r="U14" s="1689">
        <f t="shared" si="3"/>
        <v>0</v>
      </c>
      <c r="V14" s="1650"/>
      <c r="W14" s="1690"/>
    </row>
    <row r="15" spans="1:24" ht="14.25" customHeight="1" x14ac:dyDescent="0.2">
      <c r="A15" s="2614" t="s">
        <v>569</v>
      </c>
      <c r="B15" s="2620">
        <v>933</v>
      </c>
      <c r="C15" s="1633">
        <v>3.93</v>
      </c>
      <c r="D15" s="1634">
        <v>119.99</v>
      </c>
      <c r="E15" s="1635">
        <v>4.2140000000000004</v>
      </c>
      <c r="F15" s="1636">
        <v>183.64</v>
      </c>
      <c r="G15" s="1637">
        <v>2.9750000000000001</v>
      </c>
      <c r="H15" s="1638">
        <v>131.57</v>
      </c>
      <c r="I15" s="1639">
        <v>3.83</v>
      </c>
      <c r="J15" s="1640">
        <v>182.44</v>
      </c>
      <c r="K15" s="1641">
        <v>3.206</v>
      </c>
      <c r="L15" s="1642">
        <v>151.36000000000001</v>
      </c>
      <c r="M15" s="1663">
        <f>2.156-0.31917</f>
        <v>1.837</v>
      </c>
      <c r="N15" s="1710">
        <v>40.1</v>
      </c>
      <c r="O15" s="1663">
        <v>1.3089999999999999</v>
      </c>
      <c r="P15" s="1711">
        <v>42.69</v>
      </c>
      <c r="Q15" s="1712" t="s">
        <v>567</v>
      </c>
      <c r="R15" s="1666">
        <f t="shared" si="1"/>
        <v>3.1459999999999999</v>
      </c>
      <c r="S15" s="1667">
        <f t="shared" si="0"/>
        <v>155.44999999999999</v>
      </c>
      <c r="T15" s="1648">
        <f t="shared" si="2"/>
        <v>155.44999999999999</v>
      </c>
      <c r="U15" s="1649">
        <f t="shared" si="3"/>
        <v>155.44999999999999</v>
      </c>
      <c r="V15" s="1650"/>
      <c r="W15" s="1651">
        <v>167.6</v>
      </c>
      <c r="X15" s="1713"/>
    </row>
    <row r="16" spans="1:24" x14ac:dyDescent="0.2">
      <c r="A16" s="2618"/>
      <c r="B16" s="2619"/>
      <c r="C16" s="1652"/>
      <c r="D16" s="1653"/>
      <c r="E16" s="1654"/>
      <c r="F16" s="1655"/>
      <c r="G16" s="1656"/>
      <c r="H16" s="1657"/>
      <c r="I16" s="1658"/>
      <c r="J16" s="1659"/>
      <c r="K16" s="1660"/>
      <c r="L16" s="1661"/>
      <c r="M16" s="1662"/>
      <c r="N16" s="1659">
        <v>8.82</v>
      </c>
      <c r="O16" s="1663"/>
      <c r="P16" s="1664">
        <v>9.1</v>
      </c>
      <c r="Q16" s="1702" t="s">
        <v>568</v>
      </c>
      <c r="R16" s="1666">
        <f t="shared" si="1"/>
        <v>0</v>
      </c>
      <c r="S16" s="1667">
        <f t="shared" si="0"/>
        <v>0</v>
      </c>
      <c r="T16" s="1668">
        <f t="shared" si="2"/>
        <v>0</v>
      </c>
      <c r="U16" s="1669">
        <f t="shared" si="3"/>
        <v>0</v>
      </c>
      <c r="V16" s="1650"/>
      <c r="W16" s="1670"/>
      <c r="X16" s="1713"/>
    </row>
    <row r="17" spans="1:25" ht="13.5" thickBot="1" x14ac:dyDescent="0.25">
      <c r="A17" s="2618"/>
      <c r="B17" s="2619"/>
      <c r="C17" s="1714"/>
      <c r="D17" s="1715"/>
      <c r="E17" s="1716"/>
      <c r="F17" s="1717"/>
      <c r="G17" s="1718"/>
      <c r="H17" s="1719"/>
      <c r="I17" s="1720"/>
      <c r="J17" s="1721"/>
      <c r="K17" s="1722"/>
      <c r="L17" s="1723"/>
      <c r="M17" s="1681"/>
      <c r="N17" s="1721"/>
      <c r="O17" s="1683"/>
      <c r="P17" s="1724"/>
      <c r="Q17" s="1685"/>
      <c r="R17" s="1686">
        <f t="shared" si="1"/>
        <v>0</v>
      </c>
      <c r="S17" s="1687">
        <f t="shared" si="0"/>
        <v>0</v>
      </c>
      <c r="T17" s="1688">
        <f t="shared" si="2"/>
        <v>0</v>
      </c>
      <c r="U17" s="1689">
        <f t="shared" si="3"/>
        <v>0</v>
      </c>
      <c r="V17" s="1650"/>
      <c r="W17" s="1725"/>
    </row>
    <row r="18" spans="1:25" ht="15" customHeight="1" x14ac:dyDescent="0.2">
      <c r="A18" s="2614" t="s">
        <v>241</v>
      </c>
      <c r="B18" s="2622">
        <v>931</v>
      </c>
      <c r="C18" s="1635">
        <v>19.420000000000002</v>
      </c>
      <c r="D18" s="1634">
        <v>21.71</v>
      </c>
      <c r="E18" s="1635">
        <v>35.200000000000003</v>
      </c>
      <c r="F18" s="1636">
        <v>40.96</v>
      </c>
      <c r="G18" s="1643">
        <v>17.725999999999999</v>
      </c>
      <c r="H18" s="1638">
        <v>21.4</v>
      </c>
      <c r="I18" s="1639">
        <v>26.4</v>
      </c>
      <c r="J18" s="1640">
        <v>34.19</v>
      </c>
      <c r="K18" s="1641">
        <v>34.4</v>
      </c>
      <c r="L18" s="1642">
        <v>43.51</v>
      </c>
      <c r="M18" s="1726">
        <v>34.56</v>
      </c>
      <c r="N18" s="1640">
        <v>1.07236</v>
      </c>
      <c r="O18" s="1727">
        <v>23.52</v>
      </c>
      <c r="P18" s="1644">
        <v>1.10131</v>
      </c>
      <c r="Q18" s="1728" t="s">
        <v>565</v>
      </c>
      <c r="R18" s="1729">
        <f t="shared" si="1"/>
        <v>58.08</v>
      </c>
      <c r="S18" s="1647">
        <f t="shared" si="0"/>
        <v>75.56</v>
      </c>
      <c r="T18" s="1648">
        <f t="shared" si="2"/>
        <v>75.56</v>
      </c>
      <c r="U18" s="1649">
        <f t="shared" si="3"/>
        <v>75.56</v>
      </c>
      <c r="V18" s="1650"/>
      <c r="W18" s="1651">
        <v>31.4</v>
      </c>
    </row>
    <row r="19" spans="1:25" ht="15" customHeight="1" x14ac:dyDescent="0.2">
      <c r="A19" s="2618"/>
      <c r="B19" s="2623"/>
      <c r="C19" s="1695"/>
      <c r="D19" s="1694"/>
      <c r="E19" s="1695"/>
      <c r="F19" s="1696"/>
      <c r="G19" s="1697"/>
      <c r="H19" s="1698"/>
      <c r="I19" s="1699"/>
      <c r="J19" s="1682"/>
      <c r="K19" s="1700"/>
      <c r="L19" s="1701"/>
      <c r="M19" s="1683"/>
      <c r="N19" s="1659"/>
      <c r="O19" s="1730"/>
      <c r="P19" s="1664"/>
      <c r="Q19" s="1731" t="s">
        <v>570</v>
      </c>
      <c r="R19" s="1666">
        <f t="shared" si="1"/>
        <v>0</v>
      </c>
      <c r="S19" s="1667">
        <f t="shared" si="0"/>
        <v>0</v>
      </c>
      <c r="T19" s="1668">
        <f t="shared" si="2"/>
        <v>0</v>
      </c>
      <c r="U19" s="1669">
        <f t="shared" si="3"/>
        <v>0</v>
      </c>
      <c r="V19" s="1650"/>
      <c r="W19" s="1703"/>
    </row>
    <row r="20" spans="1:25" ht="20.45" customHeight="1" thickBot="1" x14ac:dyDescent="0.25">
      <c r="A20" s="2618"/>
      <c r="B20" s="2624"/>
      <c r="C20" s="1716"/>
      <c r="D20" s="1715"/>
      <c r="E20" s="1716"/>
      <c r="F20" s="1717"/>
      <c r="G20" s="1718"/>
      <c r="H20" s="1719"/>
      <c r="I20" s="1720"/>
      <c r="J20" s="1721"/>
      <c r="K20" s="1722"/>
      <c r="L20" s="1723"/>
      <c r="M20" s="1704"/>
      <c r="N20" s="1732"/>
      <c r="O20" s="1733"/>
      <c r="P20" s="1706"/>
      <c r="Q20" s="1734"/>
      <c r="R20" s="1708">
        <f t="shared" si="1"/>
        <v>0</v>
      </c>
      <c r="S20" s="1709">
        <f t="shared" si="0"/>
        <v>0</v>
      </c>
      <c r="T20" s="1688">
        <f t="shared" si="2"/>
        <v>0</v>
      </c>
      <c r="U20" s="1689">
        <f t="shared" si="3"/>
        <v>0</v>
      </c>
      <c r="V20" s="1650"/>
      <c r="W20" s="1725"/>
    </row>
    <row r="21" spans="1:25" ht="19.5" customHeight="1" x14ac:dyDescent="0.2">
      <c r="A21" s="2614" t="s">
        <v>242</v>
      </c>
      <c r="B21" s="2616">
        <v>931</v>
      </c>
      <c r="C21" s="1635">
        <v>0.33600000000000002</v>
      </c>
      <c r="D21" s="1634">
        <v>3.07</v>
      </c>
      <c r="E21" s="1635">
        <v>0.59299999999999997</v>
      </c>
      <c r="F21" s="1636">
        <v>5.65</v>
      </c>
      <c r="G21" s="1637">
        <v>0.29499999999999998</v>
      </c>
      <c r="H21" s="1638">
        <v>2.94</v>
      </c>
      <c r="I21" s="1639">
        <v>0.44</v>
      </c>
      <c r="J21" s="1640">
        <v>4.67</v>
      </c>
      <c r="K21" s="1641">
        <v>0.57299999999999995</v>
      </c>
      <c r="L21" s="1642">
        <v>5.96</v>
      </c>
      <c r="M21" s="1726">
        <v>0.57599999999999996</v>
      </c>
      <c r="N21" s="1640">
        <v>8.82</v>
      </c>
      <c r="O21" s="1726">
        <v>0.39400000000000002</v>
      </c>
      <c r="P21" s="1644">
        <v>9.1</v>
      </c>
      <c r="Q21" s="1645" t="s">
        <v>565</v>
      </c>
      <c r="R21" s="1729">
        <v>0.97</v>
      </c>
      <c r="S21" s="1667">
        <f t="shared" si="0"/>
        <v>10.4</v>
      </c>
      <c r="T21" s="1648">
        <f t="shared" si="2"/>
        <v>10.4</v>
      </c>
      <c r="U21" s="1649">
        <f t="shared" si="3"/>
        <v>10.4</v>
      </c>
      <c r="V21" s="1650"/>
      <c r="W21" s="1651">
        <v>4.3</v>
      </c>
    </row>
    <row r="22" spans="1:25" ht="19.5" customHeight="1" thickBot="1" x14ac:dyDescent="0.25">
      <c r="A22" s="2615"/>
      <c r="B22" s="2617"/>
      <c r="C22" s="1673"/>
      <c r="D22" s="1672"/>
      <c r="E22" s="1673"/>
      <c r="F22" s="1674"/>
      <c r="G22" s="1675"/>
      <c r="H22" s="1676"/>
      <c r="I22" s="1677"/>
      <c r="J22" s="1678"/>
      <c r="K22" s="1679"/>
      <c r="L22" s="1680"/>
      <c r="M22" s="1735"/>
      <c r="N22" s="1678"/>
      <c r="O22" s="1736"/>
      <c r="P22" s="1706"/>
      <c r="Q22" s="1707"/>
      <c r="R22" s="1708">
        <f t="shared" si="1"/>
        <v>0</v>
      </c>
      <c r="S22" s="1687">
        <f t="shared" si="0"/>
        <v>0</v>
      </c>
      <c r="T22" s="1688">
        <f t="shared" si="2"/>
        <v>0</v>
      </c>
      <c r="U22" s="1689">
        <f t="shared" si="3"/>
        <v>0</v>
      </c>
      <c r="V22" s="1650"/>
      <c r="W22" s="1690"/>
    </row>
    <row r="23" spans="1:25" ht="12.75" customHeight="1" x14ac:dyDescent="0.2">
      <c r="A23" s="2618" t="s">
        <v>571</v>
      </c>
      <c r="B23" s="2619">
        <v>933</v>
      </c>
      <c r="C23" s="1737">
        <v>4.2919999999999998</v>
      </c>
      <c r="D23" s="1738">
        <v>110.77</v>
      </c>
      <c r="E23" s="1739">
        <v>4.8159999999999998</v>
      </c>
      <c r="F23" s="1740">
        <v>134.03</v>
      </c>
      <c r="G23" s="1741">
        <v>3.3889999999999998</v>
      </c>
      <c r="H23" s="1742">
        <v>98.5</v>
      </c>
      <c r="I23" s="1743">
        <v>4.2699999999999996</v>
      </c>
      <c r="J23" s="1710">
        <v>133.62</v>
      </c>
      <c r="K23" s="1744">
        <f>K15+K21</f>
        <v>3.7789999999999999</v>
      </c>
      <c r="L23" s="1745">
        <v>119.52</v>
      </c>
      <c r="M23" s="1746">
        <f>M15+M21</f>
        <v>2.4129999999999998</v>
      </c>
      <c r="N23" s="1710">
        <v>27.36</v>
      </c>
      <c r="O23" s="1747">
        <f>O15+O21</f>
        <v>1.7030000000000001</v>
      </c>
      <c r="P23" s="1711">
        <v>29.28</v>
      </c>
      <c r="Q23" s="1748" t="s">
        <v>572</v>
      </c>
      <c r="R23" s="1749">
        <f>SUM(M23+O23)</f>
        <v>4.1159999999999997</v>
      </c>
      <c r="S23" s="1647">
        <f>SUM(M23*N23+O23*P23)*1.2-0.01</f>
        <v>139.05000000000001</v>
      </c>
      <c r="T23" s="1648">
        <f t="shared" si="2"/>
        <v>139.05000000000001</v>
      </c>
      <c r="U23" s="1649">
        <f t="shared" si="3"/>
        <v>139.05000000000001</v>
      </c>
      <c r="V23" s="1650"/>
      <c r="W23" s="1750">
        <v>122.8</v>
      </c>
    </row>
    <row r="24" spans="1:25" x14ac:dyDescent="0.2">
      <c r="A24" s="2618"/>
      <c r="B24" s="2619"/>
      <c r="C24" s="1652"/>
      <c r="D24" s="1653"/>
      <c r="E24" s="1654"/>
      <c r="F24" s="1655"/>
      <c r="G24" s="1652"/>
      <c r="H24" s="1653"/>
      <c r="I24" s="1654"/>
      <c r="J24" s="1664"/>
      <c r="K24" s="1664"/>
      <c r="L24" s="1655"/>
      <c r="M24" s="1652"/>
      <c r="N24" s="1664"/>
      <c r="O24" s="1737"/>
      <c r="P24" s="1664"/>
      <c r="Q24" s="1665"/>
      <c r="R24" s="1666">
        <f t="shared" si="1"/>
        <v>0</v>
      </c>
      <c r="S24" s="1667">
        <f t="shared" si="0"/>
        <v>0</v>
      </c>
      <c r="T24" s="1668">
        <f t="shared" si="2"/>
        <v>0</v>
      </c>
      <c r="U24" s="1669">
        <f t="shared" si="3"/>
        <v>0</v>
      </c>
      <c r="V24" s="1650"/>
      <c r="W24" s="1670"/>
    </row>
    <row r="25" spans="1:25" ht="13.5" thickBot="1" x14ac:dyDescent="0.25">
      <c r="A25" s="2618"/>
      <c r="B25" s="2619"/>
      <c r="C25" s="1652"/>
      <c r="D25" s="1657"/>
      <c r="E25" s="1658"/>
      <c r="F25" s="1661"/>
      <c r="G25" s="1656"/>
      <c r="H25" s="1657"/>
      <c r="I25" s="1658"/>
      <c r="J25" s="1659"/>
      <c r="K25" s="1664"/>
      <c r="L25" s="1655"/>
      <c r="M25" s="1671"/>
      <c r="N25" s="1706"/>
      <c r="O25" s="1751"/>
      <c r="P25" s="1706"/>
      <c r="Q25" s="1707" t="s">
        <v>565</v>
      </c>
      <c r="R25" s="1708">
        <f t="shared" si="1"/>
        <v>0</v>
      </c>
      <c r="S25" s="1709">
        <f t="shared" si="0"/>
        <v>0</v>
      </c>
      <c r="T25" s="1688">
        <f t="shared" si="2"/>
        <v>0</v>
      </c>
      <c r="U25" s="1689">
        <f t="shared" si="3"/>
        <v>0</v>
      </c>
      <c r="V25" s="1650"/>
      <c r="W25" s="1670"/>
    </row>
    <row r="26" spans="1:25" ht="13.5" thickBot="1" x14ac:dyDescent="0.25">
      <c r="A26" s="1752" t="s">
        <v>72</v>
      </c>
      <c r="B26" s="1753"/>
      <c r="C26" s="1628"/>
      <c r="D26" s="1754">
        <f>SUM(D9:D25)</f>
        <v>1068.1400000000001</v>
      </c>
      <c r="E26" s="1755"/>
      <c r="F26" s="1756">
        <f>SUM(F9:F25)</f>
        <v>1191.97</v>
      </c>
      <c r="G26" s="1757"/>
      <c r="H26" s="1754">
        <f>SUM(H9:H25)</f>
        <v>1079.95</v>
      </c>
      <c r="I26" s="1758"/>
      <c r="J26" s="1759">
        <f>SUM(J9:J25)</f>
        <v>1304.25</v>
      </c>
      <c r="K26" s="1760"/>
      <c r="L26" s="1761">
        <f>SUM(L9:L25)</f>
        <v>1214.5</v>
      </c>
      <c r="M26" s="1762"/>
      <c r="N26" s="1763"/>
      <c r="O26" s="1762"/>
      <c r="P26" s="1763"/>
      <c r="Q26" s="1764"/>
      <c r="R26" s="1765"/>
      <c r="S26" s="1766">
        <f>SUM(S9:S25)</f>
        <v>1218.4000000000001</v>
      </c>
      <c r="T26" s="1767">
        <f t="shared" si="2"/>
        <v>1218.4000000000001</v>
      </c>
      <c r="U26" s="1768">
        <f t="shared" si="3"/>
        <v>1218.4000000000001</v>
      </c>
      <c r="V26" s="1650"/>
      <c r="W26" s="1769">
        <f>SUM(W9:W25)</f>
        <v>1198.2</v>
      </c>
    </row>
    <row r="27" spans="1:25" x14ac:dyDescent="0.2">
      <c r="A27" s="1618"/>
      <c r="B27" s="1618"/>
      <c r="C27" s="1618"/>
      <c r="D27" s="1618"/>
      <c r="E27" s="1618"/>
      <c r="F27" s="1618"/>
      <c r="G27" s="1618"/>
      <c r="H27" s="1618"/>
      <c r="I27" s="1618"/>
      <c r="J27" s="1618"/>
      <c r="K27" s="1618"/>
      <c r="L27" s="1618"/>
      <c r="M27" s="1618"/>
      <c r="N27" s="1618"/>
      <c r="O27" s="1618"/>
      <c r="P27" s="1618"/>
      <c r="Q27" s="1770"/>
      <c r="R27" s="1770"/>
      <c r="S27" s="1770"/>
      <c r="T27" s="1770"/>
      <c r="U27" s="1770"/>
      <c r="V27" s="1771"/>
    </row>
    <row r="28" spans="1:25" x14ac:dyDescent="0.2">
      <c r="B28" s="1620"/>
      <c r="C28" s="1620"/>
      <c r="D28" s="1620"/>
      <c r="E28" s="1620"/>
      <c r="F28" s="1620"/>
      <c r="G28" s="1620"/>
      <c r="H28" s="1620"/>
      <c r="I28" s="1620"/>
      <c r="J28" s="1620"/>
      <c r="K28" s="1620"/>
      <c r="L28" s="1620"/>
      <c r="M28" s="1620"/>
      <c r="N28" s="1620"/>
      <c r="O28" s="1620"/>
      <c r="P28" s="1620"/>
      <c r="Q28" s="1620"/>
      <c r="R28" s="1620"/>
    </row>
    <row r="29" spans="1:25" s="1774" customFormat="1" x14ac:dyDescent="0.2">
      <c r="A29" s="1772" t="s">
        <v>1208</v>
      </c>
      <c r="B29" s="1773"/>
      <c r="C29" s="1773"/>
      <c r="D29" s="1773"/>
      <c r="E29" s="1773"/>
      <c r="F29" s="1773"/>
      <c r="G29" s="1773"/>
      <c r="H29" s="1773"/>
      <c r="I29" s="1773"/>
      <c r="J29" s="1773"/>
      <c r="K29" s="1773"/>
      <c r="L29" s="1773"/>
      <c r="M29" s="1773"/>
      <c r="N29" s="1773"/>
      <c r="O29" s="1772"/>
      <c r="P29" s="1772"/>
      <c r="Q29" s="1772"/>
      <c r="R29" s="1772"/>
      <c r="S29" s="1772"/>
      <c r="T29" s="1772"/>
      <c r="U29" s="1772"/>
    </row>
    <row r="30" spans="1:25" s="1774" customFormat="1" x14ac:dyDescent="0.2">
      <c r="A30" s="1772" t="s">
        <v>574</v>
      </c>
      <c r="O30" s="1775"/>
      <c r="P30" s="1775"/>
      <c r="Q30" s="1775"/>
      <c r="R30" s="1775"/>
      <c r="S30" s="1775"/>
      <c r="T30" s="1775"/>
      <c r="U30" s="1775"/>
    </row>
    <row r="31" spans="1:25" x14ac:dyDescent="0.2">
      <c r="O31" s="1618"/>
      <c r="P31" s="1618"/>
      <c r="Q31" s="1618"/>
      <c r="R31" s="1618"/>
      <c r="S31" s="1618"/>
      <c r="T31" s="1618"/>
      <c r="U31" s="1618"/>
      <c r="W31" s="1777">
        <v>2020</v>
      </c>
      <c r="X31" s="1777">
        <v>2021</v>
      </c>
      <c r="Y31" s="1777">
        <v>2022</v>
      </c>
    </row>
    <row r="32" spans="1:25" s="1771" customFormat="1" x14ac:dyDescent="0.2">
      <c r="A32" s="1770"/>
      <c r="B32" s="1770"/>
      <c r="C32" s="1770"/>
      <c r="D32" s="1770"/>
      <c r="E32" s="1770"/>
      <c r="F32" s="1770"/>
      <c r="G32" s="1770"/>
      <c r="H32" s="1770"/>
      <c r="I32" s="1770"/>
      <c r="J32" s="1770"/>
      <c r="K32" s="1770"/>
      <c r="L32" s="1770"/>
      <c r="M32" s="1770"/>
      <c r="N32" s="1770"/>
      <c r="O32" s="1770"/>
      <c r="P32" s="1770"/>
      <c r="Q32" s="1770"/>
      <c r="R32" s="1778" t="s">
        <v>573</v>
      </c>
      <c r="S32" s="1779">
        <v>2020</v>
      </c>
      <c r="T32" s="1779">
        <v>2021</v>
      </c>
      <c r="U32" s="1779">
        <v>2022</v>
      </c>
      <c r="V32" s="1780" t="s">
        <v>1205</v>
      </c>
      <c r="W32" s="1781" t="s">
        <v>197</v>
      </c>
      <c r="X32" s="1781" t="s">
        <v>197</v>
      </c>
      <c r="Y32" s="1781" t="s">
        <v>197</v>
      </c>
    </row>
    <row r="33" spans="1:25" s="1784" customFormat="1" ht="27" hidden="1" customHeight="1" x14ac:dyDescent="0.2">
      <c r="A33" s="1782" t="s">
        <v>1592</v>
      </c>
      <c r="B33" s="1782"/>
      <c r="C33" s="1782"/>
      <c r="D33" s="1782"/>
      <c r="E33" s="1782"/>
      <c r="F33" s="1782"/>
      <c r="G33" s="1782"/>
      <c r="H33" s="1782"/>
      <c r="I33" s="1782"/>
      <c r="J33" s="1782"/>
      <c r="K33" s="1782"/>
      <c r="L33" s="1782"/>
      <c r="M33" s="1782"/>
      <c r="N33" s="1782"/>
      <c r="O33" s="1782"/>
      <c r="P33" s="1782"/>
      <c r="Q33" s="1782"/>
      <c r="R33" s="1783"/>
      <c r="S33" s="1783"/>
      <c r="T33" s="1783"/>
      <c r="U33" s="1783"/>
      <c r="V33" s="1780"/>
      <c r="W33" s="1781"/>
      <c r="X33" s="1781"/>
      <c r="Y33" s="1781"/>
    </row>
    <row r="34" spans="1:25" s="1784" customFormat="1" ht="23.25" hidden="1" customHeight="1" x14ac:dyDescent="0.2">
      <c r="A34" s="1782" t="s">
        <v>1593</v>
      </c>
      <c r="B34" s="1782"/>
      <c r="C34" s="1782"/>
      <c r="D34" s="1782"/>
      <c r="E34" s="1782"/>
      <c r="F34" s="1782"/>
      <c r="G34" s="1782"/>
      <c r="H34" s="1782"/>
      <c r="I34" s="1782"/>
      <c r="J34" s="1782"/>
      <c r="K34" s="1782"/>
      <c r="L34" s="1782"/>
      <c r="M34" s="1782"/>
      <c r="N34" s="1782"/>
      <c r="O34" s="1782"/>
      <c r="P34" s="1782"/>
      <c r="Q34" s="1782"/>
      <c r="R34" s="1783"/>
      <c r="S34" s="1783"/>
      <c r="T34" s="1783"/>
      <c r="U34" s="1783"/>
      <c r="V34" s="1780"/>
      <c r="W34" s="1781"/>
      <c r="X34" s="1781"/>
      <c r="Y34" s="1781"/>
    </row>
    <row r="35" spans="1:25" s="1771" customFormat="1" ht="12.75" hidden="1" customHeight="1" x14ac:dyDescent="0.2">
      <c r="A35" s="1785" t="s">
        <v>1594</v>
      </c>
      <c r="B35" s="1770"/>
      <c r="C35" s="1770"/>
      <c r="D35" s="1770"/>
      <c r="E35" s="1770"/>
      <c r="F35" s="1770"/>
      <c r="G35" s="1770"/>
      <c r="H35" s="1770"/>
      <c r="I35" s="1770"/>
      <c r="J35" s="1770"/>
      <c r="K35" s="1770"/>
      <c r="L35" s="1770"/>
      <c r="M35" s="1770"/>
      <c r="N35" s="1770"/>
      <c r="O35" s="1770"/>
      <c r="P35" s="1770"/>
      <c r="Q35" s="1770"/>
      <c r="R35" s="1786"/>
      <c r="S35" s="1786"/>
      <c r="T35" s="1786"/>
      <c r="U35" s="1786"/>
      <c r="V35" s="1780"/>
      <c r="W35" s="1781"/>
      <c r="X35" s="1781"/>
      <c r="Y35" s="1781"/>
    </row>
    <row r="36" spans="1:25" s="1784" customFormat="1" x14ac:dyDescent="0.2">
      <c r="A36" s="1787"/>
      <c r="B36" s="1787"/>
      <c r="C36" s="1787"/>
      <c r="D36" s="1787"/>
      <c r="E36" s="1787"/>
      <c r="F36" s="1787"/>
      <c r="G36" s="1787"/>
      <c r="H36" s="1787"/>
      <c r="I36" s="1787"/>
      <c r="J36" s="1787"/>
      <c r="K36" s="1787"/>
      <c r="L36" s="1787"/>
      <c r="M36" s="1787"/>
      <c r="N36" s="1787"/>
      <c r="O36" s="1787"/>
      <c r="P36" s="1787"/>
      <c r="Q36" s="1787"/>
      <c r="R36" s="1778">
        <v>931</v>
      </c>
      <c r="S36" s="1788">
        <f>S9+S18+S21</f>
        <v>785.4</v>
      </c>
      <c r="T36" s="1788">
        <f>T9+T18+T21</f>
        <v>785.4</v>
      </c>
      <c r="U36" s="1788">
        <f>U9+U18+U21</f>
        <v>785.4</v>
      </c>
      <c r="V36" s="1789">
        <v>785.4</v>
      </c>
      <c r="W36" s="1790">
        <f>V36-S36</f>
        <v>0</v>
      </c>
      <c r="X36" s="1790">
        <f>V36-T36</f>
        <v>0</v>
      </c>
      <c r="Y36" s="1790">
        <f>V36-U36</f>
        <v>0</v>
      </c>
    </row>
    <row r="37" spans="1:25" s="1771" customFormat="1" x14ac:dyDescent="0.2">
      <c r="A37" s="1785"/>
      <c r="B37" s="1770"/>
      <c r="C37" s="1770"/>
      <c r="D37" s="1770"/>
      <c r="E37" s="1770"/>
      <c r="F37" s="1770"/>
      <c r="G37" s="1770"/>
      <c r="H37" s="1770"/>
      <c r="I37" s="1770"/>
      <c r="J37" s="1770"/>
      <c r="K37" s="1770"/>
      <c r="L37" s="1770"/>
      <c r="M37" s="1770"/>
      <c r="N37" s="1770"/>
      <c r="O37" s="1770"/>
      <c r="P37" s="1770"/>
      <c r="Q37" s="1770"/>
      <c r="R37" s="1778">
        <v>932</v>
      </c>
      <c r="S37" s="1788">
        <f>S12</f>
        <v>138.5</v>
      </c>
      <c r="T37" s="1788">
        <f>T12</f>
        <v>138.5</v>
      </c>
      <c r="U37" s="1788">
        <f>U12</f>
        <v>138.5</v>
      </c>
      <c r="V37" s="1789">
        <v>138.5</v>
      </c>
      <c r="W37" s="1790">
        <f>V37-S37</f>
        <v>0</v>
      </c>
      <c r="X37" s="1790">
        <f>V37-T37</f>
        <v>0</v>
      </c>
      <c r="Y37" s="1790">
        <f>V37-U37</f>
        <v>0</v>
      </c>
    </row>
    <row r="38" spans="1:25" s="1771" customFormat="1" x14ac:dyDescent="0.2">
      <c r="A38" s="1785"/>
      <c r="B38" s="1770"/>
      <c r="C38" s="1770"/>
      <c r="D38" s="1770"/>
      <c r="E38" s="1770"/>
      <c r="F38" s="1770"/>
      <c r="G38" s="1770"/>
      <c r="H38" s="1770"/>
      <c r="I38" s="1770"/>
      <c r="J38" s="1770"/>
      <c r="K38" s="1770"/>
      <c r="L38" s="1770"/>
      <c r="M38" s="1770"/>
      <c r="N38" s="1770"/>
      <c r="O38" s="1770"/>
      <c r="P38" s="1770"/>
      <c r="Q38" s="1770"/>
      <c r="R38" s="1778">
        <v>933</v>
      </c>
      <c r="S38" s="1788">
        <f>S15+S23</f>
        <v>294.5</v>
      </c>
      <c r="T38" s="1788">
        <f>T15+T23</f>
        <v>294.5</v>
      </c>
      <c r="U38" s="1788">
        <f>U15+U23</f>
        <v>294.5</v>
      </c>
      <c r="V38" s="1789">
        <v>294.5</v>
      </c>
      <c r="W38" s="1790">
        <f>V38-S38</f>
        <v>0</v>
      </c>
      <c r="X38" s="1790">
        <f>V38-T38</f>
        <v>0</v>
      </c>
      <c r="Y38" s="1790">
        <f>V38-U38</f>
        <v>0</v>
      </c>
    </row>
    <row r="39" spans="1:25" s="1797" customFormat="1" x14ac:dyDescent="0.2">
      <c r="A39" s="1791"/>
      <c r="B39" s="1791"/>
      <c r="C39" s="1791"/>
      <c r="D39" s="1791"/>
      <c r="E39" s="1791"/>
      <c r="F39" s="1792"/>
      <c r="G39" s="1792"/>
      <c r="H39" s="1791"/>
      <c r="I39" s="1791"/>
      <c r="J39" s="1791"/>
      <c r="K39" s="1791"/>
      <c r="L39" s="1791"/>
      <c r="M39" s="1791"/>
      <c r="N39" s="1791"/>
      <c r="O39" s="1791"/>
      <c r="P39" s="1793"/>
      <c r="Q39" s="1793"/>
      <c r="R39" s="1794" t="s">
        <v>97</v>
      </c>
      <c r="S39" s="1795">
        <f>SUM(S36:S38)</f>
        <v>1218.4000000000001</v>
      </c>
      <c r="T39" s="1795">
        <f t="shared" ref="T39:U39" si="4">SUM(T36:T38)</f>
        <v>1218.4000000000001</v>
      </c>
      <c r="U39" s="1795">
        <f t="shared" si="4"/>
        <v>1218.4000000000001</v>
      </c>
      <c r="V39" s="1796"/>
      <c r="W39" s="1796"/>
    </row>
    <row r="40" spans="1:25" s="1797" customFormat="1" x14ac:dyDescent="0.2">
      <c r="N40" s="1798"/>
      <c r="R40" s="1796"/>
      <c r="S40" s="1799"/>
      <c r="T40" s="1800"/>
      <c r="U40" s="1801"/>
      <c r="V40" s="1800"/>
      <c r="W40" s="1801"/>
    </row>
  </sheetData>
  <mergeCells count="43">
    <mergeCell ref="A2:U2"/>
    <mergeCell ref="B4:B7"/>
    <mergeCell ref="C4:D5"/>
    <mergeCell ref="E4:F5"/>
    <mergeCell ref="G4:H5"/>
    <mergeCell ref="I4:L4"/>
    <mergeCell ref="M4:S5"/>
    <mergeCell ref="T4:T5"/>
    <mergeCell ref="U4:U5"/>
    <mergeCell ref="J6:J7"/>
    <mergeCell ref="N6:N7"/>
    <mergeCell ref="O6:O7"/>
    <mergeCell ref="P6:P7"/>
    <mergeCell ref="R6:R7"/>
    <mergeCell ref="S6:S7"/>
    <mergeCell ref="T6:T7"/>
    <mergeCell ref="W4:W7"/>
    <mergeCell ref="I5:J5"/>
    <mergeCell ref="K5:L5"/>
    <mergeCell ref="I6:I7"/>
    <mergeCell ref="A9:A11"/>
    <mergeCell ref="B9:B11"/>
    <mergeCell ref="K6:K7"/>
    <mergeCell ref="L6:L7"/>
    <mergeCell ref="M6:M7"/>
    <mergeCell ref="C6:C7"/>
    <mergeCell ref="D6:D7"/>
    <mergeCell ref="E6:E7"/>
    <mergeCell ref="F6:F7"/>
    <mergeCell ref="G6:G7"/>
    <mergeCell ref="H6:H7"/>
    <mergeCell ref="Q6:Q7"/>
    <mergeCell ref="U6:U7"/>
    <mergeCell ref="A21:A22"/>
    <mergeCell ref="B21:B22"/>
    <mergeCell ref="A23:A25"/>
    <mergeCell ref="B23:B25"/>
    <mergeCell ref="A12:A14"/>
    <mergeCell ref="B12:B14"/>
    <mergeCell ref="A15:A17"/>
    <mergeCell ref="B15:B17"/>
    <mergeCell ref="A18:A20"/>
    <mergeCell ref="B18:B20"/>
  </mergeCells>
  <pageMargins left="0.7" right="0.7" top="0.75" bottom="0.75" header="0.3" footer="0.3"/>
  <pageSetup paperSize="9" scale="5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sheetPr>
  <dimension ref="A1:N30"/>
  <sheetViews>
    <sheetView view="pageBreakPreview" zoomScale="80" zoomScaleNormal="100" zoomScaleSheetLayoutView="80" workbookViewId="0">
      <selection activeCell="I14" sqref="I14:L14"/>
    </sheetView>
  </sheetViews>
  <sheetFormatPr defaultRowHeight="15.75" x14ac:dyDescent="0.25"/>
  <cols>
    <col min="1" max="1" width="4.33203125" style="1244" customWidth="1"/>
    <col min="2" max="2" width="24.5" style="1244" customWidth="1"/>
    <col min="3" max="3" width="12" style="1244" customWidth="1"/>
    <col min="4" max="4" width="19.1640625" style="1244" customWidth="1"/>
    <col min="5" max="5" width="13.83203125" style="1244" customWidth="1"/>
    <col min="6" max="6" width="15.5" style="1244" customWidth="1"/>
    <col min="7" max="7" width="13.6640625" style="1244" customWidth="1"/>
    <col min="8" max="8" width="15.5" style="1244" customWidth="1"/>
    <col min="9" max="9" width="13.6640625" style="1244" customWidth="1"/>
    <col min="10" max="12" width="16" style="1244" customWidth="1"/>
    <col min="13" max="13" width="24.5" style="1244" hidden="1" customWidth="1"/>
    <col min="14" max="14" width="9.33203125" style="1244"/>
    <col min="15" max="16384" width="9.33203125" style="1803"/>
  </cols>
  <sheetData>
    <row r="1" spans="1:14" ht="15.75" customHeight="1" x14ac:dyDescent="0.25">
      <c r="H1" s="2671" t="s">
        <v>810</v>
      </c>
      <c r="I1" s="2671"/>
      <c r="J1" s="2671"/>
      <c r="K1" s="2671"/>
      <c r="L1" s="2671"/>
      <c r="M1" s="2671"/>
      <c r="N1" s="428"/>
    </row>
    <row r="2" spans="1:14" ht="15.75" customHeight="1" x14ac:dyDescent="0.25">
      <c r="H2" s="2671" t="s">
        <v>811</v>
      </c>
      <c r="I2" s="2671"/>
      <c r="J2" s="2671"/>
      <c r="K2" s="2671"/>
      <c r="L2" s="2671"/>
      <c r="M2" s="2671"/>
      <c r="N2" s="428"/>
    </row>
    <row r="3" spans="1:14" ht="15.75" customHeight="1" x14ac:dyDescent="0.25">
      <c r="H3" s="2671" t="s">
        <v>812</v>
      </c>
      <c r="I3" s="2671"/>
      <c r="J3" s="2671"/>
      <c r="K3" s="2671"/>
      <c r="L3" s="2671"/>
      <c r="M3" s="2671"/>
      <c r="N3" s="428"/>
    </row>
    <row r="4" spans="1:14" x14ac:dyDescent="0.25">
      <c r="H4" s="2671" t="s">
        <v>813</v>
      </c>
      <c r="I4" s="2671"/>
      <c r="J4" s="2671"/>
      <c r="K4" s="2671"/>
      <c r="L4" s="2671"/>
      <c r="M4" s="2671"/>
      <c r="N4" s="428"/>
    </row>
    <row r="5" spans="1:14" ht="15.75" customHeight="1" x14ac:dyDescent="0.25">
      <c r="H5" s="2671" t="s">
        <v>323</v>
      </c>
      <c r="I5" s="2671"/>
      <c r="J5" s="2671"/>
      <c r="K5" s="2671"/>
      <c r="L5" s="2671"/>
      <c r="M5" s="2671"/>
      <c r="N5" s="428"/>
    </row>
    <row r="6" spans="1:14" ht="15.75" customHeight="1" x14ac:dyDescent="0.25">
      <c r="H6" s="2671" t="s">
        <v>324</v>
      </c>
      <c r="I6" s="2671"/>
      <c r="J6" s="2671"/>
      <c r="K6" s="2671"/>
      <c r="L6" s="2671"/>
      <c r="M6" s="2671"/>
      <c r="N6" s="428"/>
    </row>
    <row r="7" spans="1:14" ht="15.75" customHeight="1" x14ac:dyDescent="0.25">
      <c r="H7" s="2671" t="s">
        <v>325</v>
      </c>
      <c r="I7" s="2671"/>
      <c r="J7" s="2671"/>
      <c r="K7" s="2671"/>
      <c r="L7" s="2671"/>
      <c r="M7" s="2671"/>
      <c r="N7" s="428"/>
    </row>
    <row r="8" spans="1:14" ht="15.75" customHeight="1" x14ac:dyDescent="0.25">
      <c r="H8" s="2671" t="s">
        <v>458</v>
      </c>
      <c r="I8" s="2671"/>
      <c r="J8" s="2671"/>
      <c r="K8" s="2671"/>
      <c r="L8" s="2671"/>
      <c r="M8" s="2671"/>
      <c r="N8" s="428"/>
    </row>
    <row r="9" spans="1:14" ht="15.75" customHeight="1" x14ac:dyDescent="0.25">
      <c r="H9" s="2671" t="s">
        <v>459</v>
      </c>
      <c r="I9" s="2671"/>
      <c r="J9" s="2671"/>
      <c r="K9" s="2671"/>
      <c r="L9" s="2671"/>
      <c r="M9" s="2671"/>
      <c r="N9" s="428"/>
    </row>
    <row r="10" spans="1:14" ht="15.75" customHeight="1" x14ac:dyDescent="0.25">
      <c r="H10" s="2671" t="s">
        <v>814</v>
      </c>
      <c r="I10" s="2671"/>
      <c r="J10" s="2671"/>
      <c r="K10" s="2671"/>
      <c r="L10" s="2671"/>
      <c r="M10" s="2671"/>
      <c r="N10" s="428"/>
    </row>
    <row r="12" spans="1:14" ht="18.75" x14ac:dyDescent="0.3">
      <c r="A12" s="2672" t="s">
        <v>1595</v>
      </c>
      <c r="B12" s="2672"/>
      <c r="C12" s="2672"/>
      <c r="D12" s="2672"/>
      <c r="E12" s="2672"/>
      <c r="F12" s="2672"/>
      <c r="G12" s="2672"/>
      <c r="H12" s="2672"/>
      <c r="I12" s="2672"/>
      <c r="J12" s="2672"/>
      <c r="K12" s="2672"/>
      <c r="L12" s="2672"/>
      <c r="M12" s="2672"/>
      <c r="N12" s="1804"/>
    </row>
    <row r="13" spans="1:14" x14ac:dyDescent="0.25">
      <c r="L13" s="1246">
        <v>43829</v>
      </c>
    </row>
    <row r="14" spans="1:14" ht="57.75" customHeight="1" x14ac:dyDescent="0.25">
      <c r="A14" s="2665" t="s">
        <v>78</v>
      </c>
      <c r="B14" s="2665" t="s">
        <v>188</v>
      </c>
      <c r="C14" s="2665" t="s">
        <v>815</v>
      </c>
      <c r="D14" s="2665" t="s">
        <v>816</v>
      </c>
      <c r="E14" s="2662" t="s">
        <v>817</v>
      </c>
      <c r="F14" s="2663"/>
      <c r="G14" s="2662" t="s">
        <v>818</v>
      </c>
      <c r="H14" s="2663"/>
      <c r="I14" s="2664" t="s">
        <v>819</v>
      </c>
      <c r="J14" s="2664"/>
      <c r="K14" s="2664"/>
      <c r="L14" s="2664"/>
      <c r="M14" s="2665" t="s">
        <v>182</v>
      </c>
    </row>
    <row r="15" spans="1:14" ht="34.5" customHeight="1" x14ac:dyDescent="0.25">
      <c r="A15" s="2666"/>
      <c r="B15" s="2666"/>
      <c r="C15" s="2666"/>
      <c r="D15" s="2666"/>
      <c r="E15" s="1141" t="s">
        <v>820</v>
      </c>
      <c r="F15" s="1141" t="s">
        <v>821</v>
      </c>
      <c r="G15" s="1141" t="s">
        <v>820</v>
      </c>
      <c r="H15" s="1141" t="s">
        <v>821</v>
      </c>
      <c r="I15" s="1141" t="s">
        <v>820</v>
      </c>
      <c r="J15" s="1141" t="s">
        <v>232</v>
      </c>
      <c r="K15" s="1141" t="s">
        <v>233</v>
      </c>
      <c r="L15" s="1141" t="s">
        <v>234</v>
      </c>
      <c r="M15" s="2666"/>
    </row>
    <row r="16" spans="1:14" s="1807" customFormat="1" ht="11.25" x14ac:dyDescent="0.2">
      <c r="A16" s="1805">
        <v>1</v>
      </c>
      <c r="B16" s="1805">
        <v>2</v>
      </c>
      <c r="C16" s="1805">
        <v>3</v>
      </c>
      <c r="D16" s="1805">
        <v>4</v>
      </c>
      <c r="E16" s="1805">
        <v>5</v>
      </c>
      <c r="F16" s="1805">
        <v>6</v>
      </c>
      <c r="G16" s="1805">
        <v>7</v>
      </c>
      <c r="H16" s="1805">
        <v>8</v>
      </c>
      <c r="I16" s="1805">
        <v>9</v>
      </c>
      <c r="J16" s="1805">
        <v>10</v>
      </c>
      <c r="K16" s="1805">
        <v>11</v>
      </c>
      <c r="L16" s="1805">
        <v>12</v>
      </c>
      <c r="M16" s="1805">
        <v>13</v>
      </c>
      <c r="N16" s="1806"/>
    </row>
    <row r="17" spans="1:14" ht="95.25" customHeight="1" x14ac:dyDescent="0.25">
      <c r="A17" s="1161">
        <v>5</v>
      </c>
      <c r="B17" s="1141" t="s">
        <v>1596</v>
      </c>
      <c r="C17" s="1808" t="s">
        <v>822</v>
      </c>
      <c r="D17" s="1808" t="s">
        <v>1597</v>
      </c>
      <c r="E17" s="1808">
        <v>13.5</v>
      </c>
      <c r="F17" s="1808">
        <f>4.5*12</f>
        <v>54</v>
      </c>
      <c r="G17" s="1809">
        <v>1446.05</v>
      </c>
      <c r="H17" s="1809">
        <v>1446.05</v>
      </c>
      <c r="I17" s="1809">
        <f t="shared" ref="I17" si="0">E17*G17*1.2/1000</f>
        <v>23.43</v>
      </c>
      <c r="J17" s="1810">
        <f>H17*F17*1.2/1000-0.004</f>
        <v>93.7</v>
      </c>
      <c r="K17" s="1809">
        <v>93.7</v>
      </c>
      <c r="L17" s="1809">
        <v>93.7</v>
      </c>
      <c r="M17" s="1811" t="s">
        <v>823</v>
      </c>
    </row>
    <row r="18" spans="1:14" x14ac:dyDescent="0.25">
      <c r="A18" s="2667" t="s">
        <v>72</v>
      </c>
      <c r="B18" s="2668"/>
      <c r="C18" s="2668"/>
      <c r="D18" s="2669"/>
      <c r="E18" s="1812">
        <f>SUM(E17:E17)</f>
        <v>13.5</v>
      </c>
      <c r="F18" s="1813">
        <f>SUM(F17:F17)</f>
        <v>54</v>
      </c>
      <c r="G18" s="1812"/>
      <c r="H18" s="1812"/>
      <c r="I18" s="1813">
        <f>SUM(I17:I17)</f>
        <v>23.43</v>
      </c>
      <c r="J18" s="1814">
        <f>SUM(J17:J17)</f>
        <v>93.7</v>
      </c>
      <c r="K18" s="1813">
        <v>93.7</v>
      </c>
      <c r="L18" s="1813">
        <v>93.7</v>
      </c>
      <c r="M18" s="1149"/>
    </row>
    <row r="20" spans="1:14" x14ac:dyDescent="0.25">
      <c r="A20" s="1112"/>
      <c r="B20" s="1112"/>
      <c r="C20" s="1112"/>
      <c r="D20" s="1112"/>
    </row>
    <row r="21" spans="1:14" x14ac:dyDescent="0.25">
      <c r="A21" s="1112"/>
      <c r="B21" s="1112" t="s">
        <v>1208</v>
      </c>
      <c r="C21" s="1112"/>
      <c r="D21" s="1112"/>
    </row>
    <row r="22" spans="1:14" s="1816" customFormat="1" x14ac:dyDescent="0.25">
      <c r="A22" s="1815"/>
      <c r="B22" s="1815" t="s">
        <v>1598</v>
      </c>
      <c r="C22" s="1815"/>
      <c r="D22" s="1815"/>
      <c r="E22" s="1289"/>
      <c r="F22" s="1289"/>
      <c r="G22" s="1289"/>
      <c r="H22" s="1289"/>
      <c r="I22" s="1289"/>
      <c r="J22" s="2670"/>
      <c r="K22" s="2670"/>
      <c r="L22" s="2670"/>
      <c r="M22" s="2670"/>
      <c r="N22" s="1289"/>
    </row>
    <row r="23" spans="1:14" x14ac:dyDescent="0.25">
      <c r="A23" s="1112"/>
      <c r="B23" s="1112"/>
      <c r="C23" s="1112"/>
      <c r="D23" s="1112"/>
      <c r="E23" s="1289"/>
      <c r="F23" s="1289"/>
      <c r="G23" s="1289"/>
      <c r="H23" s="1289"/>
      <c r="J23" s="1817"/>
      <c r="K23" s="1817"/>
      <c r="L23" s="1817"/>
      <c r="M23" s="1817"/>
    </row>
    <row r="24" spans="1:14" x14ac:dyDescent="0.25">
      <c r="A24" s="1112"/>
      <c r="B24" s="1112"/>
      <c r="C24" s="1112"/>
      <c r="D24" s="1112"/>
      <c r="J24" s="1818" t="s">
        <v>1209</v>
      </c>
      <c r="K24" s="1818" t="s">
        <v>1209</v>
      </c>
      <c r="L24" s="1818" t="s">
        <v>1209</v>
      </c>
    </row>
    <row r="25" spans="1:14" x14ac:dyDescent="0.25">
      <c r="A25" s="1819"/>
      <c r="B25" s="1819"/>
      <c r="C25" s="1819"/>
      <c r="D25" s="1112"/>
      <c r="J25" s="1820">
        <v>93.7</v>
      </c>
      <c r="K25" s="1820">
        <v>93.7</v>
      </c>
      <c r="L25" s="1820">
        <v>93.7</v>
      </c>
    </row>
    <row r="26" spans="1:14" x14ac:dyDescent="0.25">
      <c r="A26" s="778"/>
      <c r="B26" s="1819"/>
      <c r="C26" s="1819"/>
      <c r="D26" s="1112"/>
      <c r="J26" s="1821">
        <f>J25-J18</f>
        <v>0</v>
      </c>
      <c r="K26" s="1821">
        <f t="shared" ref="K26:L26" si="1">K25-K18</f>
        <v>0</v>
      </c>
      <c r="L26" s="1821">
        <f t="shared" si="1"/>
        <v>0</v>
      </c>
      <c r="M26" s="1821">
        <f t="shared" ref="M26" si="2">M25-M19</f>
        <v>0</v>
      </c>
    </row>
    <row r="27" spans="1:14" x14ac:dyDescent="0.25">
      <c r="A27" s="1112"/>
      <c r="B27" s="1112"/>
      <c r="C27" s="1112"/>
      <c r="D27" s="1112"/>
      <c r="E27" s="1289"/>
      <c r="F27" s="1289"/>
      <c r="G27" s="1289"/>
      <c r="H27" s="1289"/>
      <c r="J27" s="1817"/>
      <c r="K27" s="1817"/>
      <c r="L27" s="1817"/>
      <c r="M27" s="1817"/>
    </row>
    <row r="28" spans="1:14" x14ac:dyDescent="0.25">
      <c r="A28" s="1112"/>
      <c r="B28" s="1112"/>
      <c r="C28" s="1112"/>
      <c r="D28" s="1112"/>
    </row>
    <row r="29" spans="1:14" x14ac:dyDescent="0.25">
      <c r="A29" s="1819"/>
      <c r="B29" s="1819"/>
      <c r="C29" s="1819"/>
      <c r="D29" s="1112"/>
    </row>
    <row r="30" spans="1:14" x14ac:dyDescent="0.25">
      <c r="A30" s="778"/>
      <c r="B30" s="1819"/>
      <c r="C30" s="1819"/>
      <c r="D30" s="1112"/>
    </row>
  </sheetData>
  <mergeCells count="21">
    <mergeCell ref="H6:M6"/>
    <mergeCell ref="H1:M1"/>
    <mergeCell ref="H2:M2"/>
    <mergeCell ref="H3:M3"/>
    <mergeCell ref="H4:M4"/>
    <mergeCell ref="H5:M5"/>
    <mergeCell ref="H7:M7"/>
    <mergeCell ref="H8:M8"/>
    <mergeCell ref="H9:M9"/>
    <mergeCell ref="H10:M10"/>
    <mergeCell ref="A12:M12"/>
    <mergeCell ref="G14:H14"/>
    <mergeCell ref="I14:L14"/>
    <mergeCell ref="M14:M15"/>
    <mergeCell ref="A18:D18"/>
    <mergeCell ref="J22:M22"/>
    <mergeCell ref="A14:A15"/>
    <mergeCell ref="B14:B15"/>
    <mergeCell ref="C14:C15"/>
    <mergeCell ref="D14:D15"/>
    <mergeCell ref="E14:F14"/>
  </mergeCells>
  <pageMargins left="0.23622047244094491" right="0.23622047244094491" top="0.74803149606299213" bottom="0.74803149606299213" header="0.31496062992125984" footer="0.31496062992125984"/>
  <pageSetup paperSize="9" scale="84" fitToHeight="0" orientation="landscape"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sheetPr>
  <dimension ref="B1:X56"/>
  <sheetViews>
    <sheetView view="pageBreakPreview" zoomScale="70" zoomScaleNormal="90" zoomScaleSheetLayoutView="70" workbookViewId="0">
      <pane xSplit="4" ySplit="9" topLeftCell="N16" activePane="bottomRight" state="frozen"/>
      <selection activeCell="V27" sqref="V27"/>
      <selection pane="topRight" activeCell="V27" sqref="V27"/>
      <selection pane="bottomLeft" activeCell="V27" sqref="V27"/>
      <selection pane="bottomRight" activeCell="AG22" sqref="AG22"/>
    </sheetView>
  </sheetViews>
  <sheetFormatPr defaultRowHeight="12.75" x14ac:dyDescent="0.2"/>
  <cols>
    <col min="1" max="1" width="3.1640625" style="1609" customWidth="1"/>
    <col min="2" max="2" width="7.6640625" style="353" bestFit="1" customWidth="1"/>
    <col min="3" max="3" width="31.5" style="353" customWidth="1"/>
    <col min="4" max="4" width="13.33203125" style="353" bestFit="1" customWidth="1"/>
    <col min="5" max="5" width="10.1640625" style="353" hidden="1" customWidth="1"/>
    <col min="6" max="6" width="13" style="353" hidden="1" customWidth="1"/>
    <col min="7" max="7" width="10.6640625" style="353" hidden="1" customWidth="1"/>
    <col min="8" max="8" width="10.1640625" style="353" hidden="1" customWidth="1"/>
    <col min="9" max="9" width="13" style="353" hidden="1" customWidth="1"/>
    <col min="10" max="10" width="9.83203125" style="362" hidden="1" customWidth="1"/>
    <col min="11" max="11" width="10.1640625" style="353" hidden="1" customWidth="1"/>
    <col min="12" max="12" width="13" style="353" hidden="1" customWidth="1"/>
    <col min="13" max="13" width="10" style="353" hidden="1" customWidth="1"/>
    <col min="14" max="14" width="10.1640625" style="353" bestFit="1" customWidth="1"/>
    <col min="15" max="15" width="13" style="353" bestFit="1" customWidth="1"/>
    <col min="16" max="16" width="10.1640625" style="353" bestFit="1" customWidth="1"/>
    <col min="17" max="17" width="9.1640625" style="353" customWidth="1"/>
    <col min="18" max="18" width="10.1640625" style="353" bestFit="1" customWidth="1"/>
    <col min="19" max="19" width="13" style="353" bestFit="1" customWidth="1"/>
    <col min="20" max="21" width="10.1640625" style="353" bestFit="1" customWidth="1"/>
    <col min="22" max="22" width="13" style="353" bestFit="1" customWidth="1"/>
    <col min="23" max="23" width="13.83203125" style="353" customWidth="1"/>
    <col min="24" max="24" width="9.83203125" style="1609" bestFit="1" customWidth="1"/>
    <col min="25" max="256" width="9.33203125" style="1609"/>
    <col min="257" max="257" width="3.1640625" style="1609" customWidth="1"/>
    <col min="258" max="258" width="7.6640625" style="1609" bestFit="1" customWidth="1"/>
    <col min="259" max="259" width="31.5" style="1609" customWidth="1"/>
    <col min="260" max="260" width="13.33203125" style="1609" bestFit="1" customWidth="1"/>
    <col min="261" max="269" width="0" style="1609" hidden="1" customWidth="1"/>
    <col min="270" max="270" width="10.1640625" style="1609" bestFit="1" customWidth="1"/>
    <col min="271" max="271" width="13" style="1609" bestFit="1" customWidth="1"/>
    <col min="272" max="272" width="10.1640625" style="1609" bestFit="1" customWidth="1"/>
    <col min="273" max="273" width="9.1640625" style="1609" customWidth="1"/>
    <col min="274" max="274" width="10.1640625" style="1609" bestFit="1" customWidth="1"/>
    <col min="275" max="275" width="13" style="1609" bestFit="1" customWidth="1"/>
    <col min="276" max="277" width="10.1640625" style="1609" bestFit="1" customWidth="1"/>
    <col min="278" max="278" width="13" style="1609" bestFit="1" customWidth="1"/>
    <col min="279" max="279" width="10.1640625" style="1609" bestFit="1" customWidth="1"/>
    <col min="280" max="280" width="9.83203125" style="1609" bestFit="1" customWidth="1"/>
    <col min="281" max="512" width="9.33203125" style="1609"/>
    <col min="513" max="513" width="3.1640625" style="1609" customWidth="1"/>
    <col min="514" max="514" width="7.6640625" style="1609" bestFit="1" customWidth="1"/>
    <col min="515" max="515" width="31.5" style="1609" customWidth="1"/>
    <col min="516" max="516" width="13.33203125" style="1609" bestFit="1" customWidth="1"/>
    <col min="517" max="525" width="0" style="1609" hidden="1" customWidth="1"/>
    <col min="526" max="526" width="10.1640625" style="1609" bestFit="1" customWidth="1"/>
    <col min="527" max="527" width="13" style="1609" bestFit="1" customWidth="1"/>
    <col min="528" max="528" width="10.1640625" style="1609" bestFit="1" customWidth="1"/>
    <col min="529" max="529" width="9.1640625" style="1609" customWidth="1"/>
    <col min="530" max="530" width="10.1640625" style="1609" bestFit="1" customWidth="1"/>
    <col min="531" max="531" width="13" style="1609" bestFit="1" customWidth="1"/>
    <col min="532" max="533" width="10.1640625" style="1609" bestFit="1" customWidth="1"/>
    <col min="534" max="534" width="13" style="1609" bestFit="1" customWidth="1"/>
    <col min="535" max="535" width="10.1640625" style="1609" bestFit="1" customWidth="1"/>
    <col min="536" max="536" width="9.83203125" style="1609" bestFit="1" customWidth="1"/>
    <col min="537" max="768" width="9.33203125" style="1609"/>
    <col min="769" max="769" width="3.1640625" style="1609" customWidth="1"/>
    <col min="770" max="770" width="7.6640625" style="1609" bestFit="1" customWidth="1"/>
    <col min="771" max="771" width="31.5" style="1609" customWidth="1"/>
    <col min="772" max="772" width="13.33203125" style="1609" bestFit="1" customWidth="1"/>
    <col min="773" max="781" width="0" style="1609" hidden="1" customWidth="1"/>
    <col min="782" max="782" width="10.1640625" style="1609" bestFit="1" customWidth="1"/>
    <col min="783" max="783" width="13" style="1609" bestFit="1" customWidth="1"/>
    <col min="784" max="784" width="10.1640625" style="1609" bestFit="1" customWidth="1"/>
    <col min="785" max="785" width="9.1640625" style="1609" customWidth="1"/>
    <col min="786" max="786" width="10.1640625" style="1609" bestFit="1" customWidth="1"/>
    <col min="787" max="787" width="13" style="1609" bestFit="1" customWidth="1"/>
    <col min="788" max="789" width="10.1640625" style="1609" bestFit="1" customWidth="1"/>
    <col min="790" max="790" width="13" style="1609" bestFit="1" customWidth="1"/>
    <col min="791" max="791" width="10.1640625" style="1609" bestFit="1" customWidth="1"/>
    <col min="792" max="792" width="9.83203125" style="1609" bestFit="1" customWidth="1"/>
    <col min="793" max="1024" width="9.33203125" style="1609"/>
    <col min="1025" max="1025" width="3.1640625" style="1609" customWidth="1"/>
    <col min="1026" max="1026" width="7.6640625" style="1609" bestFit="1" customWidth="1"/>
    <col min="1027" max="1027" width="31.5" style="1609" customWidth="1"/>
    <col min="1028" max="1028" width="13.33203125" style="1609" bestFit="1" customWidth="1"/>
    <col min="1029" max="1037" width="0" style="1609" hidden="1" customWidth="1"/>
    <col min="1038" max="1038" width="10.1640625" style="1609" bestFit="1" customWidth="1"/>
    <col min="1039" max="1039" width="13" style="1609" bestFit="1" customWidth="1"/>
    <col min="1040" max="1040" width="10.1640625" style="1609" bestFit="1" customWidth="1"/>
    <col min="1041" max="1041" width="9.1640625" style="1609" customWidth="1"/>
    <col min="1042" max="1042" width="10.1640625" style="1609" bestFit="1" customWidth="1"/>
    <col min="1043" max="1043" width="13" style="1609" bestFit="1" customWidth="1"/>
    <col min="1044" max="1045" width="10.1640625" style="1609" bestFit="1" customWidth="1"/>
    <col min="1046" max="1046" width="13" style="1609" bestFit="1" customWidth="1"/>
    <col min="1047" max="1047" width="10.1640625" style="1609" bestFit="1" customWidth="1"/>
    <col min="1048" max="1048" width="9.83203125" style="1609" bestFit="1" customWidth="1"/>
    <col min="1049" max="1280" width="9.33203125" style="1609"/>
    <col min="1281" max="1281" width="3.1640625" style="1609" customWidth="1"/>
    <col min="1282" max="1282" width="7.6640625" style="1609" bestFit="1" customWidth="1"/>
    <col min="1283" max="1283" width="31.5" style="1609" customWidth="1"/>
    <col min="1284" max="1284" width="13.33203125" style="1609" bestFit="1" customWidth="1"/>
    <col min="1285" max="1293" width="0" style="1609" hidden="1" customWidth="1"/>
    <col min="1294" max="1294" width="10.1640625" style="1609" bestFit="1" customWidth="1"/>
    <col min="1295" max="1295" width="13" style="1609" bestFit="1" customWidth="1"/>
    <col min="1296" max="1296" width="10.1640625" style="1609" bestFit="1" customWidth="1"/>
    <col min="1297" max="1297" width="9.1640625" style="1609" customWidth="1"/>
    <col min="1298" max="1298" width="10.1640625" style="1609" bestFit="1" customWidth="1"/>
    <col min="1299" max="1299" width="13" style="1609" bestFit="1" customWidth="1"/>
    <col min="1300" max="1301" width="10.1640625" style="1609" bestFit="1" customWidth="1"/>
    <col min="1302" max="1302" width="13" style="1609" bestFit="1" customWidth="1"/>
    <col min="1303" max="1303" width="10.1640625" style="1609" bestFit="1" customWidth="1"/>
    <col min="1304" max="1304" width="9.83203125" style="1609" bestFit="1" customWidth="1"/>
    <col min="1305" max="1536" width="9.33203125" style="1609"/>
    <col min="1537" max="1537" width="3.1640625" style="1609" customWidth="1"/>
    <col min="1538" max="1538" width="7.6640625" style="1609" bestFit="1" customWidth="1"/>
    <col min="1539" max="1539" width="31.5" style="1609" customWidth="1"/>
    <col min="1540" max="1540" width="13.33203125" style="1609" bestFit="1" customWidth="1"/>
    <col min="1541" max="1549" width="0" style="1609" hidden="1" customWidth="1"/>
    <col min="1550" max="1550" width="10.1640625" style="1609" bestFit="1" customWidth="1"/>
    <col min="1551" max="1551" width="13" style="1609" bestFit="1" customWidth="1"/>
    <col min="1552" max="1552" width="10.1640625" style="1609" bestFit="1" customWidth="1"/>
    <col min="1553" max="1553" width="9.1640625" style="1609" customWidth="1"/>
    <col min="1554" max="1554" width="10.1640625" style="1609" bestFit="1" customWidth="1"/>
    <col min="1555" max="1555" width="13" style="1609" bestFit="1" customWidth="1"/>
    <col min="1556" max="1557" width="10.1640625" style="1609" bestFit="1" customWidth="1"/>
    <col min="1558" max="1558" width="13" style="1609" bestFit="1" customWidth="1"/>
    <col min="1559" max="1559" width="10.1640625" style="1609" bestFit="1" customWidth="1"/>
    <col min="1560" max="1560" width="9.83203125" style="1609" bestFit="1" customWidth="1"/>
    <col min="1561" max="1792" width="9.33203125" style="1609"/>
    <col min="1793" max="1793" width="3.1640625" style="1609" customWidth="1"/>
    <col min="1794" max="1794" width="7.6640625" style="1609" bestFit="1" customWidth="1"/>
    <col min="1795" max="1795" width="31.5" style="1609" customWidth="1"/>
    <col min="1796" max="1796" width="13.33203125" style="1609" bestFit="1" customWidth="1"/>
    <col min="1797" max="1805" width="0" style="1609" hidden="1" customWidth="1"/>
    <col min="1806" max="1806" width="10.1640625" style="1609" bestFit="1" customWidth="1"/>
    <col min="1807" max="1807" width="13" style="1609" bestFit="1" customWidth="1"/>
    <col min="1808" max="1808" width="10.1640625" style="1609" bestFit="1" customWidth="1"/>
    <col min="1809" max="1809" width="9.1640625" style="1609" customWidth="1"/>
    <col min="1810" max="1810" width="10.1640625" style="1609" bestFit="1" customWidth="1"/>
    <col min="1811" max="1811" width="13" style="1609" bestFit="1" customWidth="1"/>
    <col min="1812" max="1813" width="10.1640625" style="1609" bestFit="1" customWidth="1"/>
    <col min="1814" max="1814" width="13" style="1609" bestFit="1" customWidth="1"/>
    <col min="1815" max="1815" width="10.1640625" style="1609" bestFit="1" customWidth="1"/>
    <col min="1816" max="1816" width="9.83203125" style="1609" bestFit="1" customWidth="1"/>
    <col min="1817" max="2048" width="9.33203125" style="1609"/>
    <col min="2049" max="2049" width="3.1640625" style="1609" customWidth="1"/>
    <col min="2050" max="2050" width="7.6640625" style="1609" bestFit="1" customWidth="1"/>
    <col min="2051" max="2051" width="31.5" style="1609" customWidth="1"/>
    <col min="2052" max="2052" width="13.33203125" style="1609" bestFit="1" customWidth="1"/>
    <col min="2053" max="2061" width="0" style="1609" hidden="1" customWidth="1"/>
    <col min="2062" max="2062" width="10.1640625" style="1609" bestFit="1" customWidth="1"/>
    <col min="2063" max="2063" width="13" style="1609" bestFit="1" customWidth="1"/>
    <col min="2064" max="2064" width="10.1640625" style="1609" bestFit="1" customWidth="1"/>
    <col min="2065" max="2065" width="9.1640625" style="1609" customWidth="1"/>
    <col min="2066" max="2066" width="10.1640625" style="1609" bestFit="1" customWidth="1"/>
    <col min="2067" max="2067" width="13" style="1609" bestFit="1" customWidth="1"/>
    <col min="2068" max="2069" width="10.1640625" style="1609" bestFit="1" customWidth="1"/>
    <col min="2070" max="2070" width="13" style="1609" bestFit="1" customWidth="1"/>
    <col min="2071" max="2071" width="10.1640625" style="1609" bestFit="1" customWidth="1"/>
    <col min="2072" max="2072" width="9.83203125" style="1609" bestFit="1" customWidth="1"/>
    <col min="2073" max="2304" width="9.33203125" style="1609"/>
    <col min="2305" max="2305" width="3.1640625" style="1609" customWidth="1"/>
    <col min="2306" max="2306" width="7.6640625" style="1609" bestFit="1" customWidth="1"/>
    <col min="2307" max="2307" width="31.5" style="1609" customWidth="1"/>
    <col min="2308" max="2308" width="13.33203125" style="1609" bestFit="1" customWidth="1"/>
    <col min="2309" max="2317" width="0" style="1609" hidden="1" customWidth="1"/>
    <col min="2318" max="2318" width="10.1640625" style="1609" bestFit="1" customWidth="1"/>
    <col min="2319" max="2319" width="13" style="1609" bestFit="1" customWidth="1"/>
    <col min="2320" max="2320" width="10.1640625" style="1609" bestFit="1" customWidth="1"/>
    <col min="2321" max="2321" width="9.1640625" style="1609" customWidth="1"/>
    <col min="2322" max="2322" width="10.1640625" style="1609" bestFit="1" customWidth="1"/>
    <col min="2323" max="2323" width="13" style="1609" bestFit="1" customWidth="1"/>
    <col min="2324" max="2325" width="10.1640625" style="1609" bestFit="1" customWidth="1"/>
    <col min="2326" max="2326" width="13" style="1609" bestFit="1" customWidth="1"/>
    <col min="2327" max="2327" width="10.1640625" style="1609" bestFit="1" customWidth="1"/>
    <col min="2328" max="2328" width="9.83203125" style="1609" bestFit="1" customWidth="1"/>
    <col min="2329" max="2560" width="9.33203125" style="1609"/>
    <col min="2561" max="2561" width="3.1640625" style="1609" customWidth="1"/>
    <col min="2562" max="2562" width="7.6640625" style="1609" bestFit="1" customWidth="1"/>
    <col min="2563" max="2563" width="31.5" style="1609" customWidth="1"/>
    <col min="2564" max="2564" width="13.33203125" style="1609" bestFit="1" customWidth="1"/>
    <col min="2565" max="2573" width="0" style="1609" hidden="1" customWidth="1"/>
    <col min="2574" max="2574" width="10.1640625" style="1609" bestFit="1" customWidth="1"/>
    <col min="2575" max="2575" width="13" style="1609" bestFit="1" customWidth="1"/>
    <col min="2576" max="2576" width="10.1640625" style="1609" bestFit="1" customWidth="1"/>
    <col min="2577" max="2577" width="9.1640625" style="1609" customWidth="1"/>
    <col min="2578" max="2578" width="10.1640625" style="1609" bestFit="1" customWidth="1"/>
    <col min="2579" max="2579" width="13" style="1609" bestFit="1" customWidth="1"/>
    <col min="2580" max="2581" width="10.1640625" style="1609" bestFit="1" customWidth="1"/>
    <col min="2582" max="2582" width="13" style="1609" bestFit="1" customWidth="1"/>
    <col min="2583" max="2583" width="10.1640625" style="1609" bestFit="1" customWidth="1"/>
    <col min="2584" max="2584" width="9.83203125" style="1609" bestFit="1" customWidth="1"/>
    <col min="2585" max="2816" width="9.33203125" style="1609"/>
    <col min="2817" max="2817" width="3.1640625" style="1609" customWidth="1"/>
    <col min="2818" max="2818" width="7.6640625" style="1609" bestFit="1" customWidth="1"/>
    <col min="2819" max="2819" width="31.5" style="1609" customWidth="1"/>
    <col min="2820" max="2820" width="13.33203125" style="1609" bestFit="1" customWidth="1"/>
    <col min="2821" max="2829" width="0" style="1609" hidden="1" customWidth="1"/>
    <col min="2830" max="2830" width="10.1640625" style="1609" bestFit="1" customWidth="1"/>
    <col min="2831" max="2831" width="13" style="1609" bestFit="1" customWidth="1"/>
    <col min="2832" max="2832" width="10.1640625" style="1609" bestFit="1" customWidth="1"/>
    <col min="2833" max="2833" width="9.1640625" style="1609" customWidth="1"/>
    <col min="2834" max="2834" width="10.1640625" style="1609" bestFit="1" customWidth="1"/>
    <col min="2835" max="2835" width="13" style="1609" bestFit="1" customWidth="1"/>
    <col min="2836" max="2837" width="10.1640625" style="1609" bestFit="1" customWidth="1"/>
    <col min="2838" max="2838" width="13" style="1609" bestFit="1" customWidth="1"/>
    <col min="2839" max="2839" width="10.1640625" style="1609" bestFit="1" customWidth="1"/>
    <col min="2840" max="2840" width="9.83203125" style="1609" bestFit="1" customWidth="1"/>
    <col min="2841" max="3072" width="9.33203125" style="1609"/>
    <col min="3073" max="3073" width="3.1640625" style="1609" customWidth="1"/>
    <col min="3074" max="3074" width="7.6640625" style="1609" bestFit="1" customWidth="1"/>
    <col min="3075" max="3075" width="31.5" style="1609" customWidth="1"/>
    <col min="3076" max="3076" width="13.33203125" style="1609" bestFit="1" customWidth="1"/>
    <col min="3077" max="3085" width="0" style="1609" hidden="1" customWidth="1"/>
    <col min="3086" max="3086" width="10.1640625" style="1609" bestFit="1" customWidth="1"/>
    <col min="3087" max="3087" width="13" style="1609" bestFit="1" customWidth="1"/>
    <col min="3088" max="3088" width="10.1640625" style="1609" bestFit="1" customWidth="1"/>
    <col min="3089" max="3089" width="9.1640625" style="1609" customWidth="1"/>
    <col min="3090" max="3090" width="10.1640625" style="1609" bestFit="1" customWidth="1"/>
    <col min="3091" max="3091" width="13" style="1609" bestFit="1" customWidth="1"/>
    <col min="3092" max="3093" width="10.1640625" style="1609" bestFit="1" customWidth="1"/>
    <col min="3094" max="3094" width="13" style="1609" bestFit="1" customWidth="1"/>
    <col min="3095" max="3095" width="10.1640625" style="1609" bestFit="1" customWidth="1"/>
    <col min="3096" max="3096" width="9.83203125" style="1609" bestFit="1" customWidth="1"/>
    <col min="3097" max="3328" width="9.33203125" style="1609"/>
    <col min="3329" max="3329" width="3.1640625" style="1609" customWidth="1"/>
    <col min="3330" max="3330" width="7.6640625" style="1609" bestFit="1" customWidth="1"/>
    <col min="3331" max="3331" width="31.5" style="1609" customWidth="1"/>
    <col min="3332" max="3332" width="13.33203125" style="1609" bestFit="1" customWidth="1"/>
    <col min="3333" max="3341" width="0" style="1609" hidden="1" customWidth="1"/>
    <col min="3342" max="3342" width="10.1640625" style="1609" bestFit="1" customWidth="1"/>
    <col min="3343" max="3343" width="13" style="1609" bestFit="1" customWidth="1"/>
    <col min="3344" max="3344" width="10.1640625" style="1609" bestFit="1" customWidth="1"/>
    <col min="3345" max="3345" width="9.1640625" style="1609" customWidth="1"/>
    <col min="3346" max="3346" width="10.1640625" style="1609" bestFit="1" customWidth="1"/>
    <col min="3347" max="3347" width="13" style="1609" bestFit="1" customWidth="1"/>
    <col min="3348" max="3349" width="10.1640625" style="1609" bestFit="1" customWidth="1"/>
    <col min="3350" max="3350" width="13" style="1609" bestFit="1" customWidth="1"/>
    <col min="3351" max="3351" width="10.1640625" style="1609" bestFit="1" customWidth="1"/>
    <col min="3352" max="3352" width="9.83203125" style="1609" bestFit="1" customWidth="1"/>
    <col min="3353" max="3584" width="9.33203125" style="1609"/>
    <col min="3585" max="3585" width="3.1640625" style="1609" customWidth="1"/>
    <col min="3586" max="3586" width="7.6640625" style="1609" bestFit="1" customWidth="1"/>
    <col min="3587" max="3587" width="31.5" style="1609" customWidth="1"/>
    <col min="3588" max="3588" width="13.33203125" style="1609" bestFit="1" customWidth="1"/>
    <col min="3589" max="3597" width="0" style="1609" hidden="1" customWidth="1"/>
    <col min="3598" max="3598" width="10.1640625" style="1609" bestFit="1" customWidth="1"/>
    <col min="3599" max="3599" width="13" style="1609" bestFit="1" customWidth="1"/>
    <col min="3600" max="3600" width="10.1640625" style="1609" bestFit="1" customWidth="1"/>
    <col min="3601" max="3601" width="9.1640625" style="1609" customWidth="1"/>
    <col min="3602" max="3602" width="10.1640625" style="1609" bestFit="1" customWidth="1"/>
    <col min="3603" max="3603" width="13" style="1609" bestFit="1" customWidth="1"/>
    <col min="3604" max="3605" width="10.1640625" style="1609" bestFit="1" customWidth="1"/>
    <col min="3606" max="3606" width="13" style="1609" bestFit="1" customWidth="1"/>
    <col min="3607" max="3607" width="10.1640625" style="1609" bestFit="1" customWidth="1"/>
    <col min="3608" max="3608" width="9.83203125" style="1609" bestFit="1" customWidth="1"/>
    <col min="3609" max="3840" width="9.33203125" style="1609"/>
    <col min="3841" max="3841" width="3.1640625" style="1609" customWidth="1"/>
    <col min="3842" max="3842" width="7.6640625" style="1609" bestFit="1" customWidth="1"/>
    <col min="3843" max="3843" width="31.5" style="1609" customWidth="1"/>
    <col min="3844" max="3844" width="13.33203125" style="1609" bestFit="1" customWidth="1"/>
    <col min="3845" max="3853" width="0" style="1609" hidden="1" customWidth="1"/>
    <col min="3854" max="3854" width="10.1640625" style="1609" bestFit="1" customWidth="1"/>
    <col min="3855" max="3855" width="13" style="1609" bestFit="1" customWidth="1"/>
    <col min="3856" max="3856" width="10.1640625" style="1609" bestFit="1" customWidth="1"/>
    <col min="3857" max="3857" width="9.1640625" style="1609" customWidth="1"/>
    <col min="3858" max="3858" width="10.1640625" style="1609" bestFit="1" customWidth="1"/>
    <col min="3859" max="3859" width="13" style="1609" bestFit="1" customWidth="1"/>
    <col min="3860" max="3861" width="10.1640625" style="1609" bestFit="1" customWidth="1"/>
    <col min="3862" max="3862" width="13" style="1609" bestFit="1" customWidth="1"/>
    <col min="3863" max="3863" width="10.1640625" style="1609" bestFit="1" customWidth="1"/>
    <col min="3864" max="3864" width="9.83203125" style="1609" bestFit="1" customWidth="1"/>
    <col min="3865" max="4096" width="9.33203125" style="1609"/>
    <col min="4097" max="4097" width="3.1640625" style="1609" customWidth="1"/>
    <col min="4098" max="4098" width="7.6640625" style="1609" bestFit="1" customWidth="1"/>
    <col min="4099" max="4099" width="31.5" style="1609" customWidth="1"/>
    <col min="4100" max="4100" width="13.33203125" style="1609" bestFit="1" customWidth="1"/>
    <col min="4101" max="4109" width="0" style="1609" hidden="1" customWidth="1"/>
    <col min="4110" max="4110" width="10.1640625" style="1609" bestFit="1" customWidth="1"/>
    <col min="4111" max="4111" width="13" style="1609" bestFit="1" customWidth="1"/>
    <col min="4112" max="4112" width="10.1640625" style="1609" bestFit="1" customWidth="1"/>
    <col min="4113" max="4113" width="9.1640625" style="1609" customWidth="1"/>
    <col min="4114" max="4114" width="10.1640625" style="1609" bestFit="1" customWidth="1"/>
    <col min="4115" max="4115" width="13" style="1609" bestFit="1" customWidth="1"/>
    <col min="4116" max="4117" width="10.1640625" style="1609" bestFit="1" customWidth="1"/>
    <col min="4118" max="4118" width="13" style="1609" bestFit="1" customWidth="1"/>
    <col min="4119" max="4119" width="10.1640625" style="1609" bestFit="1" customWidth="1"/>
    <col min="4120" max="4120" width="9.83203125" style="1609" bestFit="1" customWidth="1"/>
    <col min="4121" max="4352" width="9.33203125" style="1609"/>
    <col min="4353" max="4353" width="3.1640625" style="1609" customWidth="1"/>
    <col min="4354" max="4354" width="7.6640625" style="1609" bestFit="1" customWidth="1"/>
    <col min="4355" max="4355" width="31.5" style="1609" customWidth="1"/>
    <col min="4356" max="4356" width="13.33203125" style="1609" bestFit="1" customWidth="1"/>
    <col min="4357" max="4365" width="0" style="1609" hidden="1" customWidth="1"/>
    <col min="4366" max="4366" width="10.1640625" style="1609" bestFit="1" customWidth="1"/>
    <col min="4367" max="4367" width="13" style="1609" bestFit="1" customWidth="1"/>
    <col min="4368" max="4368" width="10.1640625" style="1609" bestFit="1" customWidth="1"/>
    <col min="4369" max="4369" width="9.1640625" style="1609" customWidth="1"/>
    <col min="4370" max="4370" width="10.1640625" style="1609" bestFit="1" customWidth="1"/>
    <col min="4371" max="4371" width="13" style="1609" bestFit="1" customWidth="1"/>
    <col min="4372" max="4373" width="10.1640625" style="1609" bestFit="1" customWidth="1"/>
    <col min="4374" max="4374" width="13" style="1609" bestFit="1" customWidth="1"/>
    <col min="4375" max="4375" width="10.1640625" style="1609" bestFit="1" customWidth="1"/>
    <col min="4376" max="4376" width="9.83203125" style="1609" bestFit="1" customWidth="1"/>
    <col min="4377" max="4608" width="9.33203125" style="1609"/>
    <col min="4609" max="4609" width="3.1640625" style="1609" customWidth="1"/>
    <col min="4610" max="4610" width="7.6640625" style="1609" bestFit="1" customWidth="1"/>
    <col min="4611" max="4611" width="31.5" style="1609" customWidth="1"/>
    <col min="4612" max="4612" width="13.33203125" style="1609" bestFit="1" customWidth="1"/>
    <col min="4613" max="4621" width="0" style="1609" hidden="1" customWidth="1"/>
    <col min="4622" max="4622" width="10.1640625" style="1609" bestFit="1" customWidth="1"/>
    <col min="4623" max="4623" width="13" style="1609" bestFit="1" customWidth="1"/>
    <col min="4624" max="4624" width="10.1640625" style="1609" bestFit="1" customWidth="1"/>
    <col min="4625" max="4625" width="9.1640625" style="1609" customWidth="1"/>
    <col min="4626" max="4626" width="10.1640625" style="1609" bestFit="1" customWidth="1"/>
    <col min="4627" max="4627" width="13" style="1609" bestFit="1" customWidth="1"/>
    <col min="4628" max="4629" width="10.1640625" style="1609" bestFit="1" customWidth="1"/>
    <col min="4630" max="4630" width="13" style="1609" bestFit="1" customWidth="1"/>
    <col min="4631" max="4631" width="10.1640625" style="1609" bestFit="1" customWidth="1"/>
    <col min="4632" max="4632" width="9.83203125" style="1609" bestFit="1" customWidth="1"/>
    <col min="4633" max="4864" width="9.33203125" style="1609"/>
    <col min="4865" max="4865" width="3.1640625" style="1609" customWidth="1"/>
    <col min="4866" max="4866" width="7.6640625" style="1609" bestFit="1" customWidth="1"/>
    <col min="4867" max="4867" width="31.5" style="1609" customWidth="1"/>
    <col min="4868" max="4868" width="13.33203125" style="1609" bestFit="1" customWidth="1"/>
    <col min="4869" max="4877" width="0" style="1609" hidden="1" customWidth="1"/>
    <col min="4878" max="4878" width="10.1640625" style="1609" bestFit="1" customWidth="1"/>
    <col min="4879" max="4879" width="13" style="1609" bestFit="1" customWidth="1"/>
    <col min="4880" max="4880" width="10.1640625" style="1609" bestFit="1" customWidth="1"/>
    <col min="4881" max="4881" width="9.1640625" style="1609" customWidth="1"/>
    <col min="4882" max="4882" width="10.1640625" style="1609" bestFit="1" customWidth="1"/>
    <col min="4883" max="4883" width="13" style="1609" bestFit="1" customWidth="1"/>
    <col min="4884" max="4885" width="10.1640625" style="1609" bestFit="1" customWidth="1"/>
    <col min="4886" max="4886" width="13" style="1609" bestFit="1" customWidth="1"/>
    <col min="4887" max="4887" width="10.1640625" style="1609" bestFit="1" customWidth="1"/>
    <col min="4888" max="4888" width="9.83203125" style="1609" bestFit="1" customWidth="1"/>
    <col min="4889" max="5120" width="9.33203125" style="1609"/>
    <col min="5121" max="5121" width="3.1640625" style="1609" customWidth="1"/>
    <col min="5122" max="5122" width="7.6640625" style="1609" bestFit="1" customWidth="1"/>
    <col min="5123" max="5123" width="31.5" style="1609" customWidth="1"/>
    <col min="5124" max="5124" width="13.33203125" style="1609" bestFit="1" customWidth="1"/>
    <col min="5125" max="5133" width="0" style="1609" hidden="1" customWidth="1"/>
    <col min="5134" max="5134" width="10.1640625" style="1609" bestFit="1" customWidth="1"/>
    <col min="5135" max="5135" width="13" style="1609" bestFit="1" customWidth="1"/>
    <col min="5136" max="5136" width="10.1640625" style="1609" bestFit="1" customWidth="1"/>
    <col min="5137" max="5137" width="9.1640625" style="1609" customWidth="1"/>
    <col min="5138" max="5138" width="10.1640625" style="1609" bestFit="1" customWidth="1"/>
    <col min="5139" max="5139" width="13" style="1609" bestFit="1" customWidth="1"/>
    <col min="5140" max="5141" width="10.1640625" style="1609" bestFit="1" customWidth="1"/>
    <col min="5142" max="5142" width="13" style="1609" bestFit="1" customWidth="1"/>
    <col min="5143" max="5143" width="10.1640625" style="1609" bestFit="1" customWidth="1"/>
    <col min="5144" max="5144" width="9.83203125" style="1609" bestFit="1" customWidth="1"/>
    <col min="5145" max="5376" width="9.33203125" style="1609"/>
    <col min="5377" max="5377" width="3.1640625" style="1609" customWidth="1"/>
    <col min="5378" max="5378" width="7.6640625" style="1609" bestFit="1" customWidth="1"/>
    <col min="5379" max="5379" width="31.5" style="1609" customWidth="1"/>
    <col min="5380" max="5380" width="13.33203125" style="1609" bestFit="1" customWidth="1"/>
    <col min="5381" max="5389" width="0" style="1609" hidden="1" customWidth="1"/>
    <col min="5390" max="5390" width="10.1640625" style="1609" bestFit="1" customWidth="1"/>
    <col min="5391" max="5391" width="13" style="1609" bestFit="1" customWidth="1"/>
    <col min="5392" max="5392" width="10.1640625" style="1609" bestFit="1" customWidth="1"/>
    <col min="5393" max="5393" width="9.1640625" style="1609" customWidth="1"/>
    <col min="5394" max="5394" width="10.1640625" style="1609" bestFit="1" customWidth="1"/>
    <col min="5395" max="5395" width="13" style="1609" bestFit="1" customWidth="1"/>
    <col min="5396" max="5397" width="10.1640625" style="1609" bestFit="1" customWidth="1"/>
    <col min="5398" max="5398" width="13" style="1609" bestFit="1" customWidth="1"/>
    <col min="5399" max="5399" width="10.1640625" style="1609" bestFit="1" customWidth="1"/>
    <col min="5400" max="5400" width="9.83203125" style="1609" bestFit="1" customWidth="1"/>
    <col min="5401" max="5632" width="9.33203125" style="1609"/>
    <col min="5633" max="5633" width="3.1640625" style="1609" customWidth="1"/>
    <col min="5634" max="5634" width="7.6640625" style="1609" bestFit="1" customWidth="1"/>
    <col min="5635" max="5635" width="31.5" style="1609" customWidth="1"/>
    <col min="5636" max="5636" width="13.33203125" style="1609" bestFit="1" customWidth="1"/>
    <col min="5637" max="5645" width="0" style="1609" hidden="1" customWidth="1"/>
    <col min="5646" max="5646" width="10.1640625" style="1609" bestFit="1" customWidth="1"/>
    <col min="5647" max="5647" width="13" style="1609" bestFit="1" customWidth="1"/>
    <col min="5648" max="5648" width="10.1640625" style="1609" bestFit="1" customWidth="1"/>
    <col min="5649" max="5649" width="9.1640625" style="1609" customWidth="1"/>
    <col min="5650" max="5650" width="10.1640625" style="1609" bestFit="1" customWidth="1"/>
    <col min="5651" max="5651" width="13" style="1609" bestFit="1" customWidth="1"/>
    <col min="5652" max="5653" width="10.1640625" style="1609" bestFit="1" customWidth="1"/>
    <col min="5654" max="5654" width="13" style="1609" bestFit="1" customWidth="1"/>
    <col min="5655" max="5655" width="10.1640625" style="1609" bestFit="1" customWidth="1"/>
    <col min="5656" max="5656" width="9.83203125" style="1609" bestFit="1" customWidth="1"/>
    <col min="5657" max="5888" width="9.33203125" style="1609"/>
    <col min="5889" max="5889" width="3.1640625" style="1609" customWidth="1"/>
    <col min="5890" max="5890" width="7.6640625" style="1609" bestFit="1" customWidth="1"/>
    <col min="5891" max="5891" width="31.5" style="1609" customWidth="1"/>
    <col min="5892" max="5892" width="13.33203125" style="1609" bestFit="1" customWidth="1"/>
    <col min="5893" max="5901" width="0" style="1609" hidden="1" customWidth="1"/>
    <col min="5902" max="5902" width="10.1640625" style="1609" bestFit="1" customWidth="1"/>
    <col min="5903" max="5903" width="13" style="1609" bestFit="1" customWidth="1"/>
    <col min="5904" max="5904" width="10.1640625" style="1609" bestFit="1" customWidth="1"/>
    <col min="5905" max="5905" width="9.1640625" style="1609" customWidth="1"/>
    <col min="5906" max="5906" width="10.1640625" style="1609" bestFit="1" customWidth="1"/>
    <col min="5907" max="5907" width="13" style="1609" bestFit="1" customWidth="1"/>
    <col min="5908" max="5909" width="10.1640625" style="1609" bestFit="1" customWidth="1"/>
    <col min="5910" max="5910" width="13" style="1609" bestFit="1" customWidth="1"/>
    <col min="5911" max="5911" width="10.1640625" style="1609" bestFit="1" customWidth="1"/>
    <col min="5912" max="5912" width="9.83203125" style="1609" bestFit="1" customWidth="1"/>
    <col min="5913" max="6144" width="9.33203125" style="1609"/>
    <col min="6145" max="6145" width="3.1640625" style="1609" customWidth="1"/>
    <col min="6146" max="6146" width="7.6640625" style="1609" bestFit="1" customWidth="1"/>
    <col min="6147" max="6147" width="31.5" style="1609" customWidth="1"/>
    <col min="6148" max="6148" width="13.33203125" style="1609" bestFit="1" customWidth="1"/>
    <col min="6149" max="6157" width="0" style="1609" hidden="1" customWidth="1"/>
    <col min="6158" max="6158" width="10.1640625" style="1609" bestFit="1" customWidth="1"/>
    <col min="6159" max="6159" width="13" style="1609" bestFit="1" customWidth="1"/>
    <col min="6160" max="6160" width="10.1640625" style="1609" bestFit="1" customWidth="1"/>
    <col min="6161" max="6161" width="9.1640625" style="1609" customWidth="1"/>
    <col min="6162" max="6162" width="10.1640625" style="1609" bestFit="1" customWidth="1"/>
    <col min="6163" max="6163" width="13" style="1609" bestFit="1" customWidth="1"/>
    <col min="6164" max="6165" width="10.1640625" style="1609" bestFit="1" customWidth="1"/>
    <col min="6166" max="6166" width="13" style="1609" bestFit="1" customWidth="1"/>
    <col min="6167" max="6167" width="10.1640625" style="1609" bestFit="1" customWidth="1"/>
    <col min="6168" max="6168" width="9.83203125" style="1609" bestFit="1" customWidth="1"/>
    <col min="6169" max="6400" width="9.33203125" style="1609"/>
    <col min="6401" max="6401" width="3.1640625" style="1609" customWidth="1"/>
    <col min="6402" max="6402" width="7.6640625" style="1609" bestFit="1" customWidth="1"/>
    <col min="6403" max="6403" width="31.5" style="1609" customWidth="1"/>
    <col min="6404" max="6404" width="13.33203125" style="1609" bestFit="1" customWidth="1"/>
    <col min="6405" max="6413" width="0" style="1609" hidden="1" customWidth="1"/>
    <col min="6414" max="6414" width="10.1640625" style="1609" bestFit="1" customWidth="1"/>
    <col min="6415" max="6415" width="13" style="1609" bestFit="1" customWidth="1"/>
    <col min="6416" max="6416" width="10.1640625" style="1609" bestFit="1" customWidth="1"/>
    <col min="6417" max="6417" width="9.1640625" style="1609" customWidth="1"/>
    <col min="6418" max="6418" width="10.1640625" style="1609" bestFit="1" customWidth="1"/>
    <col min="6419" max="6419" width="13" style="1609" bestFit="1" customWidth="1"/>
    <col min="6420" max="6421" width="10.1640625" style="1609" bestFit="1" customWidth="1"/>
    <col min="6422" max="6422" width="13" style="1609" bestFit="1" customWidth="1"/>
    <col min="6423" max="6423" width="10.1640625" style="1609" bestFit="1" customWidth="1"/>
    <col min="6424" max="6424" width="9.83203125" style="1609" bestFit="1" customWidth="1"/>
    <col min="6425" max="6656" width="9.33203125" style="1609"/>
    <col min="6657" max="6657" width="3.1640625" style="1609" customWidth="1"/>
    <col min="6658" max="6658" width="7.6640625" style="1609" bestFit="1" customWidth="1"/>
    <col min="6659" max="6659" width="31.5" style="1609" customWidth="1"/>
    <col min="6660" max="6660" width="13.33203125" style="1609" bestFit="1" customWidth="1"/>
    <col min="6661" max="6669" width="0" style="1609" hidden="1" customWidth="1"/>
    <col min="6670" max="6670" width="10.1640625" style="1609" bestFit="1" customWidth="1"/>
    <col min="6671" max="6671" width="13" style="1609" bestFit="1" customWidth="1"/>
    <col min="6672" max="6672" width="10.1640625" style="1609" bestFit="1" customWidth="1"/>
    <col min="6673" max="6673" width="9.1640625" style="1609" customWidth="1"/>
    <col min="6674" max="6674" width="10.1640625" style="1609" bestFit="1" customWidth="1"/>
    <col min="6675" max="6675" width="13" style="1609" bestFit="1" customWidth="1"/>
    <col min="6676" max="6677" width="10.1640625" style="1609" bestFit="1" customWidth="1"/>
    <col min="6678" max="6678" width="13" style="1609" bestFit="1" customWidth="1"/>
    <col min="6679" max="6679" width="10.1640625" style="1609" bestFit="1" customWidth="1"/>
    <col min="6680" max="6680" width="9.83203125" style="1609" bestFit="1" customWidth="1"/>
    <col min="6681" max="6912" width="9.33203125" style="1609"/>
    <col min="6913" max="6913" width="3.1640625" style="1609" customWidth="1"/>
    <col min="6914" max="6914" width="7.6640625" style="1609" bestFit="1" customWidth="1"/>
    <col min="6915" max="6915" width="31.5" style="1609" customWidth="1"/>
    <col min="6916" max="6916" width="13.33203125" style="1609" bestFit="1" customWidth="1"/>
    <col min="6917" max="6925" width="0" style="1609" hidden="1" customWidth="1"/>
    <col min="6926" max="6926" width="10.1640625" style="1609" bestFit="1" customWidth="1"/>
    <col min="6927" max="6927" width="13" style="1609" bestFit="1" customWidth="1"/>
    <col min="6928" max="6928" width="10.1640625" style="1609" bestFit="1" customWidth="1"/>
    <col min="6929" max="6929" width="9.1640625" style="1609" customWidth="1"/>
    <col min="6930" max="6930" width="10.1640625" style="1609" bestFit="1" customWidth="1"/>
    <col min="6931" max="6931" width="13" style="1609" bestFit="1" customWidth="1"/>
    <col min="6932" max="6933" width="10.1640625" style="1609" bestFit="1" customWidth="1"/>
    <col min="6934" max="6934" width="13" style="1609" bestFit="1" customWidth="1"/>
    <col min="6935" max="6935" width="10.1640625" style="1609" bestFit="1" customWidth="1"/>
    <col min="6936" max="6936" width="9.83203125" style="1609" bestFit="1" customWidth="1"/>
    <col min="6937" max="7168" width="9.33203125" style="1609"/>
    <col min="7169" max="7169" width="3.1640625" style="1609" customWidth="1"/>
    <col min="7170" max="7170" width="7.6640625" style="1609" bestFit="1" customWidth="1"/>
    <col min="7171" max="7171" width="31.5" style="1609" customWidth="1"/>
    <col min="7172" max="7172" width="13.33203125" style="1609" bestFit="1" customWidth="1"/>
    <col min="7173" max="7181" width="0" style="1609" hidden="1" customWidth="1"/>
    <col min="7182" max="7182" width="10.1640625" style="1609" bestFit="1" customWidth="1"/>
    <col min="7183" max="7183" width="13" style="1609" bestFit="1" customWidth="1"/>
    <col min="7184" max="7184" width="10.1640625" style="1609" bestFit="1" customWidth="1"/>
    <col min="7185" max="7185" width="9.1640625" style="1609" customWidth="1"/>
    <col min="7186" max="7186" width="10.1640625" style="1609" bestFit="1" customWidth="1"/>
    <col min="7187" max="7187" width="13" style="1609" bestFit="1" customWidth="1"/>
    <col min="7188" max="7189" width="10.1640625" style="1609" bestFit="1" customWidth="1"/>
    <col min="7190" max="7190" width="13" style="1609" bestFit="1" customWidth="1"/>
    <col min="7191" max="7191" width="10.1640625" style="1609" bestFit="1" customWidth="1"/>
    <col min="7192" max="7192" width="9.83203125" style="1609" bestFit="1" customWidth="1"/>
    <col min="7193" max="7424" width="9.33203125" style="1609"/>
    <col min="7425" max="7425" width="3.1640625" style="1609" customWidth="1"/>
    <col min="7426" max="7426" width="7.6640625" style="1609" bestFit="1" customWidth="1"/>
    <col min="7427" max="7427" width="31.5" style="1609" customWidth="1"/>
    <col min="7428" max="7428" width="13.33203125" style="1609" bestFit="1" customWidth="1"/>
    <col min="7429" max="7437" width="0" style="1609" hidden="1" customWidth="1"/>
    <col min="7438" max="7438" width="10.1640625" style="1609" bestFit="1" customWidth="1"/>
    <col min="7439" max="7439" width="13" style="1609" bestFit="1" customWidth="1"/>
    <col min="7440" max="7440" width="10.1640625" style="1609" bestFit="1" customWidth="1"/>
    <col min="7441" max="7441" width="9.1640625" style="1609" customWidth="1"/>
    <col min="7442" max="7442" width="10.1640625" style="1609" bestFit="1" customWidth="1"/>
    <col min="7443" max="7443" width="13" style="1609" bestFit="1" customWidth="1"/>
    <col min="7444" max="7445" width="10.1640625" style="1609" bestFit="1" customWidth="1"/>
    <col min="7446" max="7446" width="13" style="1609" bestFit="1" customWidth="1"/>
    <col min="7447" max="7447" width="10.1640625" style="1609" bestFit="1" customWidth="1"/>
    <col min="7448" max="7448" width="9.83203125" style="1609" bestFit="1" customWidth="1"/>
    <col min="7449" max="7680" width="9.33203125" style="1609"/>
    <col min="7681" max="7681" width="3.1640625" style="1609" customWidth="1"/>
    <col min="7682" max="7682" width="7.6640625" style="1609" bestFit="1" customWidth="1"/>
    <col min="7683" max="7683" width="31.5" style="1609" customWidth="1"/>
    <col min="7684" max="7684" width="13.33203125" style="1609" bestFit="1" customWidth="1"/>
    <col min="7685" max="7693" width="0" style="1609" hidden="1" customWidth="1"/>
    <col min="7694" max="7694" width="10.1640625" style="1609" bestFit="1" customWidth="1"/>
    <col min="7695" max="7695" width="13" style="1609" bestFit="1" customWidth="1"/>
    <col min="7696" max="7696" width="10.1640625" style="1609" bestFit="1" customWidth="1"/>
    <col min="7697" max="7697" width="9.1640625" style="1609" customWidth="1"/>
    <col min="7698" max="7698" width="10.1640625" style="1609" bestFit="1" customWidth="1"/>
    <col min="7699" max="7699" width="13" style="1609" bestFit="1" customWidth="1"/>
    <col min="7700" max="7701" width="10.1640625" style="1609" bestFit="1" customWidth="1"/>
    <col min="7702" max="7702" width="13" style="1609" bestFit="1" customWidth="1"/>
    <col min="7703" max="7703" width="10.1640625" style="1609" bestFit="1" customWidth="1"/>
    <col min="7704" max="7704" width="9.83203125" style="1609" bestFit="1" customWidth="1"/>
    <col min="7705" max="7936" width="9.33203125" style="1609"/>
    <col min="7937" max="7937" width="3.1640625" style="1609" customWidth="1"/>
    <col min="7938" max="7938" width="7.6640625" style="1609" bestFit="1" customWidth="1"/>
    <col min="7939" max="7939" width="31.5" style="1609" customWidth="1"/>
    <col min="7940" max="7940" width="13.33203125" style="1609" bestFit="1" customWidth="1"/>
    <col min="7941" max="7949" width="0" style="1609" hidden="1" customWidth="1"/>
    <col min="7950" max="7950" width="10.1640625" style="1609" bestFit="1" customWidth="1"/>
    <col min="7951" max="7951" width="13" style="1609" bestFit="1" customWidth="1"/>
    <col min="7952" max="7952" width="10.1640625" style="1609" bestFit="1" customWidth="1"/>
    <col min="7953" max="7953" width="9.1640625" style="1609" customWidth="1"/>
    <col min="7954" max="7954" width="10.1640625" style="1609" bestFit="1" customWidth="1"/>
    <col min="7955" max="7955" width="13" style="1609" bestFit="1" customWidth="1"/>
    <col min="7956" max="7957" width="10.1640625" style="1609" bestFit="1" customWidth="1"/>
    <col min="7958" max="7958" width="13" style="1609" bestFit="1" customWidth="1"/>
    <col min="7959" max="7959" width="10.1640625" style="1609" bestFit="1" customWidth="1"/>
    <col min="7960" max="7960" width="9.83203125" style="1609" bestFit="1" customWidth="1"/>
    <col min="7961" max="8192" width="9.33203125" style="1609"/>
    <col min="8193" max="8193" width="3.1640625" style="1609" customWidth="1"/>
    <col min="8194" max="8194" width="7.6640625" style="1609" bestFit="1" customWidth="1"/>
    <col min="8195" max="8195" width="31.5" style="1609" customWidth="1"/>
    <col min="8196" max="8196" width="13.33203125" style="1609" bestFit="1" customWidth="1"/>
    <col min="8197" max="8205" width="0" style="1609" hidden="1" customWidth="1"/>
    <col min="8206" max="8206" width="10.1640625" style="1609" bestFit="1" customWidth="1"/>
    <col min="8207" max="8207" width="13" style="1609" bestFit="1" customWidth="1"/>
    <col min="8208" max="8208" width="10.1640625" style="1609" bestFit="1" customWidth="1"/>
    <col min="8209" max="8209" width="9.1640625" style="1609" customWidth="1"/>
    <col min="8210" max="8210" width="10.1640625" style="1609" bestFit="1" customWidth="1"/>
    <col min="8211" max="8211" width="13" style="1609" bestFit="1" customWidth="1"/>
    <col min="8212" max="8213" width="10.1640625" style="1609" bestFit="1" customWidth="1"/>
    <col min="8214" max="8214" width="13" style="1609" bestFit="1" customWidth="1"/>
    <col min="8215" max="8215" width="10.1640625" style="1609" bestFit="1" customWidth="1"/>
    <col min="8216" max="8216" width="9.83203125" style="1609" bestFit="1" customWidth="1"/>
    <col min="8217" max="8448" width="9.33203125" style="1609"/>
    <col min="8449" max="8449" width="3.1640625" style="1609" customWidth="1"/>
    <col min="8450" max="8450" width="7.6640625" style="1609" bestFit="1" customWidth="1"/>
    <col min="8451" max="8451" width="31.5" style="1609" customWidth="1"/>
    <col min="8452" max="8452" width="13.33203125" style="1609" bestFit="1" customWidth="1"/>
    <col min="8453" max="8461" width="0" style="1609" hidden="1" customWidth="1"/>
    <col min="8462" max="8462" width="10.1640625" style="1609" bestFit="1" customWidth="1"/>
    <col min="8463" max="8463" width="13" style="1609" bestFit="1" customWidth="1"/>
    <col min="8464" max="8464" width="10.1640625" style="1609" bestFit="1" customWidth="1"/>
    <col min="8465" max="8465" width="9.1640625" style="1609" customWidth="1"/>
    <col min="8466" max="8466" width="10.1640625" style="1609" bestFit="1" customWidth="1"/>
    <col min="8467" max="8467" width="13" style="1609" bestFit="1" customWidth="1"/>
    <col min="8468" max="8469" width="10.1640625" style="1609" bestFit="1" customWidth="1"/>
    <col min="8470" max="8470" width="13" style="1609" bestFit="1" customWidth="1"/>
    <col min="8471" max="8471" width="10.1640625" style="1609" bestFit="1" customWidth="1"/>
    <col min="8472" max="8472" width="9.83203125" style="1609" bestFit="1" customWidth="1"/>
    <col min="8473" max="8704" width="9.33203125" style="1609"/>
    <col min="8705" max="8705" width="3.1640625" style="1609" customWidth="1"/>
    <col min="8706" max="8706" width="7.6640625" style="1609" bestFit="1" customWidth="1"/>
    <col min="8707" max="8707" width="31.5" style="1609" customWidth="1"/>
    <col min="8708" max="8708" width="13.33203125" style="1609" bestFit="1" customWidth="1"/>
    <col min="8709" max="8717" width="0" style="1609" hidden="1" customWidth="1"/>
    <col min="8718" max="8718" width="10.1640625" style="1609" bestFit="1" customWidth="1"/>
    <col min="8719" max="8719" width="13" style="1609" bestFit="1" customWidth="1"/>
    <col min="8720" max="8720" width="10.1640625" style="1609" bestFit="1" customWidth="1"/>
    <col min="8721" max="8721" width="9.1640625" style="1609" customWidth="1"/>
    <col min="8722" max="8722" width="10.1640625" style="1609" bestFit="1" customWidth="1"/>
    <col min="8723" max="8723" width="13" style="1609" bestFit="1" customWidth="1"/>
    <col min="8724" max="8725" width="10.1640625" style="1609" bestFit="1" customWidth="1"/>
    <col min="8726" max="8726" width="13" style="1609" bestFit="1" customWidth="1"/>
    <col min="8727" max="8727" width="10.1640625" style="1609" bestFit="1" customWidth="1"/>
    <col min="8728" max="8728" width="9.83203125" style="1609" bestFit="1" customWidth="1"/>
    <col min="8729" max="8960" width="9.33203125" style="1609"/>
    <col min="8961" max="8961" width="3.1640625" style="1609" customWidth="1"/>
    <col min="8962" max="8962" width="7.6640625" style="1609" bestFit="1" customWidth="1"/>
    <col min="8963" max="8963" width="31.5" style="1609" customWidth="1"/>
    <col min="8964" max="8964" width="13.33203125" style="1609" bestFit="1" customWidth="1"/>
    <col min="8965" max="8973" width="0" style="1609" hidden="1" customWidth="1"/>
    <col min="8974" max="8974" width="10.1640625" style="1609" bestFit="1" customWidth="1"/>
    <col min="8975" max="8975" width="13" style="1609" bestFit="1" customWidth="1"/>
    <col min="8976" max="8976" width="10.1640625" style="1609" bestFit="1" customWidth="1"/>
    <col min="8977" max="8977" width="9.1640625" style="1609" customWidth="1"/>
    <col min="8978" max="8978" width="10.1640625" style="1609" bestFit="1" customWidth="1"/>
    <col min="8979" max="8979" width="13" style="1609" bestFit="1" customWidth="1"/>
    <col min="8980" max="8981" width="10.1640625" style="1609" bestFit="1" customWidth="1"/>
    <col min="8982" max="8982" width="13" style="1609" bestFit="1" customWidth="1"/>
    <col min="8983" max="8983" width="10.1640625" style="1609" bestFit="1" customWidth="1"/>
    <col min="8984" max="8984" width="9.83203125" style="1609" bestFit="1" customWidth="1"/>
    <col min="8985" max="9216" width="9.33203125" style="1609"/>
    <col min="9217" max="9217" width="3.1640625" style="1609" customWidth="1"/>
    <col min="9218" max="9218" width="7.6640625" style="1609" bestFit="1" customWidth="1"/>
    <col min="9219" max="9219" width="31.5" style="1609" customWidth="1"/>
    <col min="9220" max="9220" width="13.33203125" style="1609" bestFit="1" customWidth="1"/>
    <col min="9221" max="9229" width="0" style="1609" hidden="1" customWidth="1"/>
    <col min="9230" max="9230" width="10.1640625" style="1609" bestFit="1" customWidth="1"/>
    <col min="9231" max="9231" width="13" style="1609" bestFit="1" customWidth="1"/>
    <col min="9232" max="9232" width="10.1640625" style="1609" bestFit="1" customWidth="1"/>
    <col min="9233" max="9233" width="9.1640625" style="1609" customWidth="1"/>
    <col min="9234" max="9234" width="10.1640625" style="1609" bestFit="1" customWidth="1"/>
    <col min="9235" max="9235" width="13" style="1609" bestFit="1" customWidth="1"/>
    <col min="9236" max="9237" width="10.1640625" style="1609" bestFit="1" customWidth="1"/>
    <col min="9238" max="9238" width="13" style="1609" bestFit="1" customWidth="1"/>
    <col min="9239" max="9239" width="10.1640625" style="1609" bestFit="1" customWidth="1"/>
    <col min="9240" max="9240" width="9.83203125" style="1609" bestFit="1" customWidth="1"/>
    <col min="9241" max="9472" width="9.33203125" style="1609"/>
    <col min="9473" max="9473" width="3.1640625" style="1609" customWidth="1"/>
    <col min="9474" max="9474" width="7.6640625" style="1609" bestFit="1" customWidth="1"/>
    <col min="9475" max="9475" width="31.5" style="1609" customWidth="1"/>
    <col min="9476" max="9476" width="13.33203125" style="1609" bestFit="1" customWidth="1"/>
    <col min="9477" max="9485" width="0" style="1609" hidden="1" customWidth="1"/>
    <col min="9486" max="9486" width="10.1640625" style="1609" bestFit="1" customWidth="1"/>
    <col min="9487" max="9487" width="13" style="1609" bestFit="1" customWidth="1"/>
    <col min="9488" max="9488" width="10.1640625" style="1609" bestFit="1" customWidth="1"/>
    <col min="9489" max="9489" width="9.1640625" style="1609" customWidth="1"/>
    <col min="9490" max="9490" width="10.1640625" style="1609" bestFit="1" customWidth="1"/>
    <col min="9491" max="9491" width="13" style="1609" bestFit="1" customWidth="1"/>
    <col min="9492" max="9493" width="10.1640625" style="1609" bestFit="1" customWidth="1"/>
    <col min="9494" max="9494" width="13" style="1609" bestFit="1" customWidth="1"/>
    <col min="9495" max="9495" width="10.1640625" style="1609" bestFit="1" customWidth="1"/>
    <col min="9496" max="9496" width="9.83203125" style="1609" bestFit="1" customWidth="1"/>
    <col min="9497" max="9728" width="9.33203125" style="1609"/>
    <col min="9729" max="9729" width="3.1640625" style="1609" customWidth="1"/>
    <col min="9730" max="9730" width="7.6640625" style="1609" bestFit="1" customWidth="1"/>
    <col min="9731" max="9731" width="31.5" style="1609" customWidth="1"/>
    <col min="9732" max="9732" width="13.33203125" style="1609" bestFit="1" customWidth="1"/>
    <col min="9733" max="9741" width="0" style="1609" hidden="1" customWidth="1"/>
    <col min="9742" max="9742" width="10.1640625" style="1609" bestFit="1" customWidth="1"/>
    <col min="9743" max="9743" width="13" style="1609" bestFit="1" customWidth="1"/>
    <col min="9744" max="9744" width="10.1640625" style="1609" bestFit="1" customWidth="1"/>
    <col min="9745" max="9745" width="9.1640625" style="1609" customWidth="1"/>
    <col min="9746" max="9746" width="10.1640625" style="1609" bestFit="1" customWidth="1"/>
    <col min="9747" max="9747" width="13" style="1609" bestFit="1" customWidth="1"/>
    <col min="9748" max="9749" width="10.1640625" style="1609" bestFit="1" customWidth="1"/>
    <col min="9750" max="9750" width="13" style="1609" bestFit="1" customWidth="1"/>
    <col min="9751" max="9751" width="10.1640625" style="1609" bestFit="1" customWidth="1"/>
    <col min="9752" max="9752" width="9.83203125" style="1609" bestFit="1" customWidth="1"/>
    <col min="9753" max="9984" width="9.33203125" style="1609"/>
    <col min="9985" max="9985" width="3.1640625" style="1609" customWidth="1"/>
    <col min="9986" max="9986" width="7.6640625" style="1609" bestFit="1" customWidth="1"/>
    <col min="9987" max="9987" width="31.5" style="1609" customWidth="1"/>
    <col min="9988" max="9988" width="13.33203125" style="1609" bestFit="1" customWidth="1"/>
    <col min="9989" max="9997" width="0" style="1609" hidden="1" customWidth="1"/>
    <col min="9998" max="9998" width="10.1640625" style="1609" bestFit="1" customWidth="1"/>
    <col min="9999" max="9999" width="13" style="1609" bestFit="1" customWidth="1"/>
    <col min="10000" max="10000" width="10.1640625" style="1609" bestFit="1" customWidth="1"/>
    <col min="10001" max="10001" width="9.1640625" style="1609" customWidth="1"/>
    <col min="10002" max="10002" width="10.1640625" style="1609" bestFit="1" customWidth="1"/>
    <col min="10003" max="10003" width="13" style="1609" bestFit="1" customWidth="1"/>
    <col min="10004" max="10005" width="10.1640625" style="1609" bestFit="1" customWidth="1"/>
    <col min="10006" max="10006" width="13" style="1609" bestFit="1" customWidth="1"/>
    <col min="10007" max="10007" width="10.1640625" style="1609" bestFit="1" customWidth="1"/>
    <col min="10008" max="10008" width="9.83203125" style="1609" bestFit="1" customWidth="1"/>
    <col min="10009" max="10240" width="9.33203125" style="1609"/>
    <col min="10241" max="10241" width="3.1640625" style="1609" customWidth="1"/>
    <col min="10242" max="10242" width="7.6640625" style="1609" bestFit="1" customWidth="1"/>
    <col min="10243" max="10243" width="31.5" style="1609" customWidth="1"/>
    <col min="10244" max="10244" width="13.33203125" style="1609" bestFit="1" customWidth="1"/>
    <col min="10245" max="10253" width="0" style="1609" hidden="1" customWidth="1"/>
    <col min="10254" max="10254" width="10.1640625" style="1609" bestFit="1" customWidth="1"/>
    <col min="10255" max="10255" width="13" style="1609" bestFit="1" customWidth="1"/>
    <col min="10256" max="10256" width="10.1640625" style="1609" bestFit="1" customWidth="1"/>
    <col min="10257" max="10257" width="9.1640625" style="1609" customWidth="1"/>
    <col min="10258" max="10258" width="10.1640625" style="1609" bestFit="1" customWidth="1"/>
    <col min="10259" max="10259" width="13" style="1609" bestFit="1" customWidth="1"/>
    <col min="10260" max="10261" width="10.1640625" style="1609" bestFit="1" customWidth="1"/>
    <col min="10262" max="10262" width="13" style="1609" bestFit="1" customWidth="1"/>
    <col min="10263" max="10263" width="10.1640625" style="1609" bestFit="1" customWidth="1"/>
    <col min="10264" max="10264" width="9.83203125" style="1609" bestFit="1" customWidth="1"/>
    <col min="10265" max="10496" width="9.33203125" style="1609"/>
    <col min="10497" max="10497" width="3.1640625" style="1609" customWidth="1"/>
    <col min="10498" max="10498" width="7.6640625" style="1609" bestFit="1" customWidth="1"/>
    <col min="10499" max="10499" width="31.5" style="1609" customWidth="1"/>
    <col min="10500" max="10500" width="13.33203125" style="1609" bestFit="1" customWidth="1"/>
    <col min="10501" max="10509" width="0" style="1609" hidden="1" customWidth="1"/>
    <col min="10510" max="10510" width="10.1640625" style="1609" bestFit="1" customWidth="1"/>
    <col min="10511" max="10511" width="13" style="1609" bestFit="1" customWidth="1"/>
    <col min="10512" max="10512" width="10.1640625" style="1609" bestFit="1" customWidth="1"/>
    <col min="10513" max="10513" width="9.1640625" style="1609" customWidth="1"/>
    <col min="10514" max="10514" width="10.1640625" style="1609" bestFit="1" customWidth="1"/>
    <col min="10515" max="10515" width="13" style="1609" bestFit="1" customWidth="1"/>
    <col min="10516" max="10517" width="10.1640625" style="1609" bestFit="1" customWidth="1"/>
    <col min="10518" max="10518" width="13" style="1609" bestFit="1" customWidth="1"/>
    <col min="10519" max="10519" width="10.1640625" style="1609" bestFit="1" customWidth="1"/>
    <col min="10520" max="10520" width="9.83203125" style="1609" bestFit="1" customWidth="1"/>
    <col min="10521" max="10752" width="9.33203125" style="1609"/>
    <col min="10753" max="10753" width="3.1640625" style="1609" customWidth="1"/>
    <col min="10754" max="10754" width="7.6640625" style="1609" bestFit="1" customWidth="1"/>
    <col min="10755" max="10755" width="31.5" style="1609" customWidth="1"/>
    <col min="10756" max="10756" width="13.33203125" style="1609" bestFit="1" customWidth="1"/>
    <col min="10757" max="10765" width="0" style="1609" hidden="1" customWidth="1"/>
    <col min="10766" max="10766" width="10.1640625" style="1609" bestFit="1" customWidth="1"/>
    <col min="10767" max="10767" width="13" style="1609" bestFit="1" customWidth="1"/>
    <col min="10768" max="10768" width="10.1640625" style="1609" bestFit="1" customWidth="1"/>
    <col min="10769" max="10769" width="9.1640625" style="1609" customWidth="1"/>
    <col min="10770" max="10770" width="10.1640625" style="1609" bestFit="1" customWidth="1"/>
    <col min="10771" max="10771" width="13" style="1609" bestFit="1" customWidth="1"/>
    <col min="10772" max="10773" width="10.1640625" style="1609" bestFit="1" customWidth="1"/>
    <col min="10774" max="10774" width="13" style="1609" bestFit="1" customWidth="1"/>
    <col min="10775" max="10775" width="10.1640625" style="1609" bestFit="1" customWidth="1"/>
    <col min="10776" max="10776" width="9.83203125" style="1609" bestFit="1" customWidth="1"/>
    <col min="10777" max="11008" width="9.33203125" style="1609"/>
    <col min="11009" max="11009" width="3.1640625" style="1609" customWidth="1"/>
    <col min="11010" max="11010" width="7.6640625" style="1609" bestFit="1" customWidth="1"/>
    <col min="11011" max="11011" width="31.5" style="1609" customWidth="1"/>
    <col min="11012" max="11012" width="13.33203125" style="1609" bestFit="1" customWidth="1"/>
    <col min="11013" max="11021" width="0" style="1609" hidden="1" customWidth="1"/>
    <col min="11022" max="11022" width="10.1640625" style="1609" bestFit="1" customWidth="1"/>
    <col min="11023" max="11023" width="13" style="1609" bestFit="1" customWidth="1"/>
    <col min="11024" max="11024" width="10.1640625" style="1609" bestFit="1" customWidth="1"/>
    <col min="11025" max="11025" width="9.1640625" style="1609" customWidth="1"/>
    <col min="11026" max="11026" width="10.1640625" style="1609" bestFit="1" customWidth="1"/>
    <col min="11027" max="11027" width="13" style="1609" bestFit="1" customWidth="1"/>
    <col min="11028" max="11029" width="10.1640625" style="1609" bestFit="1" customWidth="1"/>
    <col min="11030" max="11030" width="13" style="1609" bestFit="1" customWidth="1"/>
    <col min="11031" max="11031" width="10.1640625" style="1609" bestFit="1" customWidth="1"/>
    <col min="11032" max="11032" width="9.83203125" style="1609" bestFit="1" customWidth="1"/>
    <col min="11033" max="11264" width="9.33203125" style="1609"/>
    <col min="11265" max="11265" width="3.1640625" style="1609" customWidth="1"/>
    <col min="11266" max="11266" width="7.6640625" style="1609" bestFit="1" customWidth="1"/>
    <col min="11267" max="11267" width="31.5" style="1609" customWidth="1"/>
    <col min="11268" max="11268" width="13.33203125" style="1609" bestFit="1" customWidth="1"/>
    <col min="11269" max="11277" width="0" style="1609" hidden="1" customWidth="1"/>
    <col min="11278" max="11278" width="10.1640625" style="1609" bestFit="1" customWidth="1"/>
    <col min="11279" max="11279" width="13" style="1609" bestFit="1" customWidth="1"/>
    <col min="11280" max="11280" width="10.1640625" style="1609" bestFit="1" customWidth="1"/>
    <col min="11281" max="11281" width="9.1640625" style="1609" customWidth="1"/>
    <col min="11282" max="11282" width="10.1640625" style="1609" bestFit="1" customWidth="1"/>
    <col min="11283" max="11283" width="13" style="1609" bestFit="1" customWidth="1"/>
    <col min="11284" max="11285" width="10.1640625" style="1609" bestFit="1" customWidth="1"/>
    <col min="11286" max="11286" width="13" style="1609" bestFit="1" customWidth="1"/>
    <col min="11287" max="11287" width="10.1640625" style="1609" bestFit="1" customWidth="1"/>
    <col min="11288" max="11288" width="9.83203125" style="1609" bestFit="1" customWidth="1"/>
    <col min="11289" max="11520" width="9.33203125" style="1609"/>
    <col min="11521" max="11521" width="3.1640625" style="1609" customWidth="1"/>
    <col min="11522" max="11522" width="7.6640625" style="1609" bestFit="1" customWidth="1"/>
    <col min="11523" max="11523" width="31.5" style="1609" customWidth="1"/>
    <col min="11524" max="11524" width="13.33203125" style="1609" bestFit="1" customWidth="1"/>
    <col min="11525" max="11533" width="0" style="1609" hidden="1" customWidth="1"/>
    <col min="11534" max="11534" width="10.1640625" style="1609" bestFit="1" customWidth="1"/>
    <col min="11535" max="11535" width="13" style="1609" bestFit="1" customWidth="1"/>
    <col min="11536" max="11536" width="10.1640625" style="1609" bestFit="1" customWidth="1"/>
    <col min="11537" max="11537" width="9.1640625" style="1609" customWidth="1"/>
    <col min="11538" max="11538" width="10.1640625" style="1609" bestFit="1" customWidth="1"/>
    <col min="11539" max="11539" width="13" style="1609" bestFit="1" customWidth="1"/>
    <col min="11540" max="11541" width="10.1640625" style="1609" bestFit="1" customWidth="1"/>
    <col min="11542" max="11542" width="13" style="1609" bestFit="1" customWidth="1"/>
    <col min="11543" max="11543" width="10.1640625" style="1609" bestFit="1" customWidth="1"/>
    <col min="11544" max="11544" width="9.83203125" style="1609" bestFit="1" customWidth="1"/>
    <col min="11545" max="11776" width="9.33203125" style="1609"/>
    <col min="11777" max="11777" width="3.1640625" style="1609" customWidth="1"/>
    <col min="11778" max="11778" width="7.6640625" style="1609" bestFit="1" customWidth="1"/>
    <col min="11779" max="11779" width="31.5" style="1609" customWidth="1"/>
    <col min="11780" max="11780" width="13.33203125" style="1609" bestFit="1" customWidth="1"/>
    <col min="11781" max="11789" width="0" style="1609" hidden="1" customWidth="1"/>
    <col min="11790" max="11790" width="10.1640625" style="1609" bestFit="1" customWidth="1"/>
    <col min="11791" max="11791" width="13" style="1609" bestFit="1" customWidth="1"/>
    <col min="11792" max="11792" width="10.1640625" style="1609" bestFit="1" customWidth="1"/>
    <col min="11793" max="11793" width="9.1640625" style="1609" customWidth="1"/>
    <col min="11794" max="11794" width="10.1640625" style="1609" bestFit="1" customWidth="1"/>
    <col min="11795" max="11795" width="13" style="1609" bestFit="1" customWidth="1"/>
    <col min="11796" max="11797" width="10.1640625" style="1609" bestFit="1" customWidth="1"/>
    <col min="11798" max="11798" width="13" style="1609" bestFit="1" customWidth="1"/>
    <col min="11799" max="11799" width="10.1640625" style="1609" bestFit="1" customWidth="1"/>
    <col min="11800" max="11800" width="9.83203125" style="1609" bestFit="1" customWidth="1"/>
    <col min="11801" max="12032" width="9.33203125" style="1609"/>
    <col min="12033" max="12033" width="3.1640625" style="1609" customWidth="1"/>
    <col min="12034" max="12034" width="7.6640625" style="1609" bestFit="1" customWidth="1"/>
    <col min="12035" max="12035" width="31.5" style="1609" customWidth="1"/>
    <col min="12036" max="12036" width="13.33203125" style="1609" bestFit="1" customWidth="1"/>
    <col min="12037" max="12045" width="0" style="1609" hidden="1" customWidth="1"/>
    <col min="12046" max="12046" width="10.1640625" style="1609" bestFit="1" customWidth="1"/>
    <col min="12047" max="12047" width="13" style="1609" bestFit="1" customWidth="1"/>
    <col min="12048" max="12048" width="10.1640625" style="1609" bestFit="1" customWidth="1"/>
    <col min="12049" max="12049" width="9.1640625" style="1609" customWidth="1"/>
    <col min="12050" max="12050" width="10.1640625" style="1609" bestFit="1" customWidth="1"/>
    <col min="12051" max="12051" width="13" style="1609" bestFit="1" customWidth="1"/>
    <col min="12052" max="12053" width="10.1640625" style="1609" bestFit="1" customWidth="1"/>
    <col min="12054" max="12054" width="13" style="1609" bestFit="1" customWidth="1"/>
    <col min="12055" max="12055" width="10.1640625" style="1609" bestFit="1" customWidth="1"/>
    <col min="12056" max="12056" width="9.83203125" style="1609" bestFit="1" customWidth="1"/>
    <col min="12057" max="12288" width="9.33203125" style="1609"/>
    <col min="12289" max="12289" width="3.1640625" style="1609" customWidth="1"/>
    <col min="12290" max="12290" width="7.6640625" style="1609" bestFit="1" customWidth="1"/>
    <col min="12291" max="12291" width="31.5" style="1609" customWidth="1"/>
    <col min="12292" max="12292" width="13.33203125" style="1609" bestFit="1" customWidth="1"/>
    <col min="12293" max="12301" width="0" style="1609" hidden="1" customWidth="1"/>
    <col min="12302" max="12302" width="10.1640625" style="1609" bestFit="1" customWidth="1"/>
    <col min="12303" max="12303" width="13" style="1609" bestFit="1" customWidth="1"/>
    <col min="12304" max="12304" width="10.1640625" style="1609" bestFit="1" customWidth="1"/>
    <col min="12305" max="12305" width="9.1640625" style="1609" customWidth="1"/>
    <col min="12306" max="12306" width="10.1640625" style="1609" bestFit="1" customWidth="1"/>
    <col min="12307" max="12307" width="13" style="1609" bestFit="1" customWidth="1"/>
    <col min="12308" max="12309" width="10.1640625" style="1609" bestFit="1" customWidth="1"/>
    <col min="12310" max="12310" width="13" style="1609" bestFit="1" customWidth="1"/>
    <col min="12311" max="12311" width="10.1640625" style="1609" bestFit="1" customWidth="1"/>
    <col min="12312" max="12312" width="9.83203125" style="1609" bestFit="1" customWidth="1"/>
    <col min="12313" max="12544" width="9.33203125" style="1609"/>
    <col min="12545" max="12545" width="3.1640625" style="1609" customWidth="1"/>
    <col min="12546" max="12546" width="7.6640625" style="1609" bestFit="1" customWidth="1"/>
    <col min="12547" max="12547" width="31.5" style="1609" customWidth="1"/>
    <col min="12548" max="12548" width="13.33203125" style="1609" bestFit="1" customWidth="1"/>
    <col min="12549" max="12557" width="0" style="1609" hidden="1" customWidth="1"/>
    <col min="12558" max="12558" width="10.1640625" style="1609" bestFit="1" customWidth="1"/>
    <col min="12559" max="12559" width="13" style="1609" bestFit="1" customWidth="1"/>
    <col min="12560" max="12560" width="10.1640625" style="1609" bestFit="1" customWidth="1"/>
    <col min="12561" max="12561" width="9.1640625" style="1609" customWidth="1"/>
    <col min="12562" max="12562" width="10.1640625" style="1609" bestFit="1" customWidth="1"/>
    <col min="12563" max="12563" width="13" style="1609" bestFit="1" customWidth="1"/>
    <col min="12564" max="12565" width="10.1640625" style="1609" bestFit="1" customWidth="1"/>
    <col min="12566" max="12566" width="13" style="1609" bestFit="1" customWidth="1"/>
    <col min="12567" max="12567" width="10.1640625" style="1609" bestFit="1" customWidth="1"/>
    <col min="12568" max="12568" width="9.83203125" style="1609" bestFit="1" customWidth="1"/>
    <col min="12569" max="12800" width="9.33203125" style="1609"/>
    <col min="12801" max="12801" width="3.1640625" style="1609" customWidth="1"/>
    <col min="12802" max="12802" width="7.6640625" style="1609" bestFit="1" customWidth="1"/>
    <col min="12803" max="12803" width="31.5" style="1609" customWidth="1"/>
    <col min="12804" max="12804" width="13.33203125" style="1609" bestFit="1" customWidth="1"/>
    <col min="12805" max="12813" width="0" style="1609" hidden="1" customWidth="1"/>
    <col min="12814" max="12814" width="10.1640625" style="1609" bestFit="1" customWidth="1"/>
    <col min="12815" max="12815" width="13" style="1609" bestFit="1" customWidth="1"/>
    <col min="12816" max="12816" width="10.1640625" style="1609" bestFit="1" customWidth="1"/>
    <col min="12817" max="12817" width="9.1640625" style="1609" customWidth="1"/>
    <col min="12818" max="12818" width="10.1640625" style="1609" bestFit="1" customWidth="1"/>
    <col min="12819" max="12819" width="13" style="1609" bestFit="1" customWidth="1"/>
    <col min="12820" max="12821" width="10.1640625" style="1609" bestFit="1" customWidth="1"/>
    <col min="12822" max="12822" width="13" style="1609" bestFit="1" customWidth="1"/>
    <col min="12823" max="12823" width="10.1640625" style="1609" bestFit="1" customWidth="1"/>
    <col min="12824" max="12824" width="9.83203125" style="1609" bestFit="1" customWidth="1"/>
    <col min="12825" max="13056" width="9.33203125" style="1609"/>
    <col min="13057" max="13057" width="3.1640625" style="1609" customWidth="1"/>
    <col min="13058" max="13058" width="7.6640625" style="1609" bestFit="1" customWidth="1"/>
    <col min="13059" max="13059" width="31.5" style="1609" customWidth="1"/>
    <col min="13060" max="13060" width="13.33203125" style="1609" bestFit="1" customWidth="1"/>
    <col min="13061" max="13069" width="0" style="1609" hidden="1" customWidth="1"/>
    <col min="13070" max="13070" width="10.1640625" style="1609" bestFit="1" customWidth="1"/>
    <col min="13071" max="13071" width="13" style="1609" bestFit="1" customWidth="1"/>
    <col min="13072" max="13072" width="10.1640625" style="1609" bestFit="1" customWidth="1"/>
    <col min="13073" max="13073" width="9.1640625" style="1609" customWidth="1"/>
    <col min="13074" max="13074" width="10.1640625" style="1609" bestFit="1" customWidth="1"/>
    <col min="13075" max="13075" width="13" style="1609" bestFit="1" customWidth="1"/>
    <col min="13076" max="13077" width="10.1640625" style="1609" bestFit="1" customWidth="1"/>
    <col min="13078" max="13078" width="13" style="1609" bestFit="1" customWidth="1"/>
    <col min="13079" max="13079" width="10.1640625" style="1609" bestFit="1" customWidth="1"/>
    <col min="13080" max="13080" width="9.83203125" style="1609" bestFit="1" customWidth="1"/>
    <col min="13081" max="13312" width="9.33203125" style="1609"/>
    <col min="13313" max="13313" width="3.1640625" style="1609" customWidth="1"/>
    <col min="13314" max="13314" width="7.6640625" style="1609" bestFit="1" customWidth="1"/>
    <col min="13315" max="13315" width="31.5" style="1609" customWidth="1"/>
    <col min="13316" max="13316" width="13.33203125" style="1609" bestFit="1" customWidth="1"/>
    <col min="13317" max="13325" width="0" style="1609" hidden="1" customWidth="1"/>
    <col min="13326" max="13326" width="10.1640625" style="1609" bestFit="1" customWidth="1"/>
    <col min="13327" max="13327" width="13" style="1609" bestFit="1" customWidth="1"/>
    <col min="13328" max="13328" width="10.1640625" style="1609" bestFit="1" customWidth="1"/>
    <col min="13329" max="13329" width="9.1640625" style="1609" customWidth="1"/>
    <col min="13330" max="13330" width="10.1640625" style="1609" bestFit="1" customWidth="1"/>
    <col min="13331" max="13331" width="13" style="1609" bestFit="1" customWidth="1"/>
    <col min="13332" max="13333" width="10.1640625" style="1609" bestFit="1" customWidth="1"/>
    <col min="13334" max="13334" width="13" style="1609" bestFit="1" customWidth="1"/>
    <col min="13335" max="13335" width="10.1640625" style="1609" bestFit="1" customWidth="1"/>
    <col min="13336" max="13336" width="9.83203125" style="1609" bestFit="1" customWidth="1"/>
    <col min="13337" max="13568" width="9.33203125" style="1609"/>
    <col min="13569" max="13569" width="3.1640625" style="1609" customWidth="1"/>
    <col min="13570" max="13570" width="7.6640625" style="1609" bestFit="1" customWidth="1"/>
    <col min="13571" max="13571" width="31.5" style="1609" customWidth="1"/>
    <col min="13572" max="13572" width="13.33203125" style="1609" bestFit="1" customWidth="1"/>
    <col min="13573" max="13581" width="0" style="1609" hidden="1" customWidth="1"/>
    <col min="13582" max="13582" width="10.1640625" style="1609" bestFit="1" customWidth="1"/>
    <col min="13583" max="13583" width="13" style="1609" bestFit="1" customWidth="1"/>
    <col min="13584" max="13584" width="10.1640625" style="1609" bestFit="1" customWidth="1"/>
    <col min="13585" max="13585" width="9.1640625" style="1609" customWidth="1"/>
    <col min="13586" max="13586" width="10.1640625" style="1609" bestFit="1" customWidth="1"/>
    <col min="13587" max="13587" width="13" style="1609" bestFit="1" customWidth="1"/>
    <col min="13588" max="13589" width="10.1640625" style="1609" bestFit="1" customWidth="1"/>
    <col min="13590" max="13590" width="13" style="1609" bestFit="1" customWidth="1"/>
    <col min="13591" max="13591" width="10.1640625" style="1609" bestFit="1" customWidth="1"/>
    <col min="13592" max="13592" width="9.83203125" style="1609" bestFit="1" customWidth="1"/>
    <col min="13593" max="13824" width="9.33203125" style="1609"/>
    <col min="13825" max="13825" width="3.1640625" style="1609" customWidth="1"/>
    <col min="13826" max="13826" width="7.6640625" style="1609" bestFit="1" customWidth="1"/>
    <col min="13827" max="13827" width="31.5" style="1609" customWidth="1"/>
    <col min="13828" max="13828" width="13.33203125" style="1609" bestFit="1" customWidth="1"/>
    <col min="13829" max="13837" width="0" style="1609" hidden="1" customWidth="1"/>
    <col min="13838" max="13838" width="10.1640625" style="1609" bestFit="1" customWidth="1"/>
    <col min="13839" max="13839" width="13" style="1609" bestFit="1" customWidth="1"/>
    <col min="13840" max="13840" width="10.1640625" style="1609" bestFit="1" customWidth="1"/>
    <col min="13841" max="13841" width="9.1640625" style="1609" customWidth="1"/>
    <col min="13842" max="13842" width="10.1640625" style="1609" bestFit="1" customWidth="1"/>
    <col min="13843" max="13843" width="13" style="1609" bestFit="1" customWidth="1"/>
    <col min="13844" max="13845" width="10.1640625" style="1609" bestFit="1" customWidth="1"/>
    <col min="13846" max="13846" width="13" style="1609" bestFit="1" customWidth="1"/>
    <col min="13847" max="13847" width="10.1640625" style="1609" bestFit="1" customWidth="1"/>
    <col min="13848" max="13848" width="9.83203125" style="1609" bestFit="1" customWidth="1"/>
    <col min="13849" max="14080" width="9.33203125" style="1609"/>
    <col min="14081" max="14081" width="3.1640625" style="1609" customWidth="1"/>
    <col min="14082" max="14082" width="7.6640625" style="1609" bestFit="1" customWidth="1"/>
    <col min="14083" max="14083" width="31.5" style="1609" customWidth="1"/>
    <col min="14084" max="14084" width="13.33203125" style="1609" bestFit="1" customWidth="1"/>
    <col min="14085" max="14093" width="0" style="1609" hidden="1" customWidth="1"/>
    <col min="14094" max="14094" width="10.1640625" style="1609" bestFit="1" customWidth="1"/>
    <col min="14095" max="14095" width="13" style="1609" bestFit="1" customWidth="1"/>
    <col min="14096" max="14096" width="10.1640625" style="1609" bestFit="1" customWidth="1"/>
    <col min="14097" max="14097" width="9.1640625" style="1609" customWidth="1"/>
    <col min="14098" max="14098" width="10.1640625" style="1609" bestFit="1" customWidth="1"/>
    <col min="14099" max="14099" width="13" style="1609" bestFit="1" customWidth="1"/>
    <col min="14100" max="14101" width="10.1640625" style="1609" bestFit="1" customWidth="1"/>
    <col min="14102" max="14102" width="13" style="1609" bestFit="1" customWidth="1"/>
    <col min="14103" max="14103" width="10.1640625" style="1609" bestFit="1" customWidth="1"/>
    <col min="14104" max="14104" width="9.83203125" style="1609" bestFit="1" customWidth="1"/>
    <col min="14105" max="14336" width="9.33203125" style="1609"/>
    <col min="14337" max="14337" width="3.1640625" style="1609" customWidth="1"/>
    <col min="14338" max="14338" width="7.6640625" style="1609" bestFit="1" customWidth="1"/>
    <col min="14339" max="14339" width="31.5" style="1609" customWidth="1"/>
    <col min="14340" max="14340" width="13.33203125" style="1609" bestFit="1" customWidth="1"/>
    <col min="14341" max="14349" width="0" style="1609" hidden="1" customWidth="1"/>
    <col min="14350" max="14350" width="10.1640625" style="1609" bestFit="1" customWidth="1"/>
    <col min="14351" max="14351" width="13" style="1609" bestFit="1" customWidth="1"/>
    <col min="14352" max="14352" width="10.1640625" style="1609" bestFit="1" customWidth="1"/>
    <col min="14353" max="14353" width="9.1640625" style="1609" customWidth="1"/>
    <col min="14354" max="14354" width="10.1640625" style="1609" bestFit="1" customWidth="1"/>
    <col min="14355" max="14355" width="13" style="1609" bestFit="1" customWidth="1"/>
    <col min="14356" max="14357" width="10.1640625" style="1609" bestFit="1" customWidth="1"/>
    <col min="14358" max="14358" width="13" style="1609" bestFit="1" customWidth="1"/>
    <col min="14359" max="14359" width="10.1640625" style="1609" bestFit="1" customWidth="1"/>
    <col min="14360" max="14360" width="9.83203125" style="1609" bestFit="1" customWidth="1"/>
    <col min="14361" max="14592" width="9.33203125" style="1609"/>
    <col min="14593" max="14593" width="3.1640625" style="1609" customWidth="1"/>
    <col min="14594" max="14594" width="7.6640625" style="1609" bestFit="1" customWidth="1"/>
    <col min="14595" max="14595" width="31.5" style="1609" customWidth="1"/>
    <col min="14596" max="14596" width="13.33203125" style="1609" bestFit="1" customWidth="1"/>
    <col min="14597" max="14605" width="0" style="1609" hidden="1" customWidth="1"/>
    <col min="14606" max="14606" width="10.1640625" style="1609" bestFit="1" customWidth="1"/>
    <col min="14607" max="14607" width="13" style="1609" bestFit="1" customWidth="1"/>
    <col min="14608" max="14608" width="10.1640625" style="1609" bestFit="1" customWidth="1"/>
    <col min="14609" max="14609" width="9.1640625" style="1609" customWidth="1"/>
    <col min="14610" max="14610" width="10.1640625" style="1609" bestFit="1" customWidth="1"/>
    <col min="14611" max="14611" width="13" style="1609" bestFit="1" customWidth="1"/>
    <col min="14612" max="14613" width="10.1640625" style="1609" bestFit="1" customWidth="1"/>
    <col min="14614" max="14614" width="13" style="1609" bestFit="1" customWidth="1"/>
    <col min="14615" max="14615" width="10.1640625" style="1609" bestFit="1" customWidth="1"/>
    <col min="14616" max="14616" width="9.83203125" style="1609" bestFit="1" customWidth="1"/>
    <col min="14617" max="14848" width="9.33203125" style="1609"/>
    <col min="14849" max="14849" width="3.1640625" style="1609" customWidth="1"/>
    <col min="14850" max="14850" width="7.6640625" style="1609" bestFit="1" customWidth="1"/>
    <col min="14851" max="14851" width="31.5" style="1609" customWidth="1"/>
    <col min="14852" max="14852" width="13.33203125" style="1609" bestFit="1" customWidth="1"/>
    <col min="14853" max="14861" width="0" style="1609" hidden="1" customWidth="1"/>
    <col min="14862" max="14862" width="10.1640625" style="1609" bestFit="1" customWidth="1"/>
    <col min="14863" max="14863" width="13" style="1609" bestFit="1" customWidth="1"/>
    <col min="14864" max="14864" width="10.1640625" style="1609" bestFit="1" customWidth="1"/>
    <col min="14865" max="14865" width="9.1640625" style="1609" customWidth="1"/>
    <col min="14866" max="14866" width="10.1640625" style="1609" bestFit="1" customWidth="1"/>
    <col min="14867" max="14867" width="13" style="1609" bestFit="1" customWidth="1"/>
    <col min="14868" max="14869" width="10.1640625" style="1609" bestFit="1" customWidth="1"/>
    <col min="14870" max="14870" width="13" style="1609" bestFit="1" customWidth="1"/>
    <col min="14871" max="14871" width="10.1640625" style="1609" bestFit="1" customWidth="1"/>
    <col min="14872" max="14872" width="9.83203125" style="1609" bestFit="1" customWidth="1"/>
    <col min="14873" max="15104" width="9.33203125" style="1609"/>
    <col min="15105" max="15105" width="3.1640625" style="1609" customWidth="1"/>
    <col min="15106" max="15106" width="7.6640625" style="1609" bestFit="1" customWidth="1"/>
    <col min="15107" max="15107" width="31.5" style="1609" customWidth="1"/>
    <col min="15108" max="15108" width="13.33203125" style="1609" bestFit="1" customWidth="1"/>
    <col min="15109" max="15117" width="0" style="1609" hidden="1" customWidth="1"/>
    <col min="15118" max="15118" width="10.1640625" style="1609" bestFit="1" customWidth="1"/>
    <col min="15119" max="15119" width="13" style="1609" bestFit="1" customWidth="1"/>
    <col min="15120" max="15120" width="10.1640625" style="1609" bestFit="1" customWidth="1"/>
    <col min="15121" max="15121" width="9.1640625" style="1609" customWidth="1"/>
    <col min="15122" max="15122" width="10.1640625" style="1609" bestFit="1" customWidth="1"/>
    <col min="15123" max="15123" width="13" style="1609" bestFit="1" customWidth="1"/>
    <col min="15124" max="15125" width="10.1640625" style="1609" bestFit="1" customWidth="1"/>
    <col min="15126" max="15126" width="13" style="1609" bestFit="1" customWidth="1"/>
    <col min="15127" max="15127" width="10.1640625" style="1609" bestFit="1" customWidth="1"/>
    <col min="15128" max="15128" width="9.83203125" style="1609" bestFit="1" customWidth="1"/>
    <col min="15129" max="15360" width="9.33203125" style="1609"/>
    <col min="15361" max="15361" width="3.1640625" style="1609" customWidth="1"/>
    <col min="15362" max="15362" width="7.6640625" style="1609" bestFit="1" customWidth="1"/>
    <col min="15363" max="15363" width="31.5" style="1609" customWidth="1"/>
    <col min="15364" max="15364" width="13.33203125" style="1609" bestFit="1" customWidth="1"/>
    <col min="15365" max="15373" width="0" style="1609" hidden="1" customWidth="1"/>
    <col min="15374" max="15374" width="10.1640625" style="1609" bestFit="1" customWidth="1"/>
    <col min="15375" max="15375" width="13" style="1609" bestFit="1" customWidth="1"/>
    <col min="15376" max="15376" width="10.1640625" style="1609" bestFit="1" customWidth="1"/>
    <col min="15377" max="15377" width="9.1640625" style="1609" customWidth="1"/>
    <col min="15378" max="15378" width="10.1640625" style="1609" bestFit="1" customWidth="1"/>
    <col min="15379" max="15379" width="13" style="1609" bestFit="1" customWidth="1"/>
    <col min="15380" max="15381" width="10.1640625" style="1609" bestFit="1" customWidth="1"/>
    <col min="15382" max="15382" width="13" style="1609" bestFit="1" customWidth="1"/>
    <col min="15383" max="15383" width="10.1640625" style="1609" bestFit="1" customWidth="1"/>
    <col min="15384" max="15384" width="9.83203125" style="1609" bestFit="1" customWidth="1"/>
    <col min="15385" max="15616" width="9.33203125" style="1609"/>
    <col min="15617" max="15617" width="3.1640625" style="1609" customWidth="1"/>
    <col min="15618" max="15618" width="7.6640625" style="1609" bestFit="1" customWidth="1"/>
    <col min="15619" max="15619" width="31.5" style="1609" customWidth="1"/>
    <col min="15620" max="15620" width="13.33203125" style="1609" bestFit="1" customWidth="1"/>
    <col min="15621" max="15629" width="0" style="1609" hidden="1" customWidth="1"/>
    <col min="15630" max="15630" width="10.1640625" style="1609" bestFit="1" customWidth="1"/>
    <col min="15631" max="15631" width="13" style="1609" bestFit="1" customWidth="1"/>
    <col min="15632" max="15632" width="10.1640625" style="1609" bestFit="1" customWidth="1"/>
    <col min="15633" max="15633" width="9.1640625" style="1609" customWidth="1"/>
    <col min="15634" max="15634" width="10.1640625" style="1609" bestFit="1" customWidth="1"/>
    <col min="15635" max="15635" width="13" style="1609" bestFit="1" customWidth="1"/>
    <col min="15636" max="15637" width="10.1640625" style="1609" bestFit="1" customWidth="1"/>
    <col min="15638" max="15638" width="13" style="1609" bestFit="1" customWidth="1"/>
    <col min="15639" max="15639" width="10.1640625" style="1609" bestFit="1" customWidth="1"/>
    <col min="15640" max="15640" width="9.83203125" style="1609" bestFit="1" customWidth="1"/>
    <col min="15641" max="15872" width="9.33203125" style="1609"/>
    <col min="15873" max="15873" width="3.1640625" style="1609" customWidth="1"/>
    <col min="15874" max="15874" width="7.6640625" style="1609" bestFit="1" customWidth="1"/>
    <col min="15875" max="15875" width="31.5" style="1609" customWidth="1"/>
    <col min="15876" max="15876" width="13.33203125" style="1609" bestFit="1" customWidth="1"/>
    <col min="15877" max="15885" width="0" style="1609" hidden="1" customWidth="1"/>
    <col min="15886" max="15886" width="10.1640625" style="1609" bestFit="1" customWidth="1"/>
    <col min="15887" max="15887" width="13" style="1609" bestFit="1" customWidth="1"/>
    <col min="15888" max="15888" width="10.1640625" style="1609" bestFit="1" customWidth="1"/>
    <col min="15889" max="15889" width="9.1640625" style="1609" customWidth="1"/>
    <col min="15890" max="15890" width="10.1640625" style="1609" bestFit="1" customWidth="1"/>
    <col min="15891" max="15891" width="13" style="1609" bestFit="1" customWidth="1"/>
    <col min="15892" max="15893" width="10.1640625" style="1609" bestFit="1" customWidth="1"/>
    <col min="15894" max="15894" width="13" style="1609" bestFit="1" customWidth="1"/>
    <col min="15895" max="15895" width="10.1640625" style="1609" bestFit="1" customWidth="1"/>
    <col min="15896" max="15896" width="9.83203125" style="1609" bestFit="1" customWidth="1"/>
    <col min="15897" max="16128" width="9.33203125" style="1609"/>
    <col min="16129" max="16129" width="3.1640625" style="1609" customWidth="1"/>
    <col min="16130" max="16130" width="7.6640625" style="1609" bestFit="1" customWidth="1"/>
    <col min="16131" max="16131" width="31.5" style="1609" customWidth="1"/>
    <col min="16132" max="16132" width="13.33203125" style="1609" bestFit="1" customWidth="1"/>
    <col min="16133" max="16141" width="0" style="1609" hidden="1" customWidth="1"/>
    <col min="16142" max="16142" width="10.1640625" style="1609" bestFit="1" customWidth="1"/>
    <col min="16143" max="16143" width="13" style="1609" bestFit="1" customWidth="1"/>
    <col min="16144" max="16144" width="10.1640625" style="1609" bestFit="1" customWidth="1"/>
    <col min="16145" max="16145" width="9.1640625" style="1609" customWidth="1"/>
    <col min="16146" max="16146" width="10.1640625" style="1609" bestFit="1" customWidth="1"/>
    <col min="16147" max="16147" width="13" style="1609" bestFit="1" customWidth="1"/>
    <col min="16148" max="16149" width="10.1640625" style="1609" bestFit="1" customWidth="1"/>
    <col min="16150" max="16150" width="13" style="1609" bestFit="1" customWidth="1"/>
    <col min="16151" max="16151" width="10.1640625" style="1609" bestFit="1" customWidth="1"/>
    <col min="16152" max="16152" width="9.83203125" style="1609" bestFit="1" customWidth="1"/>
    <col min="16153" max="16384" width="9.33203125" style="1609"/>
  </cols>
  <sheetData>
    <row r="1" spans="2:23" x14ac:dyDescent="0.2">
      <c r="S1" s="1608"/>
      <c r="T1" s="1608"/>
      <c r="U1" s="1608"/>
      <c r="V1" s="1608"/>
      <c r="W1" s="1608"/>
    </row>
    <row r="2" spans="2:23" x14ac:dyDescent="0.2">
      <c r="S2" s="1608"/>
      <c r="T2" s="1608"/>
      <c r="U2" s="1608"/>
      <c r="V2" s="1608"/>
      <c r="W2" s="1608"/>
    </row>
    <row r="3" spans="2:23" x14ac:dyDescent="0.2">
      <c r="B3" s="2611" t="s">
        <v>247</v>
      </c>
      <c r="C3" s="2611"/>
      <c r="D3" s="2611"/>
      <c r="E3" s="2611"/>
      <c r="F3" s="2611"/>
      <c r="G3" s="2611"/>
      <c r="H3" s="2611"/>
      <c r="I3" s="2611"/>
      <c r="J3" s="2611"/>
      <c r="K3" s="2611"/>
      <c r="L3" s="2611"/>
      <c r="M3" s="2611"/>
      <c r="N3" s="2611"/>
      <c r="O3" s="2611"/>
      <c r="P3" s="2611"/>
      <c r="Q3" s="2611"/>
      <c r="R3" s="2611"/>
      <c r="S3" s="2611"/>
      <c r="T3" s="2611"/>
      <c r="U3" s="2611"/>
      <c r="V3" s="2611"/>
      <c r="W3" s="2611"/>
    </row>
    <row r="4" spans="2:23" x14ac:dyDescent="0.2">
      <c r="B4" s="2611" t="s">
        <v>1211</v>
      </c>
      <c r="C4" s="2611"/>
      <c r="D4" s="2611"/>
      <c r="E4" s="2611"/>
      <c r="F4" s="2611"/>
      <c r="G4" s="2611"/>
      <c r="H4" s="2611"/>
      <c r="I4" s="2611"/>
      <c r="J4" s="2611"/>
      <c r="K4" s="2611"/>
      <c r="L4" s="2611"/>
      <c r="M4" s="2611"/>
      <c r="N4" s="2611"/>
      <c r="O4" s="2611"/>
      <c r="P4" s="2611"/>
      <c r="Q4" s="2611"/>
      <c r="R4" s="2611"/>
      <c r="S4" s="2611"/>
      <c r="T4" s="2611"/>
      <c r="U4" s="2611"/>
      <c r="V4" s="2611"/>
      <c r="W4" s="2611"/>
    </row>
    <row r="5" spans="2:23" x14ac:dyDescent="0.2">
      <c r="B5" s="2611" t="s">
        <v>1585</v>
      </c>
      <c r="C5" s="2611"/>
      <c r="D5" s="2611"/>
      <c r="E5" s="2611"/>
      <c r="F5" s="2611"/>
      <c r="G5" s="2611"/>
      <c r="H5" s="2611"/>
      <c r="I5" s="2611"/>
      <c r="J5" s="2611"/>
      <c r="K5" s="2611"/>
      <c r="L5" s="2611"/>
      <c r="M5" s="2611"/>
      <c r="N5" s="2611"/>
      <c r="O5" s="2611"/>
      <c r="P5" s="2611"/>
      <c r="Q5" s="2611"/>
      <c r="R5" s="2611"/>
      <c r="S5" s="2611"/>
      <c r="T5" s="2611"/>
      <c r="U5" s="2611"/>
      <c r="V5" s="2611"/>
      <c r="W5" s="2611"/>
    </row>
    <row r="6" spans="2:23" x14ac:dyDescent="0.2">
      <c r="E6" s="354">
        <v>2018</v>
      </c>
      <c r="H6" s="354">
        <v>2019</v>
      </c>
      <c r="J6" s="353" t="s">
        <v>1200</v>
      </c>
      <c r="K6" s="354">
        <v>2019</v>
      </c>
      <c r="M6" s="353" t="s">
        <v>1201</v>
      </c>
      <c r="O6" s="353">
        <v>2020</v>
      </c>
      <c r="S6" s="1609">
        <v>2021</v>
      </c>
      <c r="T6" s="1608"/>
      <c r="U6" s="1608"/>
      <c r="V6" s="1608">
        <v>2022</v>
      </c>
      <c r="W6" s="1610">
        <v>43829</v>
      </c>
    </row>
    <row r="7" spans="2:23" ht="30" customHeight="1" x14ac:dyDescent="0.2">
      <c r="B7" s="2607" t="s">
        <v>78</v>
      </c>
      <c r="C7" s="2607" t="s">
        <v>248</v>
      </c>
      <c r="D7" s="2607" t="s">
        <v>249</v>
      </c>
      <c r="E7" s="2607" t="s">
        <v>1202</v>
      </c>
      <c r="F7" s="2607"/>
      <c r="G7" s="2607"/>
      <c r="H7" s="2607" t="s">
        <v>1203</v>
      </c>
      <c r="I7" s="2607"/>
      <c r="J7" s="2607"/>
      <c r="K7" s="2607" t="s">
        <v>1204</v>
      </c>
      <c r="L7" s="2607"/>
      <c r="M7" s="2607"/>
      <c r="N7" s="2607" t="s">
        <v>1586</v>
      </c>
      <c r="O7" s="2607"/>
      <c r="P7" s="2607"/>
      <c r="Q7" s="2607"/>
      <c r="R7" s="2607" t="s">
        <v>1587</v>
      </c>
      <c r="S7" s="2607"/>
      <c r="T7" s="2607"/>
      <c r="U7" s="2607" t="s">
        <v>1588</v>
      </c>
      <c r="V7" s="2607"/>
      <c r="W7" s="2607"/>
    </row>
    <row r="8" spans="2:23" ht="55.5" x14ac:dyDescent="0.2">
      <c r="B8" s="2607"/>
      <c r="C8" s="2607"/>
      <c r="D8" s="2607"/>
      <c r="E8" s="1611" t="s">
        <v>250</v>
      </c>
      <c r="F8" s="1611" t="s">
        <v>483</v>
      </c>
      <c r="G8" s="1611" t="s">
        <v>484</v>
      </c>
      <c r="H8" s="1611" t="s">
        <v>250</v>
      </c>
      <c r="I8" s="1611" t="s">
        <v>483</v>
      </c>
      <c r="J8" s="1611" t="s">
        <v>484</v>
      </c>
      <c r="K8" s="1611" t="s">
        <v>250</v>
      </c>
      <c r="L8" s="1611" t="s">
        <v>483</v>
      </c>
      <c r="M8" s="1611" t="s">
        <v>484</v>
      </c>
      <c r="N8" s="1611" t="s">
        <v>250</v>
      </c>
      <c r="O8" s="1611" t="s">
        <v>483</v>
      </c>
      <c r="P8" s="1611" t="s">
        <v>484</v>
      </c>
      <c r="Q8" s="1611" t="s">
        <v>182</v>
      </c>
      <c r="R8" s="1611" t="s">
        <v>250</v>
      </c>
      <c r="S8" s="1611" t="s">
        <v>483</v>
      </c>
      <c r="T8" s="1611" t="s">
        <v>484</v>
      </c>
      <c r="U8" s="1611" t="s">
        <v>250</v>
      </c>
      <c r="V8" s="1611" t="s">
        <v>483</v>
      </c>
      <c r="W8" s="1611" t="s">
        <v>484</v>
      </c>
    </row>
    <row r="9" spans="2:23" x14ac:dyDescent="0.2">
      <c r="B9" s="669">
        <v>1</v>
      </c>
      <c r="C9" s="669">
        <v>2</v>
      </c>
      <c r="D9" s="669">
        <v>3</v>
      </c>
      <c r="E9" s="669">
        <v>4</v>
      </c>
      <c r="F9" s="669">
        <v>5</v>
      </c>
      <c r="G9" s="669">
        <v>6</v>
      </c>
      <c r="H9" s="669">
        <v>7</v>
      </c>
      <c r="I9" s="669">
        <v>8</v>
      </c>
      <c r="J9" s="669">
        <v>9</v>
      </c>
      <c r="K9" s="669">
        <v>10</v>
      </c>
      <c r="L9" s="669">
        <v>11</v>
      </c>
      <c r="M9" s="669">
        <v>12</v>
      </c>
      <c r="N9" s="669">
        <v>13</v>
      </c>
      <c r="O9" s="669">
        <v>14</v>
      </c>
      <c r="P9" s="669">
        <v>15</v>
      </c>
      <c r="Q9" s="669">
        <v>16</v>
      </c>
      <c r="R9" s="669">
        <v>17</v>
      </c>
      <c r="S9" s="669">
        <v>18</v>
      </c>
      <c r="T9" s="669">
        <v>19</v>
      </c>
      <c r="U9" s="669">
        <v>20</v>
      </c>
      <c r="V9" s="669">
        <v>21</v>
      </c>
      <c r="W9" s="669">
        <v>22</v>
      </c>
    </row>
    <row r="10" spans="2:23" x14ac:dyDescent="0.2">
      <c r="B10" s="480" t="s">
        <v>267</v>
      </c>
      <c r="C10" s="481" t="s">
        <v>268</v>
      </c>
      <c r="D10" s="480" t="s">
        <v>269</v>
      </c>
      <c r="E10" s="482">
        <v>11</v>
      </c>
      <c r="F10" s="483">
        <v>828.66</v>
      </c>
      <c r="G10" s="725">
        <f>E10*F10/1000</f>
        <v>9.1199999999999992</v>
      </c>
      <c r="H10" s="482">
        <v>11</v>
      </c>
      <c r="I10" s="483">
        <v>809.56</v>
      </c>
      <c r="J10" s="725">
        <f>H10*I10/1000*1.18</f>
        <v>10.51</v>
      </c>
      <c r="K10" s="482">
        <v>11</v>
      </c>
      <c r="L10" s="482">
        <v>2874.24</v>
      </c>
      <c r="M10" s="725">
        <f>K10*L10/1000*1.2</f>
        <v>37.94</v>
      </c>
      <c r="N10" s="482">
        <v>11</v>
      </c>
      <c r="O10" s="482">
        <v>2874.24</v>
      </c>
      <c r="P10" s="482">
        <f>N10*O10/1000*1.2</f>
        <v>37.94</v>
      </c>
      <c r="Q10" s="482"/>
      <c r="R10" s="482">
        <v>11</v>
      </c>
      <c r="S10" s="482">
        <v>2874.24</v>
      </c>
      <c r="T10" s="482">
        <f>R10*S10/1000*1.2</f>
        <v>37.94</v>
      </c>
      <c r="U10" s="482">
        <v>11</v>
      </c>
      <c r="V10" s="482">
        <v>2874.24</v>
      </c>
      <c r="W10" s="482">
        <f>U10*V10/1000*1.2</f>
        <v>37.94</v>
      </c>
    </row>
    <row r="11" spans="2:23" ht="24" x14ac:dyDescent="0.2">
      <c r="B11" s="480" t="s">
        <v>270</v>
      </c>
      <c r="C11" s="481" t="s">
        <v>271</v>
      </c>
      <c r="D11" s="480" t="s">
        <v>272</v>
      </c>
      <c r="E11" s="482">
        <v>1</v>
      </c>
      <c r="F11" s="483">
        <v>5529.33</v>
      </c>
      <c r="G11" s="725">
        <f t="shared" ref="G11:G18" si="0">E11*F11/1000</f>
        <v>5.53</v>
      </c>
      <c r="H11" s="482">
        <v>1</v>
      </c>
      <c r="I11" s="483">
        <v>5401.85</v>
      </c>
      <c r="J11" s="725">
        <f t="shared" ref="J11:J18" si="1">H11*I11/1000*1.18</f>
        <v>6.37</v>
      </c>
      <c r="K11" s="482">
        <v>1</v>
      </c>
      <c r="L11" s="482">
        <v>20416.66</v>
      </c>
      <c r="M11" s="725">
        <f t="shared" ref="M11:M18" si="2">K11*L11/1000*1.2</f>
        <v>24.5</v>
      </c>
      <c r="N11" s="482">
        <v>1</v>
      </c>
      <c r="O11" s="482">
        <v>20416.66</v>
      </c>
      <c r="P11" s="482">
        <f t="shared" ref="P11:P18" si="3">N11*O11/1000*1.2</f>
        <v>24.5</v>
      </c>
      <c r="Q11" s="482"/>
      <c r="R11" s="482">
        <v>1</v>
      </c>
      <c r="S11" s="482">
        <v>20416.66</v>
      </c>
      <c r="T11" s="482">
        <f>R11*S11/1000*1.2</f>
        <v>24.5</v>
      </c>
      <c r="U11" s="482">
        <v>1</v>
      </c>
      <c r="V11" s="482">
        <v>20416.66</v>
      </c>
      <c r="W11" s="482">
        <f>U11*V11/1000*1.2</f>
        <v>24.5</v>
      </c>
    </row>
    <row r="12" spans="2:23" x14ac:dyDescent="0.2">
      <c r="B12" s="480" t="s">
        <v>273</v>
      </c>
      <c r="C12" s="481" t="s">
        <v>274</v>
      </c>
      <c r="D12" s="480"/>
      <c r="E12" s="482"/>
      <c r="F12" s="483"/>
      <c r="G12" s="725"/>
      <c r="H12" s="482"/>
      <c r="I12" s="483"/>
      <c r="J12" s="725"/>
      <c r="K12" s="482"/>
      <c r="L12" s="482"/>
      <c r="M12" s="725"/>
      <c r="N12" s="482"/>
      <c r="O12" s="482"/>
      <c r="P12" s="482"/>
      <c r="Q12" s="482"/>
      <c r="R12" s="482"/>
      <c r="S12" s="482"/>
      <c r="T12" s="482"/>
      <c r="U12" s="482"/>
      <c r="V12" s="482"/>
      <c r="W12" s="482"/>
    </row>
    <row r="13" spans="2:23" ht="72" x14ac:dyDescent="0.2">
      <c r="B13" s="480" t="s">
        <v>275</v>
      </c>
      <c r="C13" s="481" t="s">
        <v>276</v>
      </c>
      <c r="D13" s="480" t="s">
        <v>257</v>
      </c>
      <c r="E13" s="482">
        <v>2</v>
      </c>
      <c r="F13" s="483">
        <v>4964.66</v>
      </c>
      <c r="G13" s="725">
        <f t="shared" si="0"/>
        <v>9.93</v>
      </c>
      <c r="H13" s="482"/>
      <c r="I13" s="483">
        <v>4850.2</v>
      </c>
      <c r="J13" s="725">
        <f t="shared" si="1"/>
        <v>0</v>
      </c>
      <c r="K13" s="482"/>
      <c r="L13" s="482">
        <v>8983.33</v>
      </c>
      <c r="M13" s="725">
        <f t="shared" si="2"/>
        <v>0</v>
      </c>
      <c r="N13" s="482"/>
      <c r="O13" s="482">
        <v>8983.33</v>
      </c>
      <c r="P13" s="482">
        <f t="shared" si="3"/>
        <v>0</v>
      </c>
      <c r="Q13" s="482"/>
      <c r="R13" s="482"/>
      <c r="S13" s="482">
        <v>8983.33</v>
      </c>
      <c r="T13" s="482">
        <f>R13*S13/1000*1.2</f>
        <v>0</v>
      </c>
      <c r="U13" s="482"/>
      <c r="V13" s="482">
        <v>8983.33</v>
      </c>
      <c r="W13" s="482">
        <f>U13*V13/1000*1.2</f>
        <v>0</v>
      </c>
    </row>
    <row r="14" spans="2:23" ht="36" x14ac:dyDescent="0.2">
      <c r="B14" s="480" t="s">
        <v>277</v>
      </c>
      <c r="C14" s="481" t="s">
        <v>278</v>
      </c>
      <c r="D14" s="480" t="s">
        <v>257</v>
      </c>
      <c r="E14" s="482"/>
      <c r="F14" s="483">
        <v>1023.72</v>
      </c>
      <c r="G14" s="725">
        <f t="shared" si="0"/>
        <v>0</v>
      </c>
      <c r="H14" s="482"/>
      <c r="I14" s="483">
        <v>1000.13</v>
      </c>
      <c r="J14" s="725">
        <f t="shared" si="1"/>
        <v>0</v>
      </c>
      <c r="K14" s="482"/>
      <c r="L14" s="482">
        <v>4083.33</v>
      </c>
      <c r="M14" s="725">
        <f t="shared" si="2"/>
        <v>0</v>
      </c>
      <c r="N14" s="482">
        <v>1</v>
      </c>
      <c r="O14" s="482">
        <v>4083.33</v>
      </c>
      <c r="P14" s="482">
        <f t="shared" si="3"/>
        <v>4.9000000000000004</v>
      </c>
      <c r="Q14" s="482"/>
      <c r="R14" s="482">
        <v>1</v>
      </c>
      <c r="S14" s="482">
        <v>4083.33</v>
      </c>
      <c r="T14" s="482">
        <f>R14*S14/1000*1.2</f>
        <v>4.9000000000000004</v>
      </c>
      <c r="U14" s="482">
        <v>1</v>
      </c>
      <c r="V14" s="482">
        <v>4083.33</v>
      </c>
      <c r="W14" s="482">
        <f>U14*V14/1000*1.2</f>
        <v>4.9000000000000004</v>
      </c>
    </row>
    <row r="15" spans="2:23" x14ac:dyDescent="0.2">
      <c r="B15" s="480" t="s">
        <v>279</v>
      </c>
      <c r="C15" s="481" t="s">
        <v>280</v>
      </c>
      <c r="D15" s="480" t="s">
        <v>257</v>
      </c>
      <c r="E15" s="482">
        <v>2</v>
      </c>
      <c r="F15" s="483">
        <v>1576.66</v>
      </c>
      <c r="G15" s="725">
        <f t="shared" si="0"/>
        <v>3.15</v>
      </c>
      <c r="H15" s="482">
        <v>1</v>
      </c>
      <c r="I15" s="483">
        <v>1540.32</v>
      </c>
      <c r="J15" s="725">
        <f t="shared" si="1"/>
        <v>1.82</v>
      </c>
      <c r="K15" s="482">
        <v>1</v>
      </c>
      <c r="L15" s="482">
        <v>3675</v>
      </c>
      <c r="M15" s="725">
        <f t="shared" si="2"/>
        <v>4.41</v>
      </c>
      <c r="N15" s="482">
        <v>1</v>
      </c>
      <c r="O15" s="482">
        <v>3675</v>
      </c>
      <c r="P15" s="482">
        <f>N15*O15/1000*1.2-0.07</f>
        <v>4.34</v>
      </c>
      <c r="Q15" s="482"/>
      <c r="R15" s="482">
        <v>1</v>
      </c>
      <c r="S15" s="482">
        <v>3675</v>
      </c>
      <c r="T15" s="482">
        <f>R15*S15/1000*1.2-0.07</f>
        <v>4.34</v>
      </c>
      <c r="U15" s="482">
        <v>1</v>
      </c>
      <c r="V15" s="482">
        <v>3675</v>
      </c>
      <c r="W15" s="482">
        <f>U15*V15/1000*1.2-0.07</f>
        <v>4.34</v>
      </c>
    </row>
    <row r="16" spans="2:23" ht="13.5" customHeight="1" x14ac:dyDescent="0.2">
      <c r="B16" s="480" t="s">
        <v>281</v>
      </c>
      <c r="C16" s="481" t="s">
        <v>282</v>
      </c>
      <c r="D16" s="480" t="s">
        <v>257</v>
      </c>
      <c r="E16" s="482"/>
      <c r="F16" s="483">
        <v>1576.66</v>
      </c>
      <c r="G16" s="725">
        <f t="shared" si="0"/>
        <v>0</v>
      </c>
      <c r="H16" s="482"/>
      <c r="I16" s="483">
        <v>1540.32</v>
      </c>
      <c r="J16" s="725">
        <f t="shared" si="1"/>
        <v>0</v>
      </c>
      <c r="K16" s="482"/>
      <c r="L16" s="482">
        <v>3675</v>
      </c>
      <c r="M16" s="725">
        <f t="shared" si="2"/>
        <v>0</v>
      </c>
      <c r="N16" s="482">
        <v>2</v>
      </c>
      <c r="O16" s="482">
        <v>3675</v>
      </c>
      <c r="P16" s="482">
        <f t="shared" si="3"/>
        <v>8.82</v>
      </c>
      <c r="Q16" s="482"/>
      <c r="R16" s="482">
        <v>2</v>
      </c>
      <c r="S16" s="482">
        <v>3675</v>
      </c>
      <c r="T16" s="482">
        <f>R16*S16/1000*1.2</f>
        <v>8.82</v>
      </c>
      <c r="U16" s="482">
        <v>2</v>
      </c>
      <c r="V16" s="482">
        <v>3675</v>
      </c>
      <c r="W16" s="482">
        <f>U16*V16/1000*1.2</f>
        <v>8.82</v>
      </c>
    </row>
    <row r="17" spans="2:23" x14ac:dyDescent="0.2">
      <c r="B17" s="480" t="s">
        <v>283</v>
      </c>
      <c r="C17" s="481" t="s">
        <v>1319</v>
      </c>
      <c r="D17" s="480" t="s">
        <v>284</v>
      </c>
      <c r="E17" s="482">
        <v>1</v>
      </c>
      <c r="F17" s="483">
        <v>2317.3200000000002</v>
      </c>
      <c r="G17" s="725">
        <f t="shared" si="0"/>
        <v>2.3199999999999998</v>
      </c>
      <c r="H17" s="482"/>
      <c r="I17" s="483">
        <v>2263.91</v>
      </c>
      <c r="J17" s="725">
        <f t="shared" si="1"/>
        <v>0</v>
      </c>
      <c r="K17" s="482"/>
      <c r="L17" s="482">
        <v>4655</v>
      </c>
      <c r="M17" s="725">
        <f t="shared" si="2"/>
        <v>0</v>
      </c>
      <c r="N17" s="482"/>
      <c r="O17" s="482">
        <v>4655</v>
      </c>
      <c r="P17" s="482">
        <f t="shared" si="3"/>
        <v>0</v>
      </c>
      <c r="Q17" s="482"/>
      <c r="R17" s="482"/>
      <c r="S17" s="482">
        <v>4655</v>
      </c>
      <c r="T17" s="482">
        <f>R17*S17/1000*1.2</f>
        <v>0</v>
      </c>
      <c r="U17" s="482"/>
      <c r="V17" s="482">
        <v>4655</v>
      </c>
      <c r="W17" s="482">
        <f>U17*V17/1000*1.2</f>
        <v>0</v>
      </c>
    </row>
    <row r="18" spans="2:23" x14ac:dyDescent="0.2">
      <c r="B18" s="480" t="s">
        <v>285</v>
      </c>
      <c r="C18" s="484" t="s">
        <v>286</v>
      </c>
      <c r="D18" s="480" t="s">
        <v>284</v>
      </c>
      <c r="E18" s="482"/>
      <c r="F18" s="483"/>
      <c r="G18" s="725">
        <f t="shared" si="0"/>
        <v>0</v>
      </c>
      <c r="H18" s="482">
        <v>1</v>
      </c>
      <c r="I18" s="483">
        <v>31292.37</v>
      </c>
      <c r="J18" s="725">
        <f t="shared" si="1"/>
        <v>36.92</v>
      </c>
      <c r="K18" s="482"/>
      <c r="L18" s="482">
        <v>12343.1</v>
      </c>
      <c r="M18" s="725">
        <f t="shared" si="2"/>
        <v>0</v>
      </c>
      <c r="N18" s="482"/>
      <c r="O18" s="483">
        <v>31292.37</v>
      </c>
      <c r="P18" s="482">
        <f t="shared" si="3"/>
        <v>0</v>
      </c>
      <c r="Q18" s="482"/>
      <c r="R18" s="482"/>
      <c r="S18" s="483">
        <v>31292.37</v>
      </c>
      <c r="T18" s="482">
        <f>R18*S18/1000*1.2</f>
        <v>0</v>
      </c>
      <c r="U18" s="482"/>
      <c r="V18" s="483">
        <v>31292.37</v>
      </c>
      <c r="W18" s="482">
        <f>U18*V18/1000*1.2</f>
        <v>0</v>
      </c>
    </row>
    <row r="19" spans="2:23" x14ac:dyDescent="0.2">
      <c r="B19" s="480"/>
      <c r="C19" s="484"/>
      <c r="D19" s="480"/>
      <c r="E19" s="482"/>
      <c r="F19" s="483"/>
      <c r="G19" s="725"/>
      <c r="H19" s="482"/>
      <c r="I19" s="483"/>
      <c r="J19" s="725"/>
      <c r="K19" s="482"/>
      <c r="L19" s="482"/>
      <c r="M19" s="725"/>
      <c r="N19" s="482"/>
      <c r="O19" s="483"/>
      <c r="P19" s="482"/>
      <c r="Q19" s="482"/>
      <c r="R19" s="482"/>
      <c r="S19" s="483"/>
      <c r="T19" s="482"/>
      <c r="U19" s="482"/>
      <c r="V19" s="483"/>
      <c r="W19" s="482"/>
    </row>
    <row r="20" spans="2:23" ht="24" x14ac:dyDescent="0.2">
      <c r="B20" s="358">
        <v>16</v>
      </c>
      <c r="C20" s="359" t="s">
        <v>310</v>
      </c>
      <c r="D20" s="669"/>
      <c r="E20" s="356"/>
      <c r="F20" s="356"/>
      <c r="G20" s="356"/>
      <c r="H20" s="356"/>
      <c r="I20" s="356"/>
      <c r="J20" s="356"/>
      <c r="K20" s="356"/>
      <c r="L20" s="356"/>
      <c r="M20" s="356"/>
      <c r="N20" s="356"/>
      <c r="O20" s="356"/>
      <c r="P20" s="356"/>
      <c r="Q20" s="356"/>
      <c r="R20" s="356"/>
      <c r="S20" s="356"/>
      <c r="T20" s="356"/>
      <c r="U20" s="356"/>
      <c r="V20" s="356"/>
      <c r="W20" s="356"/>
    </row>
    <row r="21" spans="2:23" ht="24" x14ac:dyDescent="0.2">
      <c r="B21" s="358" t="s">
        <v>311</v>
      </c>
      <c r="C21" s="359" t="s">
        <v>312</v>
      </c>
      <c r="D21" s="669" t="s">
        <v>253</v>
      </c>
      <c r="E21" s="356"/>
      <c r="F21" s="356">
        <v>22.05</v>
      </c>
      <c r="G21" s="356"/>
      <c r="H21" s="356"/>
      <c r="I21" s="356">
        <v>22.05</v>
      </c>
      <c r="J21" s="356"/>
      <c r="K21" s="356"/>
      <c r="L21" s="356">
        <v>22.05</v>
      </c>
      <c r="M21" s="356"/>
      <c r="N21" s="356"/>
      <c r="O21" s="356">
        <v>22.05</v>
      </c>
      <c r="P21" s="356">
        <f>N21*O21/1000*1.18</f>
        <v>0</v>
      </c>
      <c r="Q21" s="356"/>
      <c r="R21" s="356"/>
      <c r="S21" s="356">
        <v>22.05</v>
      </c>
      <c r="T21" s="356">
        <f>R21*S21/1000*1.18</f>
        <v>0</v>
      </c>
      <c r="U21" s="356"/>
      <c r="V21" s="356">
        <v>22.05</v>
      </c>
      <c r="W21" s="356">
        <f>U21*V21/1000*1.18</f>
        <v>0</v>
      </c>
    </row>
    <row r="22" spans="2:23" x14ac:dyDescent="0.2">
      <c r="B22" s="358" t="s">
        <v>313</v>
      </c>
      <c r="C22" s="359" t="s">
        <v>314</v>
      </c>
      <c r="D22" s="669" t="s">
        <v>253</v>
      </c>
      <c r="E22" s="356"/>
      <c r="F22" s="356">
        <v>24.99</v>
      </c>
      <c r="G22" s="356">
        <f>E22*F22*1.18*8/1000</f>
        <v>0</v>
      </c>
      <c r="H22" s="356"/>
      <c r="I22" s="356">
        <v>24.99</v>
      </c>
      <c r="J22" s="356">
        <f>H22*I22*1.18*8/1000</f>
        <v>0</v>
      </c>
      <c r="K22" s="356"/>
      <c r="L22" s="356">
        <v>24.99</v>
      </c>
      <c r="M22" s="725">
        <f>K22*L22*1.18*8/1000</f>
        <v>0</v>
      </c>
      <c r="N22" s="356"/>
      <c r="O22" s="356">
        <v>24.99</v>
      </c>
      <c r="P22" s="356">
        <f>N22*O22/1000*1.18</f>
        <v>0</v>
      </c>
      <c r="Q22" s="356"/>
      <c r="R22" s="356"/>
      <c r="S22" s="356">
        <v>24.99</v>
      </c>
      <c r="T22" s="356">
        <f>R22*S22/1000*1.18</f>
        <v>0</v>
      </c>
      <c r="U22" s="356"/>
      <c r="V22" s="356">
        <v>24.99</v>
      </c>
      <c r="W22" s="356">
        <f>U22*V22/1000*1.18</f>
        <v>0</v>
      </c>
    </row>
    <row r="23" spans="2:23" ht="24" x14ac:dyDescent="0.2">
      <c r="B23" s="358">
        <v>17</v>
      </c>
      <c r="C23" s="359" t="s">
        <v>315</v>
      </c>
      <c r="D23" s="669" t="s">
        <v>253</v>
      </c>
      <c r="E23" s="356">
        <v>1270.1300000000001</v>
      </c>
      <c r="F23" s="356">
        <f>G23/E23/1.18*1000</f>
        <v>62.81</v>
      </c>
      <c r="G23" s="725">
        <v>94.13</v>
      </c>
      <c r="H23" s="356">
        <v>1270.1300000000001</v>
      </c>
      <c r="I23" s="356">
        <v>61.7</v>
      </c>
      <c r="J23" s="725">
        <f>H23*I23/1000*1.18</f>
        <v>92.47</v>
      </c>
      <c r="K23" s="356">
        <v>1000</v>
      </c>
      <c r="L23" s="356">
        <f>M23/K23/1.2*1000</f>
        <v>50</v>
      </c>
      <c r="M23" s="725">
        <v>60</v>
      </c>
      <c r="N23" s="356">
        <v>1270.1300000000001</v>
      </c>
      <c r="O23" s="356">
        <v>61.7</v>
      </c>
      <c r="P23" s="356">
        <v>0</v>
      </c>
      <c r="Q23" s="1612"/>
      <c r="R23" s="356">
        <v>1270.1300000000001</v>
      </c>
      <c r="S23" s="356">
        <v>61.7</v>
      </c>
      <c r="T23" s="356">
        <v>0</v>
      </c>
      <c r="U23" s="356">
        <v>1270.1300000000001</v>
      </c>
      <c r="V23" s="356">
        <v>61.7</v>
      </c>
      <c r="W23" s="356">
        <v>0</v>
      </c>
    </row>
    <row r="24" spans="2:23" ht="48" x14ac:dyDescent="0.2">
      <c r="B24" s="358">
        <v>18</v>
      </c>
      <c r="C24" s="359" t="s">
        <v>316</v>
      </c>
      <c r="D24" s="669" t="s">
        <v>317</v>
      </c>
      <c r="E24" s="356"/>
      <c r="F24" s="356"/>
      <c r="G24" s="356"/>
      <c r="H24" s="356"/>
      <c r="I24" s="356"/>
      <c r="J24" s="356"/>
      <c r="K24" s="356"/>
      <c r="L24" s="356"/>
      <c r="M24" s="356"/>
      <c r="N24" s="356"/>
      <c r="O24" s="356"/>
      <c r="P24" s="356"/>
      <c r="Q24" s="356"/>
      <c r="R24" s="356"/>
      <c r="S24" s="356"/>
      <c r="T24" s="356"/>
      <c r="U24" s="356"/>
      <c r="V24" s="356"/>
      <c r="W24" s="356"/>
    </row>
    <row r="25" spans="2:23" ht="24" x14ac:dyDescent="0.2">
      <c r="B25" s="358">
        <v>21</v>
      </c>
      <c r="C25" s="359" t="s">
        <v>318</v>
      </c>
      <c r="D25" s="358"/>
      <c r="E25" s="356"/>
      <c r="F25" s="356"/>
      <c r="G25" s="361">
        <f>SUM(G10:G24)</f>
        <v>124.18</v>
      </c>
      <c r="H25" s="361"/>
      <c r="I25" s="361"/>
      <c r="J25" s="361">
        <f>SUM(J10:J24)</f>
        <v>148.09</v>
      </c>
      <c r="K25" s="361"/>
      <c r="L25" s="361"/>
      <c r="M25" s="361">
        <f>SUM(M10:M24)</f>
        <v>126.85</v>
      </c>
      <c r="N25" s="361"/>
      <c r="O25" s="361"/>
      <c r="P25" s="361">
        <f>SUM(P10:P24)</f>
        <v>80.5</v>
      </c>
      <c r="Q25" s="361"/>
      <c r="R25" s="361"/>
      <c r="S25" s="361"/>
      <c r="T25" s="361">
        <f>SUM(T10:T24)</f>
        <v>80.5</v>
      </c>
      <c r="U25" s="361"/>
      <c r="V25" s="361"/>
      <c r="W25" s="361">
        <f>SUM(W10:W24)</f>
        <v>80.5</v>
      </c>
    </row>
    <row r="26" spans="2:23" x14ac:dyDescent="0.2">
      <c r="B26" s="358"/>
      <c r="C26" s="359" t="s">
        <v>486</v>
      </c>
      <c r="D26" s="358"/>
      <c r="E26" s="356"/>
      <c r="F26" s="356"/>
      <c r="G26" s="356"/>
      <c r="H26" s="356"/>
      <c r="I26" s="356"/>
      <c r="J26" s="356"/>
      <c r="K26" s="356"/>
      <c r="L26" s="356"/>
      <c r="M26" s="356"/>
      <c r="N26" s="356"/>
      <c r="O26" s="1615"/>
      <c r="P26" s="356">
        <f>N26*O26/1000*1.18</f>
        <v>0</v>
      </c>
      <c r="Q26" s="356"/>
      <c r="R26" s="356"/>
      <c r="S26" s="1615"/>
      <c r="T26" s="356">
        <f>R26*S26/1000*1.18</f>
        <v>0</v>
      </c>
      <c r="U26" s="356"/>
      <c r="V26" s="1615"/>
      <c r="W26" s="356">
        <f>U26*V26/1000*1.18</f>
        <v>0</v>
      </c>
    </row>
    <row r="27" spans="2:23" x14ac:dyDescent="0.2">
      <c r="B27" s="358" t="s">
        <v>487</v>
      </c>
      <c r="C27" s="359" t="s">
        <v>488</v>
      </c>
      <c r="D27" s="358"/>
      <c r="E27" s="356"/>
      <c r="F27" s="356"/>
      <c r="G27" s="356"/>
      <c r="H27" s="356"/>
      <c r="I27" s="356"/>
      <c r="J27" s="356"/>
      <c r="K27" s="356"/>
      <c r="L27" s="356"/>
      <c r="M27" s="356"/>
      <c r="N27" s="356"/>
      <c r="O27" s="1615"/>
      <c r="P27" s="356">
        <f>N27*O27/1000*1.18</f>
        <v>0</v>
      </c>
      <c r="Q27" s="356"/>
      <c r="R27" s="356"/>
      <c r="S27" s="1615"/>
      <c r="T27" s="356">
        <f>R27*S27/1000*1.18</f>
        <v>0</v>
      </c>
      <c r="U27" s="356"/>
      <c r="V27" s="1615"/>
      <c r="W27" s="356">
        <f>U27*V27/1000*1.18</f>
        <v>0</v>
      </c>
    </row>
    <row r="28" spans="2:23" x14ac:dyDescent="0.2">
      <c r="B28" s="360" t="s">
        <v>489</v>
      </c>
      <c r="C28" s="359" t="s">
        <v>490</v>
      </c>
      <c r="D28" s="358"/>
      <c r="E28" s="356"/>
      <c r="F28" s="356"/>
      <c r="G28" s="356">
        <f>G25</f>
        <v>124.18</v>
      </c>
      <c r="H28" s="356"/>
      <c r="I28" s="356"/>
      <c r="J28" s="356">
        <f>J25</f>
        <v>148.09</v>
      </c>
      <c r="K28" s="356"/>
      <c r="L28" s="356"/>
      <c r="M28" s="356">
        <f>M25</f>
        <v>126.85</v>
      </c>
      <c r="N28" s="356"/>
      <c r="O28" s="356"/>
      <c r="P28" s="356">
        <f>P25</f>
        <v>80.5</v>
      </c>
      <c r="Q28" s="356"/>
      <c r="R28" s="356"/>
      <c r="S28" s="356"/>
      <c r="T28" s="356">
        <f>T25</f>
        <v>80.5</v>
      </c>
      <c r="U28" s="356"/>
      <c r="V28" s="356"/>
      <c r="W28" s="356">
        <f>W25</f>
        <v>80.5</v>
      </c>
    </row>
    <row r="29" spans="2:23" x14ac:dyDescent="0.2">
      <c r="E29" s="1616"/>
      <c r="F29" s="1616"/>
      <c r="G29" s="1616"/>
      <c r="H29" s="1616"/>
      <c r="I29" s="1616"/>
      <c r="J29" s="1616"/>
      <c r="K29" s="1616"/>
      <c r="L29" s="1616"/>
      <c r="M29" s="1616"/>
      <c r="N29" s="1616"/>
      <c r="O29" s="1616"/>
      <c r="P29" s="1616"/>
      <c r="Q29" s="1616"/>
      <c r="R29" s="1616"/>
      <c r="S29" s="1616"/>
      <c r="T29" s="1616"/>
      <c r="U29" s="1616"/>
      <c r="V29" s="1616"/>
      <c r="W29" s="1616"/>
    </row>
    <row r="30" spans="2:23" s="353" customFormat="1" x14ac:dyDescent="0.2">
      <c r="B30" s="355">
        <v>22</v>
      </c>
      <c r="C30" s="355" t="s">
        <v>825</v>
      </c>
      <c r="D30" s="669" t="s">
        <v>253</v>
      </c>
      <c r="E30" s="356"/>
      <c r="F30" s="356"/>
      <c r="G30" s="356"/>
      <c r="H30" s="356"/>
      <c r="I30" s="356"/>
      <c r="J30" s="356"/>
      <c r="K30" s="356"/>
      <c r="L30" s="356"/>
      <c r="M30" s="356"/>
      <c r="N30" s="356">
        <v>436</v>
      </c>
      <c r="O30" s="356">
        <v>0.84</v>
      </c>
      <c r="P30" s="356">
        <v>8.8000000000000007</v>
      </c>
      <c r="Q30" s="356"/>
      <c r="R30" s="356">
        <v>436</v>
      </c>
      <c r="S30" s="356">
        <v>0.84</v>
      </c>
      <c r="T30" s="356">
        <v>8.8000000000000007</v>
      </c>
      <c r="U30" s="356">
        <v>436</v>
      </c>
      <c r="V30" s="356">
        <v>0.84</v>
      </c>
      <c r="W30" s="356">
        <v>8.8000000000000007</v>
      </c>
    </row>
    <row r="31" spans="2:23" s="353" customFormat="1" x14ac:dyDescent="0.2">
      <c r="B31" s="355">
        <v>23</v>
      </c>
      <c r="C31" s="355" t="s">
        <v>826</v>
      </c>
      <c r="D31" s="669" t="s">
        <v>253</v>
      </c>
      <c r="E31" s="356"/>
      <c r="F31" s="356"/>
      <c r="G31" s="356"/>
      <c r="H31" s="356"/>
      <c r="I31" s="356"/>
      <c r="J31" s="356"/>
      <c r="K31" s="356"/>
      <c r="L31" s="356"/>
      <c r="M31" s="356"/>
      <c r="N31" s="356">
        <v>908</v>
      </c>
      <c r="O31" s="356">
        <v>0.79</v>
      </c>
      <c r="P31" s="356">
        <v>8.6</v>
      </c>
      <c r="Q31" s="356"/>
      <c r="R31" s="356">
        <v>908</v>
      </c>
      <c r="S31" s="356">
        <v>0.79</v>
      </c>
      <c r="T31" s="356">
        <v>8.6</v>
      </c>
      <c r="U31" s="356">
        <v>908</v>
      </c>
      <c r="V31" s="356">
        <v>0.79</v>
      </c>
      <c r="W31" s="356">
        <v>8.6</v>
      </c>
    </row>
    <row r="32" spans="2:23" s="353" customFormat="1" ht="25.5" x14ac:dyDescent="0.2">
      <c r="B32" s="355">
        <v>24</v>
      </c>
      <c r="C32" s="355" t="s">
        <v>827</v>
      </c>
      <c r="D32" s="669" t="s">
        <v>253</v>
      </c>
      <c r="E32" s="356"/>
      <c r="F32" s="356"/>
      <c r="G32" s="356"/>
      <c r="H32" s="356"/>
      <c r="I32" s="356"/>
      <c r="J32" s="356"/>
      <c r="K32" s="356"/>
      <c r="L32" s="356"/>
      <c r="M32" s="356"/>
      <c r="N32" s="356">
        <v>91.9</v>
      </c>
      <c r="O32" s="356">
        <v>696.51</v>
      </c>
      <c r="P32" s="356">
        <v>76.8</v>
      </c>
      <c r="Q32" s="356"/>
      <c r="R32" s="356">
        <v>91.9</v>
      </c>
      <c r="S32" s="356">
        <v>696.51</v>
      </c>
      <c r="T32" s="356">
        <v>76.8</v>
      </c>
      <c r="U32" s="356">
        <v>91.9</v>
      </c>
      <c r="V32" s="356">
        <v>696.51</v>
      </c>
      <c r="W32" s="356">
        <v>76.8</v>
      </c>
    </row>
    <row r="33" spans="2:24" s="353" customFormat="1" x14ac:dyDescent="0.2">
      <c r="B33" s="355"/>
      <c r="C33" s="1822" t="s">
        <v>1210</v>
      </c>
      <c r="D33" s="355"/>
      <c r="E33" s="356"/>
      <c r="F33" s="669"/>
      <c r="G33" s="356"/>
      <c r="H33" s="356"/>
      <c r="I33" s="669"/>
      <c r="J33" s="356"/>
      <c r="K33" s="356"/>
      <c r="L33" s="356"/>
      <c r="M33" s="356"/>
      <c r="N33" s="356"/>
      <c r="O33" s="356"/>
      <c r="P33" s="1823">
        <f>P32+P31+P30+P29+P28</f>
        <v>174.7</v>
      </c>
      <c r="Q33" s="1823"/>
      <c r="R33" s="1823"/>
      <c r="S33" s="1823"/>
      <c r="T33" s="1823">
        <f>T32+T31+T30+T29+T28</f>
        <v>174.7</v>
      </c>
      <c r="U33" s="1823"/>
      <c r="V33" s="1823"/>
      <c r="W33" s="1823">
        <f>W32+W31+W30+W29+W28</f>
        <v>174.7</v>
      </c>
    </row>
    <row r="34" spans="2:24" s="353" customFormat="1" x14ac:dyDescent="0.2">
      <c r="B34" s="355"/>
      <c r="C34" s="355"/>
      <c r="D34" s="355"/>
      <c r="E34" s="356"/>
      <c r="F34" s="355"/>
      <c r="G34" s="485"/>
      <c r="H34" s="356"/>
      <c r="I34" s="355"/>
      <c r="J34" s="485"/>
      <c r="K34" s="356"/>
      <c r="L34" s="356"/>
      <c r="M34" s="356"/>
      <c r="N34" s="356"/>
      <c r="O34" s="356"/>
      <c r="P34" s="356"/>
      <c r="Q34" s="356"/>
      <c r="R34" s="356"/>
      <c r="S34" s="356"/>
      <c r="T34" s="356"/>
      <c r="U34" s="356"/>
      <c r="V34" s="356"/>
      <c r="W34" s="356"/>
    </row>
    <row r="35" spans="2:24" s="353" customFormat="1" x14ac:dyDescent="0.2">
      <c r="B35" s="355"/>
      <c r="C35" s="355"/>
      <c r="D35" s="355"/>
      <c r="E35" s="355"/>
      <c r="F35" s="355"/>
      <c r="G35" s="355"/>
      <c r="H35" s="355"/>
      <c r="I35" s="355"/>
      <c r="J35" s="355"/>
      <c r="K35" s="355"/>
      <c r="L35" s="355"/>
      <c r="M35" s="355"/>
      <c r="N35" s="356"/>
      <c r="O35" s="355"/>
      <c r="P35" s="356"/>
      <c r="Q35" s="355"/>
      <c r="R35" s="356"/>
      <c r="S35" s="355"/>
      <c r="T35" s="356"/>
      <c r="U35" s="356"/>
      <c r="V35" s="355"/>
      <c r="W35" s="356"/>
    </row>
    <row r="36" spans="2:24" s="353" customFormat="1" x14ac:dyDescent="0.2">
      <c r="N36" s="1616"/>
      <c r="P36" s="1616"/>
      <c r="R36" s="1616"/>
      <c r="T36" s="1616"/>
      <c r="U36" s="1616"/>
      <c r="W36" s="1616"/>
    </row>
    <row r="37" spans="2:24" s="717" customFormat="1" x14ac:dyDescent="0.2">
      <c r="B37" s="716"/>
      <c r="C37" s="716" t="s">
        <v>1208</v>
      </c>
      <c r="D37" s="716"/>
      <c r="E37" s="716"/>
      <c r="F37" s="716"/>
      <c r="G37" s="716"/>
      <c r="H37" s="716"/>
      <c r="I37" s="716"/>
      <c r="J37" s="716"/>
      <c r="K37" s="716"/>
      <c r="L37" s="716"/>
      <c r="M37" s="716"/>
      <c r="N37" s="716"/>
      <c r="O37" s="716"/>
      <c r="P37" s="716"/>
      <c r="Q37" s="716"/>
      <c r="R37" s="716"/>
      <c r="S37" s="716"/>
      <c r="T37" s="716"/>
      <c r="U37" s="716"/>
      <c r="V37" s="716"/>
      <c r="W37" s="716"/>
    </row>
    <row r="38" spans="2:24" s="717" customFormat="1" x14ac:dyDescent="0.2">
      <c r="B38" s="716"/>
      <c r="C38" s="716" t="s">
        <v>574</v>
      </c>
      <c r="D38" s="716"/>
      <c r="E38" s="716"/>
      <c r="F38" s="716"/>
      <c r="G38" s="716"/>
      <c r="H38" s="716"/>
      <c r="I38" s="716"/>
      <c r="J38" s="716"/>
      <c r="K38" s="716"/>
      <c r="L38" s="716"/>
      <c r="M38" s="716"/>
      <c r="N38" s="716"/>
      <c r="O38" s="716"/>
      <c r="P38" s="716"/>
      <c r="Q38" s="716"/>
      <c r="R38" s="716"/>
      <c r="S38" s="716"/>
      <c r="T38" s="716"/>
      <c r="U38" s="716"/>
      <c r="V38" s="716"/>
      <c r="W38" s="716"/>
    </row>
    <row r="39" spans="2:24" s="353" customFormat="1" x14ac:dyDescent="0.2"/>
    <row r="40" spans="2:24" s="353" customFormat="1" x14ac:dyDescent="0.2"/>
    <row r="41" spans="2:24" s="353" customFormat="1" hidden="1" x14ac:dyDescent="0.2">
      <c r="O41" s="353" t="s">
        <v>828</v>
      </c>
      <c r="P41" s="486">
        <v>80.5</v>
      </c>
      <c r="Q41" s="726">
        <f>P41-P42</f>
        <v>0</v>
      </c>
      <c r="R41" s="486"/>
      <c r="S41" s="353" t="s">
        <v>828</v>
      </c>
      <c r="T41" s="486">
        <v>80.5</v>
      </c>
      <c r="U41" s="726">
        <f>T41-T42</f>
        <v>0</v>
      </c>
      <c r="V41" s="353" t="s">
        <v>828</v>
      </c>
      <c r="W41" s="486">
        <v>80.5</v>
      </c>
      <c r="X41" s="726">
        <f>W41-W42</f>
        <v>0</v>
      </c>
    </row>
    <row r="42" spans="2:24" s="487" customFormat="1" hidden="1" x14ac:dyDescent="0.2">
      <c r="P42" s="488">
        <f>P10+P11+P13+P14+P15+P16+P17+P18</f>
        <v>80.5</v>
      </c>
      <c r="Q42" s="488"/>
      <c r="R42" s="488"/>
      <c r="S42" s="488"/>
      <c r="T42" s="488">
        <f>T10+T11+T13+T14+T15+T16+T17+T18</f>
        <v>80.5</v>
      </c>
      <c r="U42" s="488"/>
      <c r="V42" s="488"/>
      <c r="W42" s="488">
        <f>W10+W11+W13+W14+W15+W16+W17+W18</f>
        <v>80.5</v>
      </c>
      <c r="X42" s="726"/>
    </row>
    <row r="43" spans="2:24" s="353" customFormat="1" hidden="1" x14ac:dyDescent="0.2">
      <c r="O43" s="353" t="s">
        <v>829</v>
      </c>
      <c r="P43" s="486">
        <v>0</v>
      </c>
      <c r="Q43" s="726">
        <f t="shared" ref="Q43:Q51" si="4">P43-P44</f>
        <v>0</v>
      </c>
      <c r="S43" s="353" t="s">
        <v>829</v>
      </c>
      <c r="T43" s="486">
        <v>0</v>
      </c>
      <c r="U43" s="726">
        <f t="shared" ref="U43:U51" si="5">T43-T44</f>
        <v>0</v>
      </c>
      <c r="V43" s="353" t="s">
        <v>829</v>
      </c>
      <c r="W43" s="486">
        <v>0</v>
      </c>
      <c r="X43" s="726">
        <f t="shared" ref="X43:X51" si="6">W43-W44</f>
        <v>0</v>
      </c>
    </row>
    <row r="44" spans="2:24" s="487" customFormat="1" hidden="1" x14ac:dyDescent="0.2">
      <c r="P44" s="488">
        <f>P17</f>
        <v>0</v>
      </c>
      <c r="Q44" s="488"/>
      <c r="R44" s="488"/>
      <c r="S44" s="488"/>
      <c r="T44" s="488">
        <f>T17</f>
        <v>0</v>
      </c>
      <c r="U44" s="488"/>
      <c r="V44" s="488"/>
      <c r="W44" s="488">
        <f>W17</f>
        <v>0</v>
      </c>
      <c r="X44" s="726"/>
    </row>
    <row r="45" spans="2:24" s="353" customFormat="1" hidden="1" x14ac:dyDescent="0.2">
      <c r="O45" s="353" t="s">
        <v>830</v>
      </c>
      <c r="P45" s="486">
        <v>17.399999999999999</v>
      </c>
      <c r="Q45" s="726">
        <f t="shared" si="4"/>
        <v>0</v>
      </c>
      <c r="S45" s="353" t="s">
        <v>830</v>
      </c>
      <c r="T45" s="486">
        <v>17.399999999999999</v>
      </c>
      <c r="U45" s="726">
        <f t="shared" si="5"/>
        <v>0</v>
      </c>
      <c r="V45" s="353" t="s">
        <v>830</v>
      </c>
      <c r="W45" s="486">
        <v>17.399999999999999</v>
      </c>
      <c r="X45" s="726">
        <f t="shared" si="6"/>
        <v>0</v>
      </c>
    </row>
    <row r="46" spans="2:24" s="487" customFormat="1" hidden="1" x14ac:dyDescent="0.2">
      <c r="P46" s="488">
        <f>P30+P31</f>
        <v>17.399999999999999</v>
      </c>
      <c r="Q46" s="488"/>
      <c r="R46" s="488"/>
      <c r="S46" s="488"/>
      <c r="T46" s="488">
        <f>T30+T31</f>
        <v>17.399999999999999</v>
      </c>
      <c r="U46" s="488"/>
      <c r="V46" s="488"/>
      <c r="W46" s="488">
        <f>W30+W31</f>
        <v>17.399999999999999</v>
      </c>
      <c r="X46" s="726"/>
    </row>
    <row r="47" spans="2:24" s="353" customFormat="1" hidden="1" x14ac:dyDescent="0.2">
      <c r="O47" s="353" t="s">
        <v>831</v>
      </c>
      <c r="P47" s="486">
        <v>76.8</v>
      </c>
      <c r="Q47" s="726">
        <f t="shared" si="4"/>
        <v>0</v>
      </c>
      <c r="R47" s="486"/>
      <c r="S47" s="353" t="s">
        <v>831</v>
      </c>
      <c r="T47" s="486">
        <v>76.8</v>
      </c>
      <c r="U47" s="726">
        <f t="shared" si="5"/>
        <v>0</v>
      </c>
      <c r="V47" s="353" t="s">
        <v>831</v>
      </c>
      <c r="W47" s="486">
        <v>76.8</v>
      </c>
      <c r="X47" s="726">
        <f t="shared" si="6"/>
        <v>0</v>
      </c>
    </row>
    <row r="48" spans="2:24" s="487" customFormat="1" hidden="1" x14ac:dyDescent="0.2">
      <c r="P48" s="488">
        <f>P32</f>
        <v>76.8</v>
      </c>
      <c r="Q48" s="488"/>
      <c r="R48" s="488"/>
      <c r="S48" s="488"/>
      <c r="T48" s="488">
        <f>T32</f>
        <v>76.8</v>
      </c>
      <c r="U48" s="488"/>
      <c r="V48" s="488"/>
      <c r="W48" s="488">
        <f>W32</f>
        <v>76.8</v>
      </c>
      <c r="X48" s="726"/>
    </row>
    <row r="49" spans="2:24" s="353" customFormat="1" hidden="1" x14ac:dyDescent="0.2">
      <c r="O49" s="353" t="s">
        <v>832</v>
      </c>
      <c r="P49" s="486">
        <v>0</v>
      </c>
      <c r="Q49" s="726">
        <f t="shared" si="4"/>
        <v>0</v>
      </c>
      <c r="S49" s="353" t="s">
        <v>832</v>
      </c>
      <c r="T49" s="486">
        <v>0</v>
      </c>
      <c r="U49" s="726">
        <f t="shared" si="5"/>
        <v>0</v>
      </c>
      <c r="V49" s="353" t="s">
        <v>832</v>
      </c>
      <c r="W49" s="486">
        <v>0</v>
      </c>
      <c r="X49" s="726">
        <f t="shared" si="6"/>
        <v>0</v>
      </c>
    </row>
    <row r="50" spans="2:24" s="487" customFormat="1" hidden="1" x14ac:dyDescent="0.2">
      <c r="P50" s="488">
        <f>P23</f>
        <v>0</v>
      </c>
      <c r="Q50" s="488"/>
      <c r="R50" s="488"/>
      <c r="S50" s="488"/>
      <c r="T50" s="488">
        <f>T23</f>
        <v>0</v>
      </c>
      <c r="U50" s="488"/>
      <c r="V50" s="488"/>
      <c r="W50" s="488">
        <f>W23</f>
        <v>0</v>
      </c>
      <c r="X50" s="726"/>
    </row>
    <row r="51" spans="2:24" s="353" customFormat="1" hidden="1" x14ac:dyDescent="0.2">
      <c r="O51" s="353" t="s">
        <v>833</v>
      </c>
      <c r="P51" s="486">
        <v>0</v>
      </c>
      <c r="Q51" s="726">
        <f t="shared" si="4"/>
        <v>0</v>
      </c>
      <c r="S51" s="353" t="s">
        <v>833</v>
      </c>
      <c r="T51" s="486">
        <v>0</v>
      </c>
      <c r="U51" s="726">
        <f t="shared" si="5"/>
        <v>0</v>
      </c>
      <c r="V51" s="353" t="s">
        <v>833</v>
      </c>
      <c r="W51" s="486">
        <v>0</v>
      </c>
      <c r="X51" s="726">
        <f t="shared" si="6"/>
        <v>0</v>
      </c>
    </row>
    <row r="52" spans="2:24" s="487" customFormat="1" hidden="1" x14ac:dyDescent="0.2">
      <c r="P52" s="488">
        <f>P22</f>
        <v>0</v>
      </c>
      <c r="Q52" s="488"/>
      <c r="R52" s="488"/>
      <c r="S52" s="488"/>
      <c r="T52" s="488">
        <f>T22</f>
        <v>0</v>
      </c>
      <c r="U52" s="488"/>
      <c r="V52" s="488"/>
      <c r="W52" s="488">
        <f>W22</f>
        <v>0</v>
      </c>
    </row>
    <row r="53" spans="2:24" s="353" customFormat="1" x14ac:dyDescent="0.2">
      <c r="P53" s="362" t="s">
        <v>1205</v>
      </c>
      <c r="T53" s="362" t="s">
        <v>1205</v>
      </c>
      <c r="W53" s="362" t="s">
        <v>1205</v>
      </c>
    </row>
    <row r="54" spans="2:24" s="354" customFormat="1" x14ac:dyDescent="0.2">
      <c r="O54" s="489">
        <f>P41+P43+P45+P47+P49+P51</f>
        <v>174.7</v>
      </c>
      <c r="P54" s="489">
        <v>174.7</v>
      </c>
      <c r="Q54" s="489"/>
      <c r="R54" s="489"/>
      <c r="T54" s="489">
        <v>174.7</v>
      </c>
      <c r="U54" s="489"/>
      <c r="W54" s="489">
        <v>174.7</v>
      </c>
    </row>
    <row r="55" spans="2:24" s="354" customFormat="1" x14ac:dyDescent="0.2">
      <c r="P55" s="1824">
        <f>P54-P33</f>
        <v>0</v>
      </c>
      <c r="Q55" s="1824"/>
      <c r="R55" s="1824"/>
      <c r="S55" s="1824"/>
      <c r="T55" s="1824">
        <f>T54-T33</f>
        <v>0</v>
      </c>
      <c r="U55" s="1824"/>
      <c r="V55" s="1824"/>
      <c r="W55" s="1824">
        <f>W54-W33</f>
        <v>0</v>
      </c>
    </row>
    <row r="56" spans="2:24" s="717" customFormat="1" x14ac:dyDescent="0.2">
      <c r="B56" s="716"/>
      <c r="C56" s="716"/>
      <c r="D56" s="716"/>
      <c r="E56" s="716"/>
      <c r="F56" s="716"/>
      <c r="G56" s="716"/>
      <c r="H56" s="716"/>
      <c r="I56" s="716"/>
      <c r="J56" s="716"/>
      <c r="K56" s="716"/>
      <c r="L56" s="716"/>
      <c r="M56" s="716"/>
      <c r="N56" s="716"/>
      <c r="O56" s="716"/>
      <c r="P56" s="716"/>
      <c r="Q56" s="716"/>
      <c r="R56" s="716"/>
      <c r="S56" s="716"/>
      <c r="T56" s="716"/>
      <c r="U56" s="716"/>
      <c r="V56" s="716"/>
      <c r="W56" s="716"/>
    </row>
  </sheetData>
  <mergeCells count="12">
    <mergeCell ref="R7:T7"/>
    <mergeCell ref="U7:W7"/>
    <mergeCell ref="B3:W3"/>
    <mergeCell ref="B4:W4"/>
    <mergeCell ref="B5:W5"/>
    <mergeCell ref="B7:B8"/>
    <mergeCell ref="C7:C8"/>
    <mergeCell ref="D7:D8"/>
    <mergeCell ref="E7:G7"/>
    <mergeCell ref="H7:J7"/>
    <mergeCell ref="K7:M7"/>
    <mergeCell ref="N7:Q7"/>
  </mergeCells>
  <pageMargins left="0.7" right="0.7" top="0.75" bottom="0.75" header="0.3" footer="0.3"/>
  <pageSetup paperSize="9" scale="58"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pageSetUpPr fitToPage="1"/>
  </sheetPr>
  <dimension ref="A1:AS43"/>
  <sheetViews>
    <sheetView view="pageBreakPreview" zoomScale="80" zoomScaleNormal="100" zoomScaleSheetLayoutView="80" workbookViewId="0">
      <pane xSplit="3" ySplit="8" topLeftCell="L9" activePane="bottomRight" state="frozen"/>
      <selection activeCell="M26" sqref="M26:N26"/>
      <selection pane="topRight" activeCell="M26" sqref="M26:N26"/>
      <selection pane="bottomLeft" activeCell="M26" sqref="M26:N26"/>
      <selection pane="bottomRight" activeCell="M26" sqref="M26:N26"/>
    </sheetView>
  </sheetViews>
  <sheetFormatPr defaultRowHeight="12.75" x14ac:dyDescent="0.2"/>
  <cols>
    <col min="1" max="1" width="12.83203125" style="98" customWidth="1"/>
    <col min="2" max="2" width="30.83203125" style="99" customWidth="1"/>
    <col min="3" max="3" width="13.83203125" style="99" customWidth="1"/>
    <col min="4" max="4" width="11.5" style="99" customWidth="1"/>
    <col min="5" max="5" width="13" style="99" customWidth="1"/>
    <col min="6" max="6" width="14.6640625" style="99" customWidth="1"/>
    <col min="7" max="8" width="13.1640625" style="99" customWidth="1"/>
    <col min="9" max="9" width="11.6640625" style="99" customWidth="1"/>
    <col min="10" max="10" width="16.83203125" style="99" customWidth="1"/>
    <col min="11" max="11" width="12" style="99" customWidth="1"/>
    <col min="12" max="17" width="11.5" style="100" customWidth="1"/>
    <col min="18" max="18" width="14.1640625" style="99" customWidth="1"/>
    <col min="19" max="19" width="15.5" style="99" customWidth="1"/>
    <col min="20" max="20" width="12.33203125" style="99" customWidth="1"/>
    <col min="21" max="21" width="11.6640625" style="99" customWidth="1"/>
    <col min="22" max="23" width="12" style="99" customWidth="1"/>
    <col min="24" max="24" width="12.6640625" style="99" customWidth="1"/>
    <col min="25" max="25" width="12" style="99" customWidth="1"/>
    <col min="26" max="26" width="9.6640625" style="99" customWidth="1"/>
    <col min="27" max="31" width="8.5" style="99" customWidth="1"/>
    <col min="32" max="32" width="9.6640625" style="99" customWidth="1"/>
    <col min="33" max="33" width="9.33203125" style="99" customWidth="1"/>
    <col min="34" max="34" width="12" style="99" customWidth="1"/>
    <col min="35" max="36" width="11.1640625" style="99" customWidth="1"/>
    <col min="37" max="37" width="12.6640625" style="99" customWidth="1"/>
    <col min="38" max="38" width="11.83203125" style="99" hidden="1" customWidth="1"/>
    <col min="39" max="39" width="13" style="99" hidden="1" customWidth="1"/>
    <col min="40" max="42" width="9.33203125" style="22"/>
    <col min="43" max="43" width="11.33203125" style="22" bestFit="1" customWidth="1"/>
    <col min="44" max="16384" width="9.33203125" style="99"/>
  </cols>
  <sheetData>
    <row r="1" spans="1:45" ht="21" customHeight="1" x14ac:dyDescent="0.2">
      <c r="AE1" s="2263"/>
      <c r="AF1" s="2263"/>
      <c r="AG1" s="2263"/>
      <c r="AH1" s="2263"/>
    </row>
    <row r="2" spans="1:45" ht="24" customHeight="1" x14ac:dyDescent="0.2">
      <c r="A2" s="2264" t="s">
        <v>142</v>
      </c>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c r="AA2" s="2264"/>
      <c r="AB2" s="2264"/>
      <c r="AC2" s="2264"/>
      <c r="AD2" s="2264"/>
      <c r="AE2" s="2264"/>
      <c r="AF2" s="2264"/>
      <c r="AG2" s="2264"/>
      <c r="AH2" s="2264"/>
    </row>
    <row r="3" spans="1:45" ht="24.75" customHeight="1" x14ac:dyDescent="0.2">
      <c r="A3" s="2265"/>
      <c r="B3" s="2265"/>
      <c r="C3" s="2265"/>
      <c r="D3" s="2265"/>
      <c r="E3" s="2265"/>
      <c r="F3" s="2265"/>
      <c r="G3" s="2265"/>
      <c r="H3" s="2265"/>
      <c r="I3" s="2265"/>
      <c r="J3" s="2265"/>
      <c r="K3" s="2265"/>
      <c r="L3" s="2265"/>
      <c r="M3" s="2265"/>
      <c r="N3" s="2265"/>
      <c r="O3" s="2265"/>
      <c r="P3" s="2265"/>
      <c r="Q3" s="2265"/>
      <c r="R3" s="2265"/>
      <c r="S3" s="2265"/>
      <c r="T3" s="2265"/>
      <c r="U3" s="2265"/>
      <c r="V3" s="2265"/>
      <c r="W3" s="2265"/>
      <c r="X3" s="2265"/>
      <c r="Y3" s="2265"/>
      <c r="Z3" s="2265"/>
      <c r="AA3" s="2265"/>
      <c r="AB3" s="2265"/>
      <c r="AC3" s="2265"/>
      <c r="AD3" s="2265"/>
      <c r="AE3" s="2265"/>
      <c r="AF3" s="2265"/>
      <c r="AG3" s="2265"/>
      <c r="AH3" s="2265"/>
    </row>
    <row r="4" spans="1:45" x14ac:dyDescent="0.2">
      <c r="L4" s="102">
        <v>3.8399999999999997E-2</v>
      </c>
    </row>
    <row r="5" spans="1:45" ht="38.25" customHeight="1" x14ac:dyDescent="0.2">
      <c r="A5" s="2266" t="s">
        <v>78</v>
      </c>
      <c r="B5" s="2266" t="s">
        <v>77</v>
      </c>
      <c r="C5" s="2256" t="s">
        <v>0</v>
      </c>
      <c r="D5" s="2256" t="s">
        <v>3</v>
      </c>
      <c r="E5" s="2256"/>
      <c r="F5" s="2256"/>
      <c r="G5" s="2256"/>
      <c r="H5" s="2256"/>
      <c r="I5" s="2256"/>
      <c r="J5" s="2256"/>
      <c r="K5" s="2256"/>
      <c r="L5" s="2256"/>
      <c r="M5" s="2256"/>
      <c r="N5" s="2256"/>
      <c r="O5" s="2256"/>
      <c r="P5" s="2256"/>
      <c r="Q5" s="2256"/>
      <c r="R5" s="2256"/>
      <c r="S5" s="2256"/>
      <c r="T5" s="2256"/>
      <c r="U5" s="2256"/>
      <c r="V5" s="2256"/>
      <c r="W5" s="2256"/>
      <c r="X5" s="2256" t="s">
        <v>4</v>
      </c>
      <c r="Y5" s="2256"/>
      <c r="Z5" s="2256"/>
      <c r="AA5" s="2256"/>
      <c r="AB5" s="2256"/>
      <c r="AC5" s="2256"/>
      <c r="AD5" s="2256"/>
      <c r="AE5" s="2256"/>
      <c r="AF5" s="2256"/>
      <c r="AG5" s="2256"/>
      <c r="AH5" s="2256"/>
    </row>
    <row r="6" spans="1:45" ht="60" customHeight="1" x14ac:dyDescent="0.2">
      <c r="A6" s="2266"/>
      <c r="B6" s="2266"/>
      <c r="C6" s="2256"/>
      <c r="D6" s="2259" t="s">
        <v>79</v>
      </c>
      <c r="E6" s="2259" t="s">
        <v>69</v>
      </c>
      <c r="F6" s="2259" t="s">
        <v>89</v>
      </c>
      <c r="G6" s="2259" t="s">
        <v>1</v>
      </c>
      <c r="H6" s="2259" t="s">
        <v>2</v>
      </c>
      <c r="I6" s="2259" t="s">
        <v>70</v>
      </c>
      <c r="J6" s="2259" t="s">
        <v>61</v>
      </c>
      <c r="K6" s="2259" t="s">
        <v>27</v>
      </c>
      <c r="L6" s="2261" t="s">
        <v>65</v>
      </c>
      <c r="M6" s="2261" t="s">
        <v>86</v>
      </c>
      <c r="N6" s="2262" t="s">
        <v>91</v>
      </c>
      <c r="O6" s="2262"/>
      <c r="P6" s="2262" t="s">
        <v>88</v>
      </c>
      <c r="Q6" s="2261" t="s">
        <v>82</v>
      </c>
      <c r="R6" s="2259" t="s">
        <v>83</v>
      </c>
      <c r="S6" s="2261" t="s">
        <v>87</v>
      </c>
      <c r="T6" s="2259" t="s">
        <v>84</v>
      </c>
      <c r="U6" s="2259" t="s">
        <v>9</v>
      </c>
      <c r="V6" s="2259" t="s">
        <v>7</v>
      </c>
      <c r="W6" s="2259" t="s">
        <v>85</v>
      </c>
      <c r="X6" s="2256" t="s">
        <v>10</v>
      </c>
      <c r="Y6" s="2256"/>
      <c r="Z6" s="2256"/>
      <c r="AA6" s="2256" t="s">
        <v>11</v>
      </c>
      <c r="AB6" s="2256"/>
      <c r="AC6" s="2256"/>
      <c r="AD6" s="2256" t="s">
        <v>12</v>
      </c>
      <c r="AE6" s="2256"/>
      <c r="AF6" s="2256"/>
      <c r="AG6" s="2256" t="s">
        <v>13</v>
      </c>
      <c r="AH6" s="2256" t="s">
        <v>73</v>
      </c>
    </row>
    <row r="7" spans="1:45" ht="97.5" customHeight="1" x14ac:dyDescent="0.2">
      <c r="A7" s="2266"/>
      <c r="B7" s="2266"/>
      <c r="C7" s="2256"/>
      <c r="D7" s="2259"/>
      <c r="E7" s="2259"/>
      <c r="F7" s="2259"/>
      <c r="G7" s="2259"/>
      <c r="H7" s="2259"/>
      <c r="I7" s="2259"/>
      <c r="J7" s="2259"/>
      <c r="K7" s="2259"/>
      <c r="L7" s="2261" t="s">
        <v>66</v>
      </c>
      <c r="M7" s="2261"/>
      <c r="N7" s="104" t="s">
        <v>80</v>
      </c>
      <c r="O7" s="104" t="s">
        <v>81</v>
      </c>
      <c r="P7" s="2262"/>
      <c r="Q7" s="2261"/>
      <c r="R7" s="2259"/>
      <c r="S7" s="2261" t="s">
        <v>67</v>
      </c>
      <c r="T7" s="2259"/>
      <c r="U7" s="2259"/>
      <c r="V7" s="2259"/>
      <c r="W7" s="2259"/>
      <c r="X7" s="105" t="s">
        <v>5</v>
      </c>
      <c r="Y7" s="105" t="s">
        <v>6</v>
      </c>
      <c r="Z7" s="105" t="s">
        <v>74</v>
      </c>
      <c r="AA7" s="105" t="s">
        <v>5</v>
      </c>
      <c r="AB7" s="105" t="s">
        <v>6</v>
      </c>
      <c r="AC7" s="105" t="s">
        <v>75</v>
      </c>
      <c r="AD7" s="105" t="s">
        <v>5</v>
      </c>
      <c r="AE7" s="105" t="s">
        <v>6</v>
      </c>
      <c r="AF7" s="105" t="s">
        <v>76</v>
      </c>
      <c r="AG7" s="2256"/>
      <c r="AH7" s="2256"/>
      <c r="AK7" s="98" t="s">
        <v>64</v>
      </c>
      <c r="AL7" s="98" t="s">
        <v>62</v>
      </c>
      <c r="AM7" s="98" t="s">
        <v>63</v>
      </c>
    </row>
    <row r="8" spans="1:45" x14ac:dyDescent="0.2">
      <c r="A8" s="94">
        <v>1</v>
      </c>
      <c r="B8" s="94">
        <v>2</v>
      </c>
      <c r="C8" s="94">
        <v>3</v>
      </c>
      <c r="D8" s="94">
        <v>4</v>
      </c>
      <c r="E8" s="94">
        <v>5</v>
      </c>
      <c r="F8" s="94">
        <v>6</v>
      </c>
      <c r="G8" s="94">
        <v>7</v>
      </c>
      <c r="H8" s="94">
        <v>8</v>
      </c>
      <c r="I8" s="94">
        <v>9</v>
      </c>
      <c r="J8" s="94">
        <v>10</v>
      </c>
      <c r="K8" s="94">
        <v>11</v>
      </c>
      <c r="L8" s="94">
        <v>12</v>
      </c>
      <c r="M8" s="94">
        <v>13</v>
      </c>
      <c r="N8" s="94">
        <v>14</v>
      </c>
      <c r="O8" s="94">
        <v>15</v>
      </c>
      <c r="P8" s="94">
        <v>16</v>
      </c>
      <c r="Q8" s="94">
        <v>17</v>
      </c>
      <c r="R8" s="94">
        <v>18</v>
      </c>
      <c r="S8" s="94">
        <v>19</v>
      </c>
      <c r="T8" s="94">
        <v>20</v>
      </c>
      <c r="U8" s="94">
        <v>21</v>
      </c>
      <c r="V8" s="94">
        <v>22</v>
      </c>
      <c r="W8" s="94">
        <v>23</v>
      </c>
      <c r="X8" s="94">
        <v>24</v>
      </c>
      <c r="Y8" s="94">
        <v>25</v>
      </c>
      <c r="Z8" s="94">
        <v>26</v>
      </c>
      <c r="AA8" s="94">
        <v>27</v>
      </c>
      <c r="AB8" s="94">
        <v>28</v>
      </c>
      <c r="AC8" s="94">
        <v>29</v>
      </c>
      <c r="AD8" s="94">
        <v>30</v>
      </c>
      <c r="AE8" s="94">
        <v>31</v>
      </c>
      <c r="AF8" s="94">
        <v>32</v>
      </c>
      <c r="AG8" s="94">
        <v>33</v>
      </c>
      <c r="AH8" s="94">
        <v>34</v>
      </c>
      <c r="AN8" s="43" t="s">
        <v>116</v>
      </c>
      <c r="AO8" s="43" t="s">
        <v>117</v>
      </c>
      <c r="AP8" s="43" t="s">
        <v>118</v>
      </c>
      <c r="AQ8" s="43" t="s">
        <v>119</v>
      </c>
    </row>
    <row r="9" spans="1:45" ht="16.5" customHeight="1" x14ac:dyDescent="0.2">
      <c r="A9" s="94">
        <v>1</v>
      </c>
      <c r="B9" s="106" t="s">
        <v>21</v>
      </c>
      <c r="C9" s="94">
        <v>1</v>
      </c>
      <c r="D9" s="107">
        <v>22.465</v>
      </c>
      <c r="E9" s="108">
        <f t="shared" ref="E9:E20" si="0">C9*D9</f>
        <v>22.47</v>
      </c>
      <c r="F9" s="109">
        <f t="shared" ref="F9:F19" si="1">E9*12</f>
        <v>269.60000000000002</v>
      </c>
      <c r="G9" s="110"/>
      <c r="H9" s="110"/>
      <c r="I9" s="110"/>
      <c r="J9" s="110"/>
      <c r="K9" s="95">
        <f>D9*0.2*5+D9*0.25*7</f>
        <v>61.8</v>
      </c>
      <c r="L9" s="95">
        <f>$L$4*F9</f>
        <v>10.4</v>
      </c>
      <c r="M9" s="95">
        <f t="shared" ref="M9:M19" si="2">F9+G9+H9+I9+J9+K9+L9</f>
        <v>341.8</v>
      </c>
      <c r="N9" s="111">
        <v>0.47</v>
      </c>
      <c r="O9" s="95">
        <f t="shared" ref="O9:O19" si="3">M9*N9</f>
        <v>160.6</v>
      </c>
      <c r="P9" s="95">
        <f t="shared" ref="P9:P19" si="4">M9+O9</f>
        <v>502.4</v>
      </c>
      <c r="Q9" s="95">
        <f t="shared" ref="Q9:Q19" si="5">P9*0.8</f>
        <v>401.9</v>
      </c>
      <c r="R9" s="95">
        <f t="shared" ref="R9:R19" si="6">P9*0.8</f>
        <v>401.9</v>
      </c>
      <c r="S9" s="95">
        <f t="shared" ref="S9:S19" si="7">(P9+Q9+R9)*0.032</f>
        <v>41.8</v>
      </c>
      <c r="T9" s="95">
        <f>P9+Q9+R9+S9</f>
        <v>1348</v>
      </c>
      <c r="U9" s="2257">
        <v>1</v>
      </c>
      <c r="V9" s="95">
        <f>T9*$U$9</f>
        <v>1348</v>
      </c>
      <c r="W9" s="95">
        <f>AQ9</f>
        <v>369.3</v>
      </c>
      <c r="X9" s="94">
        <v>1</v>
      </c>
      <c r="Y9" s="112">
        <v>30</v>
      </c>
      <c r="Z9" s="113">
        <f t="shared" ref="Z9:Z20" si="8">X9*Y9</f>
        <v>30</v>
      </c>
      <c r="AA9" s="94"/>
      <c r="AB9" s="112">
        <v>15</v>
      </c>
      <c r="AC9" s="113">
        <f t="shared" ref="AC9:AC20" si="9">AA9*AB9</f>
        <v>0</v>
      </c>
      <c r="AD9" s="94"/>
      <c r="AE9" s="112">
        <v>30</v>
      </c>
      <c r="AF9" s="113">
        <f>AD9*AE9</f>
        <v>0</v>
      </c>
      <c r="AG9" s="113">
        <f>(Z9+AC9+AF9)*1%*30</f>
        <v>9</v>
      </c>
      <c r="AH9" s="113">
        <f>Z9+AC9+AF9+AG9</f>
        <v>39</v>
      </c>
      <c r="AI9" s="114">
        <f t="shared" ref="AI9:AI19" si="10">V9/12/C9*1000</f>
        <v>112333.3</v>
      </c>
      <c r="AJ9" s="114"/>
      <c r="AK9" s="114">
        <f t="shared" ref="AK9:AK20" si="11">V9/C9</f>
        <v>1348</v>
      </c>
      <c r="AL9" s="114">
        <f>((979*0.302)+((AK9-979)*0.182))</f>
        <v>362.8</v>
      </c>
      <c r="AM9" s="115">
        <f>AL9/AK9</f>
        <v>0.26900000000000002</v>
      </c>
      <c r="AN9" s="50">
        <f>1150*0.22*C9+(V9-1150*C9)*0.1</f>
        <v>272.8</v>
      </c>
      <c r="AO9" s="116">
        <f>865*0.029</f>
        <v>25.1</v>
      </c>
      <c r="AP9" s="116">
        <f>AK9*0.053</f>
        <v>71.400000000000006</v>
      </c>
      <c r="AQ9" s="50">
        <f>SUM(AN9:AP9)</f>
        <v>369.3</v>
      </c>
      <c r="AS9" s="115"/>
    </row>
    <row r="10" spans="1:45" ht="15" x14ac:dyDescent="0.2">
      <c r="A10" s="94">
        <v>2</v>
      </c>
      <c r="B10" s="106" t="s">
        <v>125</v>
      </c>
      <c r="C10" s="94">
        <v>1</v>
      </c>
      <c r="D10" s="107">
        <v>17.972000000000001</v>
      </c>
      <c r="E10" s="108">
        <f t="shared" si="0"/>
        <v>17.97</v>
      </c>
      <c r="F10" s="109">
        <f t="shared" si="1"/>
        <v>215.6</v>
      </c>
      <c r="G10" s="110"/>
      <c r="H10" s="110"/>
      <c r="I10" s="110"/>
      <c r="J10" s="110"/>
      <c r="K10" s="95">
        <f>F10*0.3</f>
        <v>64.7</v>
      </c>
      <c r="L10" s="95">
        <f t="shared" ref="L10:L20" si="12">$L$4*F10</f>
        <v>8.3000000000000007</v>
      </c>
      <c r="M10" s="95">
        <f t="shared" si="2"/>
        <v>288.60000000000002</v>
      </c>
      <c r="N10" s="111">
        <v>0.47</v>
      </c>
      <c r="O10" s="95">
        <f t="shared" si="3"/>
        <v>135.6</v>
      </c>
      <c r="P10" s="95">
        <f t="shared" si="4"/>
        <v>424.2</v>
      </c>
      <c r="Q10" s="95">
        <f t="shared" si="5"/>
        <v>339.4</v>
      </c>
      <c r="R10" s="95">
        <f t="shared" si="6"/>
        <v>339.4</v>
      </c>
      <c r="S10" s="95">
        <f t="shared" si="7"/>
        <v>35.299999999999997</v>
      </c>
      <c r="T10" s="95">
        <f t="shared" ref="T10:T19" si="13">P10+Q10+R10+S10</f>
        <v>1138.3</v>
      </c>
      <c r="U10" s="2258"/>
      <c r="V10" s="95">
        <f>T10*$U$9</f>
        <v>1138.3</v>
      </c>
      <c r="W10" s="95">
        <f>AQ10</f>
        <v>337.2</v>
      </c>
      <c r="X10" s="94"/>
      <c r="Y10" s="112">
        <v>30</v>
      </c>
      <c r="Z10" s="113">
        <f t="shared" si="8"/>
        <v>0</v>
      </c>
      <c r="AA10" s="94"/>
      <c r="AB10" s="112">
        <v>15</v>
      </c>
      <c r="AC10" s="113">
        <f t="shared" si="9"/>
        <v>0</v>
      </c>
      <c r="AD10" s="94"/>
      <c r="AE10" s="112">
        <v>30</v>
      </c>
      <c r="AF10" s="113">
        <f t="shared" ref="AF10:AF20" si="14">AD10*AE10</f>
        <v>0</v>
      </c>
      <c r="AG10" s="113">
        <f t="shared" ref="AG10:AG20" si="15">(Z10+AC10+AF10)*1%*30</f>
        <v>0</v>
      </c>
      <c r="AH10" s="113">
        <f t="shared" ref="AH10:AH20" si="16">Z10+AC10+AF10+AG10</f>
        <v>0</v>
      </c>
      <c r="AI10" s="114">
        <f t="shared" si="10"/>
        <v>94858.3</v>
      </c>
      <c r="AJ10" s="114"/>
      <c r="AK10" s="114">
        <f t="shared" si="11"/>
        <v>1138.3</v>
      </c>
      <c r="AL10" s="114">
        <f t="shared" ref="AL10:AL20" si="17">((979*0.302)+((AK10-979)*0.182))</f>
        <v>324.7</v>
      </c>
      <c r="AM10" s="115">
        <f>AL10/AK10</f>
        <v>0.28499999999999998</v>
      </c>
      <c r="AN10" s="50">
        <f>1150*0.22*C10+(V10-1150*C10)*0.1</f>
        <v>251.8</v>
      </c>
      <c r="AO10" s="116">
        <f>865*0.029</f>
        <v>25.1</v>
      </c>
      <c r="AP10" s="116">
        <f>AK10*0.053</f>
        <v>60.3</v>
      </c>
      <c r="AQ10" s="50">
        <f>SUM(AN10:AP10)</f>
        <v>337.2</v>
      </c>
      <c r="AS10" s="115"/>
    </row>
    <row r="11" spans="1:45" ht="15" x14ac:dyDescent="0.2">
      <c r="A11" s="94">
        <v>3</v>
      </c>
      <c r="B11" s="117" t="s">
        <v>29</v>
      </c>
      <c r="C11" s="118">
        <v>1</v>
      </c>
      <c r="D11" s="107">
        <v>8.4730000000000008</v>
      </c>
      <c r="E11" s="119">
        <f t="shared" si="0"/>
        <v>8.4700000000000006</v>
      </c>
      <c r="F11" s="110">
        <f t="shared" si="1"/>
        <v>101.6</v>
      </c>
      <c r="G11" s="110"/>
      <c r="H11" s="110"/>
      <c r="I11" s="110"/>
      <c r="J11" s="110"/>
      <c r="K11" s="95"/>
      <c r="L11" s="95">
        <f t="shared" si="12"/>
        <v>3.9</v>
      </c>
      <c r="M11" s="95">
        <f t="shared" si="2"/>
        <v>105.5</v>
      </c>
      <c r="N11" s="111">
        <v>0.41</v>
      </c>
      <c r="O11" s="95">
        <f t="shared" si="3"/>
        <v>43.3</v>
      </c>
      <c r="P11" s="95">
        <f t="shared" si="4"/>
        <v>148.80000000000001</v>
      </c>
      <c r="Q11" s="95">
        <f t="shared" si="5"/>
        <v>119</v>
      </c>
      <c r="R11" s="95">
        <f t="shared" si="6"/>
        <v>119</v>
      </c>
      <c r="S11" s="95">
        <f t="shared" si="7"/>
        <v>12.4</v>
      </c>
      <c r="T11" s="95">
        <f t="shared" si="13"/>
        <v>399.2</v>
      </c>
      <c r="U11" s="2258"/>
      <c r="V11" s="95">
        <f t="shared" ref="V11:V19" si="18">T11*$U$9</f>
        <v>399.2</v>
      </c>
      <c r="W11" s="95">
        <f t="shared" ref="W11:W20" si="19">V11*0.302</f>
        <v>120.6</v>
      </c>
      <c r="X11" s="120"/>
      <c r="Y11" s="112">
        <v>30</v>
      </c>
      <c r="Z11" s="113">
        <f t="shared" si="8"/>
        <v>0</v>
      </c>
      <c r="AA11" s="120"/>
      <c r="AB11" s="112">
        <v>15</v>
      </c>
      <c r="AC11" s="113">
        <f t="shared" si="9"/>
        <v>0</v>
      </c>
      <c r="AD11" s="120"/>
      <c r="AE11" s="112">
        <v>30</v>
      </c>
      <c r="AF11" s="113">
        <f t="shared" si="14"/>
        <v>0</v>
      </c>
      <c r="AG11" s="113">
        <f t="shared" si="15"/>
        <v>0</v>
      </c>
      <c r="AH11" s="113">
        <f t="shared" si="16"/>
        <v>0</v>
      </c>
      <c r="AI11" s="114">
        <f t="shared" si="10"/>
        <v>33266.699999999997</v>
      </c>
      <c r="AJ11" s="114"/>
      <c r="AK11" s="114">
        <f t="shared" si="11"/>
        <v>399.2</v>
      </c>
      <c r="AL11" s="114">
        <f t="shared" si="17"/>
        <v>190.1</v>
      </c>
      <c r="AM11" s="115">
        <v>0.30199999999999999</v>
      </c>
      <c r="AN11" s="116"/>
      <c r="AO11" s="116"/>
      <c r="AP11" s="116"/>
      <c r="AQ11" s="116"/>
      <c r="AS11" s="115"/>
    </row>
    <row r="12" spans="1:45" s="126" customFormat="1" ht="25.5" x14ac:dyDescent="0.2">
      <c r="A12" s="94">
        <v>4</v>
      </c>
      <c r="B12" s="121" t="s">
        <v>31</v>
      </c>
      <c r="C12" s="122">
        <v>1</v>
      </c>
      <c r="D12" s="107">
        <v>11.061999999999999</v>
      </c>
      <c r="E12" s="123">
        <f t="shared" si="0"/>
        <v>11.06</v>
      </c>
      <c r="F12" s="124">
        <f t="shared" si="1"/>
        <v>132.69999999999999</v>
      </c>
      <c r="G12" s="124"/>
      <c r="H12" s="124"/>
      <c r="I12" s="124"/>
      <c r="J12" s="125"/>
      <c r="K12" s="96"/>
      <c r="L12" s="95">
        <f t="shared" si="12"/>
        <v>5.0999999999999996</v>
      </c>
      <c r="M12" s="96">
        <f t="shared" si="2"/>
        <v>137.80000000000001</v>
      </c>
      <c r="N12" s="111">
        <v>0.47</v>
      </c>
      <c r="O12" s="96">
        <f t="shared" si="3"/>
        <v>64.8</v>
      </c>
      <c r="P12" s="96">
        <f t="shared" si="4"/>
        <v>202.6</v>
      </c>
      <c r="Q12" s="96">
        <f t="shared" si="5"/>
        <v>162.1</v>
      </c>
      <c r="R12" s="96">
        <f t="shared" si="6"/>
        <v>162.1</v>
      </c>
      <c r="S12" s="96">
        <f t="shared" si="7"/>
        <v>16.899999999999999</v>
      </c>
      <c r="T12" s="96">
        <f t="shared" si="13"/>
        <v>543.70000000000005</v>
      </c>
      <c r="U12" s="2258"/>
      <c r="V12" s="96">
        <f t="shared" si="18"/>
        <v>543.70000000000005</v>
      </c>
      <c r="W12" s="95">
        <f t="shared" si="19"/>
        <v>164.2</v>
      </c>
      <c r="X12" s="122">
        <v>1</v>
      </c>
      <c r="Y12" s="112">
        <v>30</v>
      </c>
      <c r="Z12" s="113">
        <f t="shared" si="8"/>
        <v>30</v>
      </c>
      <c r="AA12" s="122"/>
      <c r="AB12" s="112">
        <v>15</v>
      </c>
      <c r="AC12" s="113">
        <f t="shared" si="9"/>
        <v>0</v>
      </c>
      <c r="AD12" s="122"/>
      <c r="AE12" s="112">
        <v>30</v>
      </c>
      <c r="AF12" s="113">
        <f t="shared" si="14"/>
        <v>0</v>
      </c>
      <c r="AG12" s="113">
        <f t="shared" si="15"/>
        <v>9</v>
      </c>
      <c r="AH12" s="113">
        <f t="shared" si="16"/>
        <v>39</v>
      </c>
      <c r="AI12" s="114">
        <f t="shared" si="10"/>
        <v>45308.3</v>
      </c>
      <c r="AJ12" s="114"/>
      <c r="AK12" s="114">
        <f t="shared" si="11"/>
        <v>543.70000000000005</v>
      </c>
      <c r="AL12" s="114">
        <f t="shared" si="17"/>
        <v>216.4</v>
      </c>
      <c r="AM12" s="115">
        <v>0.30199999999999999</v>
      </c>
      <c r="AN12" s="22"/>
      <c r="AO12" s="116"/>
      <c r="AP12" s="116"/>
      <c r="AQ12" s="116"/>
      <c r="AS12" s="115"/>
    </row>
    <row r="13" spans="1:45" ht="25.5" x14ac:dyDescent="0.2">
      <c r="A13" s="94">
        <v>5</v>
      </c>
      <c r="B13" s="117" t="s">
        <v>108</v>
      </c>
      <c r="C13" s="127">
        <v>2</v>
      </c>
      <c r="D13" s="107">
        <v>8.4730000000000008</v>
      </c>
      <c r="E13" s="119">
        <f t="shared" si="0"/>
        <v>16.95</v>
      </c>
      <c r="F13" s="110">
        <f t="shared" si="1"/>
        <v>203.4</v>
      </c>
      <c r="G13" s="110"/>
      <c r="H13" s="110"/>
      <c r="I13" s="110"/>
      <c r="J13" s="110"/>
      <c r="K13" s="95">
        <f>F13*0.25</f>
        <v>50.9</v>
      </c>
      <c r="L13" s="95">
        <f t="shared" si="12"/>
        <v>7.8</v>
      </c>
      <c r="M13" s="95">
        <f t="shared" si="2"/>
        <v>262.10000000000002</v>
      </c>
      <c r="N13" s="111">
        <v>0.47</v>
      </c>
      <c r="O13" s="95">
        <f t="shared" si="3"/>
        <v>123.2</v>
      </c>
      <c r="P13" s="95">
        <f t="shared" si="4"/>
        <v>385.3</v>
      </c>
      <c r="Q13" s="95">
        <f t="shared" si="5"/>
        <v>308.2</v>
      </c>
      <c r="R13" s="95">
        <f t="shared" si="6"/>
        <v>308.2</v>
      </c>
      <c r="S13" s="95">
        <f t="shared" si="7"/>
        <v>32.1</v>
      </c>
      <c r="T13" s="95">
        <f t="shared" si="13"/>
        <v>1033.8</v>
      </c>
      <c r="U13" s="2258"/>
      <c r="V13" s="95">
        <f>T13*$U$9</f>
        <v>1033.8</v>
      </c>
      <c r="W13" s="95">
        <f t="shared" si="19"/>
        <v>312.2</v>
      </c>
      <c r="X13" s="94">
        <v>1</v>
      </c>
      <c r="Y13" s="112">
        <v>30</v>
      </c>
      <c r="Z13" s="113">
        <f t="shared" si="8"/>
        <v>30</v>
      </c>
      <c r="AA13" s="127">
        <v>1</v>
      </c>
      <c r="AB13" s="112">
        <v>15</v>
      </c>
      <c r="AC13" s="113">
        <f t="shared" si="9"/>
        <v>15</v>
      </c>
      <c r="AD13" s="127"/>
      <c r="AE13" s="112">
        <v>30</v>
      </c>
      <c r="AF13" s="113">
        <f t="shared" si="14"/>
        <v>0</v>
      </c>
      <c r="AG13" s="113">
        <f t="shared" si="15"/>
        <v>13.5</v>
      </c>
      <c r="AH13" s="113">
        <f t="shared" si="16"/>
        <v>58.5</v>
      </c>
      <c r="AI13" s="114">
        <f t="shared" si="10"/>
        <v>43075</v>
      </c>
      <c r="AJ13" s="114"/>
      <c r="AK13" s="114">
        <f t="shared" si="11"/>
        <v>516.9</v>
      </c>
      <c r="AL13" s="114">
        <f t="shared" si="17"/>
        <v>211.6</v>
      </c>
      <c r="AM13" s="115">
        <v>0.30199999999999999</v>
      </c>
      <c r="AQ13" s="116"/>
      <c r="AS13" s="115"/>
    </row>
    <row r="14" spans="1:45" ht="15" x14ac:dyDescent="0.2">
      <c r="A14" s="94">
        <v>6</v>
      </c>
      <c r="B14" s="117" t="s">
        <v>32</v>
      </c>
      <c r="C14" s="128">
        <v>1</v>
      </c>
      <c r="D14" s="107">
        <v>11.061999999999999</v>
      </c>
      <c r="E14" s="119">
        <f t="shared" si="0"/>
        <v>11.06</v>
      </c>
      <c r="F14" s="110">
        <f t="shared" si="1"/>
        <v>132.69999999999999</v>
      </c>
      <c r="G14" s="110"/>
      <c r="H14" s="110"/>
      <c r="I14" s="110"/>
      <c r="J14" s="110"/>
      <c r="K14" s="95"/>
      <c r="L14" s="95">
        <f t="shared" si="12"/>
        <v>5.0999999999999996</v>
      </c>
      <c r="M14" s="95">
        <f t="shared" si="2"/>
        <v>137.80000000000001</v>
      </c>
      <c r="N14" s="111">
        <v>0.43</v>
      </c>
      <c r="O14" s="95">
        <f t="shared" si="3"/>
        <v>59.3</v>
      </c>
      <c r="P14" s="95">
        <f t="shared" si="4"/>
        <v>197.1</v>
      </c>
      <c r="Q14" s="95">
        <f t="shared" si="5"/>
        <v>157.69999999999999</v>
      </c>
      <c r="R14" s="95">
        <f t="shared" si="6"/>
        <v>157.69999999999999</v>
      </c>
      <c r="S14" s="95">
        <f t="shared" si="7"/>
        <v>16.399999999999999</v>
      </c>
      <c r="T14" s="95">
        <f t="shared" si="13"/>
        <v>528.9</v>
      </c>
      <c r="U14" s="2258"/>
      <c r="V14" s="95">
        <f t="shared" si="18"/>
        <v>528.9</v>
      </c>
      <c r="W14" s="95">
        <f t="shared" si="19"/>
        <v>159.69999999999999</v>
      </c>
      <c r="X14" s="94">
        <v>1</v>
      </c>
      <c r="Y14" s="112">
        <v>30</v>
      </c>
      <c r="Z14" s="113">
        <f t="shared" si="8"/>
        <v>30</v>
      </c>
      <c r="AA14" s="127"/>
      <c r="AB14" s="112">
        <v>15</v>
      </c>
      <c r="AC14" s="113">
        <f t="shared" si="9"/>
        <v>0</v>
      </c>
      <c r="AD14" s="127"/>
      <c r="AE14" s="112">
        <v>30</v>
      </c>
      <c r="AF14" s="113">
        <f t="shared" si="14"/>
        <v>0</v>
      </c>
      <c r="AG14" s="113">
        <f t="shared" si="15"/>
        <v>9</v>
      </c>
      <c r="AH14" s="113">
        <f t="shared" si="16"/>
        <v>39</v>
      </c>
      <c r="AI14" s="114">
        <f t="shared" si="10"/>
        <v>44075</v>
      </c>
      <c r="AJ14" s="114"/>
      <c r="AK14" s="114">
        <f t="shared" si="11"/>
        <v>528.9</v>
      </c>
      <c r="AL14" s="114">
        <f t="shared" si="17"/>
        <v>213.7</v>
      </c>
      <c r="AM14" s="115">
        <v>0.30199999999999999</v>
      </c>
      <c r="AO14" s="116"/>
      <c r="AP14" s="116"/>
      <c r="AQ14" s="116"/>
      <c r="AS14" s="115"/>
    </row>
    <row r="15" spans="1:45" x14ac:dyDescent="0.2">
      <c r="A15" s="94">
        <v>7</v>
      </c>
      <c r="B15" s="129" t="s">
        <v>23</v>
      </c>
      <c r="C15" s="128">
        <v>1</v>
      </c>
      <c r="D15" s="107">
        <v>11.061999999999999</v>
      </c>
      <c r="E15" s="119">
        <f t="shared" si="0"/>
        <v>11.06</v>
      </c>
      <c r="F15" s="110">
        <f t="shared" si="1"/>
        <v>132.69999999999999</v>
      </c>
      <c r="G15" s="110"/>
      <c r="H15" s="110"/>
      <c r="I15" s="110"/>
      <c r="J15" s="110"/>
      <c r="K15" s="95">
        <f>D15*0.3*9+D15*0.35*3</f>
        <v>41.5</v>
      </c>
      <c r="L15" s="95">
        <f t="shared" si="12"/>
        <v>5.0999999999999996</v>
      </c>
      <c r="M15" s="95">
        <f t="shared" si="2"/>
        <v>179.3</v>
      </c>
      <c r="N15" s="111">
        <v>0.43</v>
      </c>
      <c r="O15" s="95">
        <f t="shared" si="3"/>
        <v>77.099999999999994</v>
      </c>
      <c r="P15" s="95">
        <f t="shared" si="4"/>
        <v>256.39999999999998</v>
      </c>
      <c r="Q15" s="95">
        <f t="shared" si="5"/>
        <v>205.1</v>
      </c>
      <c r="R15" s="95">
        <f t="shared" si="6"/>
        <v>205.1</v>
      </c>
      <c r="S15" s="95">
        <f t="shared" si="7"/>
        <v>21.3</v>
      </c>
      <c r="T15" s="95">
        <f t="shared" si="13"/>
        <v>687.9</v>
      </c>
      <c r="U15" s="2258"/>
      <c r="V15" s="95">
        <f t="shared" si="18"/>
        <v>687.9</v>
      </c>
      <c r="W15" s="95">
        <f t="shared" si="19"/>
        <v>207.7</v>
      </c>
      <c r="X15" s="118"/>
      <c r="Y15" s="112">
        <v>30</v>
      </c>
      <c r="Z15" s="113">
        <f t="shared" si="8"/>
        <v>0</v>
      </c>
      <c r="AA15" s="118"/>
      <c r="AB15" s="112">
        <v>15</v>
      </c>
      <c r="AC15" s="113">
        <f t="shared" si="9"/>
        <v>0</v>
      </c>
      <c r="AD15" s="118"/>
      <c r="AE15" s="112">
        <v>30</v>
      </c>
      <c r="AF15" s="113">
        <f t="shared" si="14"/>
        <v>0</v>
      </c>
      <c r="AG15" s="113">
        <f t="shared" si="15"/>
        <v>0</v>
      </c>
      <c r="AH15" s="113">
        <f t="shared" si="16"/>
        <v>0</v>
      </c>
      <c r="AI15" s="114">
        <f t="shared" si="10"/>
        <v>57325</v>
      </c>
      <c r="AJ15" s="114"/>
      <c r="AK15" s="114">
        <f t="shared" si="11"/>
        <v>687.9</v>
      </c>
      <c r="AL15" s="114">
        <f t="shared" si="17"/>
        <v>242.7</v>
      </c>
      <c r="AM15" s="115">
        <v>0.30199999999999999</v>
      </c>
      <c r="AS15" s="115"/>
    </row>
    <row r="16" spans="1:45" ht="15" x14ac:dyDescent="0.2">
      <c r="A16" s="94">
        <v>8</v>
      </c>
      <c r="B16" s="129" t="s">
        <v>33</v>
      </c>
      <c r="C16" s="128">
        <v>2</v>
      </c>
      <c r="D16" s="107">
        <v>8.4730000000000008</v>
      </c>
      <c r="E16" s="119">
        <f t="shared" si="0"/>
        <v>16.95</v>
      </c>
      <c r="F16" s="110">
        <f t="shared" si="1"/>
        <v>203.4</v>
      </c>
      <c r="G16" s="124">
        <f>29314.2/1000</f>
        <v>29.3</v>
      </c>
      <c r="H16" s="110">
        <f>9637.5/1000</f>
        <v>9.6</v>
      </c>
      <c r="I16" s="110"/>
      <c r="J16" s="110"/>
      <c r="K16" s="95">
        <f>D16*0.25*10+D16*0.3*2+F16*0.35</f>
        <v>97.5</v>
      </c>
      <c r="L16" s="95">
        <f t="shared" si="12"/>
        <v>7.8</v>
      </c>
      <c r="M16" s="95">
        <f t="shared" si="2"/>
        <v>347.6</v>
      </c>
      <c r="N16" s="111">
        <v>0.41</v>
      </c>
      <c r="O16" s="95">
        <f t="shared" si="3"/>
        <v>142.5</v>
      </c>
      <c r="P16" s="95">
        <f t="shared" si="4"/>
        <v>490.1</v>
      </c>
      <c r="Q16" s="95">
        <f t="shared" si="5"/>
        <v>392.1</v>
      </c>
      <c r="R16" s="95">
        <f t="shared" si="6"/>
        <v>392.1</v>
      </c>
      <c r="S16" s="95">
        <f t="shared" si="7"/>
        <v>40.799999999999997</v>
      </c>
      <c r="T16" s="95">
        <f t="shared" si="13"/>
        <v>1315.1</v>
      </c>
      <c r="U16" s="2258"/>
      <c r="V16" s="95">
        <f t="shared" si="18"/>
        <v>1315.1</v>
      </c>
      <c r="W16" s="95">
        <f t="shared" si="19"/>
        <v>397.2</v>
      </c>
      <c r="X16" s="118">
        <v>1</v>
      </c>
      <c r="Y16" s="112">
        <v>30</v>
      </c>
      <c r="Z16" s="113">
        <f t="shared" si="8"/>
        <v>30</v>
      </c>
      <c r="AA16" s="118"/>
      <c r="AB16" s="112">
        <v>15</v>
      </c>
      <c r="AC16" s="113">
        <f t="shared" si="9"/>
        <v>0</v>
      </c>
      <c r="AD16" s="118"/>
      <c r="AE16" s="112">
        <v>30</v>
      </c>
      <c r="AF16" s="113">
        <f t="shared" si="14"/>
        <v>0</v>
      </c>
      <c r="AG16" s="113">
        <f t="shared" si="15"/>
        <v>9</v>
      </c>
      <c r="AH16" s="113">
        <f t="shared" si="16"/>
        <v>39</v>
      </c>
      <c r="AI16" s="114">
        <f t="shared" si="10"/>
        <v>54795.8</v>
      </c>
      <c r="AJ16" s="114"/>
      <c r="AK16" s="114">
        <f t="shared" si="11"/>
        <v>657.6</v>
      </c>
      <c r="AL16" s="114">
        <f t="shared" si="17"/>
        <v>237.2</v>
      </c>
      <c r="AM16" s="115">
        <v>0.30199999999999999</v>
      </c>
      <c r="AO16" s="116"/>
      <c r="AP16" s="116"/>
      <c r="AQ16" s="116"/>
      <c r="AS16" s="115"/>
    </row>
    <row r="17" spans="1:45" ht="51" x14ac:dyDescent="0.2">
      <c r="A17" s="94">
        <v>9</v>
      </c>
      <c r="B17" s="117" t="s">
        <v>103</v>
      </c>
      <c r="C17" s="128">
        <v>1</v>
      </c>
      <c r="D17" s="107">
        <v>4.4569999999999999</v>
      </c>
      <c r="E17" s="119">
        <f t="shared" si="0"/>
        <v>4.46</v>
      </c>
      <c r="F17" s="110">
        <f t="shared" si="1"/>
        <v>53.5</v>
      </c>
      <c r="G17" s="110"/>
      <c r="H17" s="110"/>
      <c r="I17" s="110"/>
      <c r="J17" s="110"/>
      <c r="K17" s="95"/>
      <c r="L17" s="95">
        <f t="shared" si="12"/>
        <v>2.1</v>
      </c>
      <c r="M17" s="95">
        <f t="shared" si="2"/>
        <v>55.6</v>
      </c>
      <c r="N17" s="111">
        <v>0.61</v>
      </c>
      <c r="O17" s="95">
        <f t="shared" si="3"/>
        <v>33.9</v>
      </c>
      <c r="P17" s="95">
        <f t="shared" si="4"/>
        <v>89.5</v>
      </c>
      <c r="Q17" s="95">
        <f t="shared" si="5"/>
        <v>71.599999999999994</v>
      </c>
      <c r="R17" s="95">
        <f t="shared" si="6"/>
        <v>71.599999999999994</v>
      </c>
      <c r="S17" s="95">
        <f t="shared" si="7"/>
        <v>7.4</v>
      </c>
      <c r="T17" s="95">
        <f t="shared" si="13"/>
        <v>240.1</v>
      </c>
      <c r="U17" s="2258"/>
      <c r="V17" s="95">
        <f>T17*$U$9</f>
        <v>240.1</v>
      </c>
      <c r="W17" s="95">
        <f t="shared" si="19"/>
        <v>72.5</v>
      </c>
      <c r="X17" s="118"/>
      <c r="Y17" s="112">
        <v>30</v>
      </c>
      <c r="Z17" s="113">
        <f t="shared" si="8"/>
        <v>0</v>
      </c>
      <c r="AA17" s="118"/>
      <c r="AB17" s="112">
        <v>15</v>
      </c>
      <c r="AC17" s="113">
        <f t="shared" si="9"/>
        <v>0</v>
      </c>
      <c r="AD17" s="118"/>
      <c r="AE17" s="112">
        <v>30</v>
      </c>
      <c r="AF17" s="113">
        <f t="shared" si="14"/>
        <v>0</v>
      </c>
      <c r="AG17" s="113">
        <f t="shared" si="15"/>
        <v>0</v>
      </c>
      <c r="AH17" s="113">
        <f t="shared" si="16"/>
        <v>0</v>
      </c>
      <c r="AI17" s="114">
        <f t="shared" si="10"/>
        <v>20008.3</v>
      </c>
      <c r="AJ17" s="114"/>
      <c r="AK17" s="114">
        <f t="shared" si="11"/>
        <v>240.1</v>
      </c>
      <c r="AL17" s="114">
        <f t="shared" si="17"/>
        <v>161.19999999999999</v>
      </c>
      <c r="AM17" s="115">
        <v>0.30199999999999999</v>
      </c>
      <c r="AN17" s="130"/>
      <c r="AO17" s="130"/>
      <c r="AP17" s="130"/>
      <c r="AS17" s="115"/>
    </row>
    <row r="18" spans="1:45" s="126" customFormat="1" ht="25.5" x14ac:dyDescent="0.2">
      <c r="A18" s="94">
        <v>10</v>
      </c>
      <c r="B18" s="129" t="s">
        <v>34</v>
      </c>
      <c r="C18" s="122">
        <v>3</v>
      </c>
      <c r="D18" s="107">
        <v>7.1950000000000003</v>
      </c>
      <c r="E18" s="123">
        <f t="shared" si="0"/>
        <v>21.59</v>
      </c>
      <c r="F18" s="124">
        <f t="shared" si="1"/>
        <v>259.10000000000002</v>
      </c>
      <c r="G18" s="124">
        <f>44329.4/1000</f>
        <v>44.3</v>
      </c>
      <c r="H18" s="124">
        <f>16367.8/1000</f>
        <v>16.399999999999999</v>
      </c>
      <c r="I18" s="124"/>
      <c r="J18" s="125"/>
      <c r="K18" s="96"/>
      <c r="L18" s="95">
        <f t="shared" si="12"/>
        <v>9.9</v>
      </c>
      <c r="M18" s="96">
        <f t="shared" si="2"/>
        <v>329.7</v>
      </c>
      <c r="N18" s="111">
        <v>0.41</v>
      </c>
      <c r="O18" s="96">
        <f t="shared" si="3"/>
        <v>135.19999999999999</v>
      </c>
      <c r="P18" s="96">
        <f t="shared" si="4"/>
        <v>464.9</v>
      </c>
      <c r="Q18" s="96">
        <f t="shared" si="5"/>
        <v>371.9</v>
      </c>
      <c r="R18" s="96">
        <f t="shared" si="6"/>
        <v>371.9</v>
      </c>
      <c r="S18" s="96">
        <f t="shared" si="7"/>
        <v>38.700000000000003</v>
      </c>
      <c r="T18" s="96">
        <f t="shared" si="13"/>
        <v>1247.4000000000001</v>
      </c>
      <c r="U18" s="2258"/>
      <c r="V18" s="96">
        <f t="shared" si="18"/>
        <v>1247.4000000000001</v>
      </c>
      <c r="W18" s="95">
        <f t="shared" si="19"/>
        <v>376.7</v>
      </c>
      <c r="X18" s="94">
        <v>1</v>
      </c>
      <c r="Y18" s="112">
        <v>30</v>
      </c>
      <c r="Z18" s="113">
        <f t="shared" si="8"/>
        <v>30</v>
      </c>
      <c r="AA18" s="94"/>
      <c r="AB18" s="112">
        <v>15</v>
      </c>
      <c r="AC18" s="113">
        <f t="shared" si="9"/>
        <v>0</v>
      </c>
      <c r="AD18" s="94"/>
      <c r="AE18" s="112">
        <v>30</v>
      </c>
      <c r="AF18" s="113">
        <f t="shared" si="14"/>
        <v>0</v>
      </c>
      <c r="AG18" s="113">
        <f t="shared" si="15"/>
        <v>9</v>
      </c>
      <c r="AH18" s="113">
        <f t="shared" si="16"/>
        <v>39</v>
      </c>
      <c r="AI18" s="114">
        <f t="shared" si="10"/>
        <v>34650</v>
      </c>
      <c r="AJ18" s="114"/>
      <c r="AK18" s="114">
        <f t="shared" si="11"/>
        <v>415.8</v>
      </c>
      <c r="AL18" s="114">
        <f t="shared" si="17"/>
        <v>193.2</v>
      </c>
      <c r="AM18" s="115">
        <v>0.30199999999999999</v>
      </c>
      <c r="AN18" s="130"/>
      <c r="AO18" s="130"/>
      <c r="AP18" s="130"/>
      <c r="AQ18" s="22"/>
      <c r="AS18" s="115"/>
    </row>
    <row r="19" spans="1:45" s="126" customFormat="1" x14ac:dyDescent="0.2">
      <c r="A19" s="94">
        <v>11</v>
      </c>
      <c r="B19" s="129" t="s">
        <v>35</v>
      </c>
      <c r="C19" s="122">
        <v>1</v>
      </c>
      <c r="D19" s="107">
        <v>4.4569999999999999</v>
      </c>
      <c r="E19" s="123">
        <f t="shared" si="0"/>
        <v>4.46</v>
      </c>
      <c r="F19" s="124">
        <f t="shared" si="1"/>
        <v>53.5</v>
      </c>
      <c r="G19" s="124"/>
      <c r="H19" s="124"/>
      <c r="I19" s="124"/>
      <c r="J19" s="125"/>
      <c r="K19" s="96"/>
      <c r="L19" s="95">
        <f t="shared" si="12"/>
        <v>2.1</v>
      </c>
      <c r="M19" s="96">
        <f t="shared" si="2"/>
        <v>55.6</v>
      </c>
      <c r="N19" s="111">
        <v>0.61</v>
      </c>
      <c r="O19" s="96">
        <f t="shared" si="3"/>
        <v>33.9</v>
      </c>
      <c r="P19" s="96">
        <f t="shared" si="4"/>
        <v>89.5</v>
      </c>
      <c r="Q19" s="96">
        <f t="shared" si="5"/>
        <v>71.599999999999994</v>
      </c>
      <c r="R19" s="96">
        <f t="shared" si="6"/>
        <v>71.599999999999994</v>
      </c>
      <c r="S19" s="96">
        <f t="shared" si="7"/>
        <v>7.4</v>
      </c>
      <c r="T19" s="96">
        <f t="shared" si="13"/>
        <v>240.1</v>
      </c>
      <c r="U19" s="2258"/>
      <c r="V19" s="96">
        <f t="shared" si="18"/>
        <v>240.1</v>
      </c>
      <c r="W19" s="95">
        <f t="shared" si="19"/>
        <v>72.5</v>
      </c>
      <c r="X19" s="94"/>
      <c r="Y19" s="112">
        <v>30</v>
      </c>
      <c r="Z19" s="113">
        <f t="shared" si="8"/>
        <v>0</v>
      </c>
      <c r="AA19" s="94"/>
      <c r="AB19" s="112">
        <v>15</v>
      </c>
      <c r="AC19" s="113">
        <f t="shared" si="9"/>
        <v>0</v>
      </c>
      <c r="AD19" s="94"/>
      <c r="AE19" s="112">
        <v>30</v>
      </c>
      <c r="AF19" s="113">
        <f t="shared" si="14"/>
        <v>0</v>
      </c>
      <c r="AG19" s="113">
        <f t="shared" si="15"/>
        <v>0</v>
      </c>
      <c r="AH19" s="113">
        <f t="shared" si="16"/>
        <v>0</v>
      </c>
      <c r="AI19" s="114">
        <f t="shared" si="10"/>
        <v>20008.3</v>
      </c>
      <c r="AJ19" s="114"/>
      <c r="AK19" s="114">
        <f t="shared" si="11"/>
        <v>240.1</v>
      </c>
      <c r="AL19" s="114">
        <f t="shared" si="17"/>
        <v>161.19999999999999</v>
      </c>
      <c r="AM19" s="115">
        <v>0.30199999999999999</v>
      </c>
      <c r="AN19" s="130"/>
      <c r="AO19" s="130"/>
      <c r="AP19" s="130"/>
      <c r="AQ19" s="22"/>
      <c r="AS19" s="115"/>
    </row>
    <row r="20" spans="1:45" s="126" customFormat="1" x14ac:dyDescent="0.2">
      <c r="A20" s="94">
        <v>12</v>
      </c>
      <c r="B20" s="129" t="s">
        <v>25</v>
      </c>
      <c r="C20" s="125">
        <v>0.5</v>
      </c>
      <c r="D20" s="107">
        <v>4.3109999999999999</v>
      </c>
      <c r="E20" s="123">
        <f t="shared" si="0"/>
        <v>2.16</v>
      </c>
      <c r="F20" s="124">
        <f>E20*12</f>
        <v>25.9</v>
      </c>
      <c r="G20" s="124">
        <f>5056.7/1000</f>
        <v>5.0999999999999996</v>
      </c>
      <c r="H20" s="124">
        <f>437.8/1000</f>
        <v>0.4</v>
      </c>
      <c r="I20" s="124"/>
      <c r="J20" s="125"/>
      <c r="K20" s="96"/>
      <c r="L20" s="95">
        <f t="shared" si="12"/>
        <v>1</v>
      </c>
      <c r="M20" s="96">
        <f>F20+G20+H20+I20+J20+K20+L20</f>
        <v>32.4</v>
      </c>
      <c r="N20" s="111">
        <v>0.75</v>
      </c>
      <c r="O20" s="96">
        <f>M20*N20</f>
        <v>24.3</v>
      </c>
      <c r="P20" s="96">
        <f>M20+O20</f>
        <v>56.7</v>
      </c>
      <c r="Q20" s="96">
        <f>P20*0.8</f>
        <v>45.4</v>
      </c>
      <c r="R20" s="96">
        <f>P20*0.8</f>
        <v>45.4</v>
      </c>
      <c r="S20" s="96">
        <f>(P20+Q20+R20)*0.032</f>
        <v>4.7</v>
      </c>
      <c r="T20" s="96">
        <f>P20+Q20+R20+S20</f>
        <v>152.19999999999999</v>
      </c>
      <c r="U20" s="2258"/>
      <c r="V20" s="96">
        <f>T20*$U$9</f>
        <v>152.19999999999999</v>
      </c>
      <c r="W20" s="95">
        <f t="shared" si="19"/>
        <v>46</v>
      </c>
      <c r="X20" s="94"/>
      <c r="Y20" s="112">
        <v>30</v>
      </c>
      <c r="Z20" s="113">
        <f t="shared" si="8"/>
        <v>0</v>
      </c>
      <c r="AA20" s="94"/>
      <c r="AB20" s="112">
        <v>15</v>
      </c>
      <c r="AC20" s="113">
        <f t="shared" si="9"/>
        <v>0</v>
      </c>
      <c r="AD20" s="94"/>
      <c r="AE20" s="112">
        <v>30</v>
      </c>
      <c r="AF20" s="113">
        <f t="shared" si="14"/>
        <v>0</v>
      </c>
      <c r="AG20" s="113">
        <f t="shared" si="15"/>
        <v>0</v>
      </c>
      <c r="AH20" s="113">
        <f t="shared" si="16"/>
        <v>0</v>
      </c>
      <c r="AI20" s="114">
        <f>V20/12*1000</f>
        <v>12683.3</v>
      </c>
      <c r="AJ20" s="114"/>
      <c r="AK20" s="114">
        <f t="shared" si="11"/>
        <v>304.39999999999998</v>
      </c>
      <c r="AL20" s="114">
        <f t="shared" si="17"/>
        <v>172.9</v>
      </c>
      <c r="AM20" s="115">
        <v>0.30199999999999999</v>
      </c>
      <c r="AN20" s="130"/>
      <c r="AO20" s="130"/>
      <c r="AP20" s="130"/>
      <c r="AQ20" s="22"/>
      <c r="AS20" s="115"/>
    </row>
    <row r="21" spans="1:45" s="98" customFormat="1" ht="20.25" customHeight="1" x14ac:dyDescent="0.2">
      <c r="A21" s="2260" t="s">
        <v>8</v>
      </c>
      <c r="B21" s="2260"/>
      <c r="C21" s="97">
        <f t="shared" ref="C21:M21" si="20">SUM(C9:C20)</f>
        <v>15.5</v>
      </c>
      <c r="D21" s="97">
        <f t="shared" si="20"/>
        <v>119.5</v>
      </c>
      <c r="E21" s="97">
        <f t="shared" si="20"/>
        <v>148.69999999999999</v>
      </c>
      <c r="F21" s="97">
        <f t="shared" si="20"/>
        <v>1783.7</v>
      </c>
      <c r="G21" s="97">
        <f t="shared" si="20"/>
        <v>78.7</v>
      </c>
      <c r="H21" s="97">
        <f t="shared" si="20"/>
        <v>26.4</v>
      </c>
      <c r="I21" s="97">
        <f t="shared" si="20"/>
        <v>0</v>
      </c>
      <c r="J21" s="97">
        <f t="shared" si="20"/>
        <v>0</v>
      </c>
      <c r="K21" s="97">
        <f t="shared" si="20"/>
        <v>316.39999999999998</v>
      </c>
      <c r="L21" s="97">
        <f t="shared" si="20"/>
        <v>68.599999999999994</v>
      </c>
      <c r="M21" s="97">
        <f t="shared" si="20"/>
        <v>2273.8000000000002</v>
      </c>
      <c r="N21" s="97"/>
      <c r="O21" s="97">
        <f t="shared" ref="O21:AH21" si="21">SUM(O9:O20)</f>
        <v>1033.7</v>
      </c>
      <c r="P21" s="97">
        <f t="shared" si="21"/>
        <v>3307.5</v>
      </c>
      <c r="Q21" s="97">
        <f t="shared" si="21"/>
        <v>2646</v>
      </c>
      <c r="R21" s="97">
        <f t="shared" si="21"/>
        <v>2646</v>
      </c>
      <c r="S21" s="97">
        <f t="shared" si="21"/>
        <v>275.2</v>
      </c>
      <c r="T21" s="97">
        <f t="shared" si="21"/>
        <v>8874.7000000000007</v>
      </c>
      <c r="U21" s="97">
        <f t="shared" si="21"/>
        <v>1</v>
      </c>
      <c r="V21" s="97">
        <f t="shared" si="21"/>
        <v>8874.7000000000007</v>
      </c>
      <c r="W21" s="97">
        <f t="shared" si="21"/>
        <v>2635.8</v>
      </c>
      <c r="X21" s="97">
        <f t="shared" si="21"/>
        <v>6</v>
      </c>
      <c r="Y21" s="97">
        <f t="shared" si="21"/>
        <v>360</v>
      </c>
      <c r="Z21" s="97">
        <f t="shared" si="21"/>
        <v>180</v>
      </c>
      <c r="AA21" s="97">
        <f t="shared" si="21"/>
        <v>1</v>
      </c>
      <c r="AB21" s="97">
        <f t="shared" si="21"/>
        <v>180</v>
      </c>
      <c r="AC21" s="97">
        <f t="shared" si="21"/>
        <v>15</v>
      </c>
      <c r="AD21" s="97">
        <f t="shared" si="21"/>
        <v>0</v>
      </c>
      <c r="AE21" s="97">
        <f t="shared" si="21"/>
        <v>360</v>
      </c>
      <c r="AF21" s="97">
        <f t="shared" si="21"/>
        <v>0</v>
      </c>
      <c r="AG21" s="97">
        <f t="shared" si="21"/>
        <v>58.5</v>
      </c>
      <c r="AH21" s="97">
        <f t="shared" si="21"/>
        <v>253.5</v>
      </c>
      <c r="AN21" s="130"/>
      <c r="AO21" s="130"/>
      <c r="AP21" s="130"/>
      <c r="AQ21" s="22"/>
    </row>
    <row r="22" spans="1:45" x14ac:dyDescent="0.2">
      <c r="G22" s="131"/>
      <c r="H22" s="131"/>
      <c r="I22" s="131"/>
      <c r="J22" s="131"/>
      <c r="K22" s="131"/>
      <c r="L22" s="131"/>
      <c r="M22" s="131"/>
      <c r="N22" s="131"/>
      <c r="O22" s="131"/>
      <c r="P22" s="131"/>
      <c r="Q22" s="131"/>
      <c r="R22" s="131"/>
      <c r="S22" s="131"/>
      <c r="T22" s="131"/>
      <c r="V22" s="114"/>
      <c r="W22" s="66"/>
      <c r="X22" s="132"/>
      <c r="Y22" s="132"/>
      <c r="Z22" s="132"/>
      <c r="AA22" s="131"/>
      <c r="AD22" s="131"/>
      <c r="AG22" s="131"/>
      <c r="AH22" s="131"/>
      <c r="AN22" s="130"/>
      <c r="AO22" s="130"/>
      <c r="AP22" s="130"/>
    </row>
    <row r="23" spans="1:45" x14ac:dyDescent="0.2">
      <c r="G23" s="131"/>
      <c r="H23" s="131"/>
      <c r="I23" s="131"/>
      <c r="J23" s="131"/>
      <c r="K23" s="131"/>
      <c r="L23" s="131"/>
      <c r="M23" s="131"/>
      <c r="N23" s="131"/>
      <c r="O23" s="131"/>
      <c r="P23" s="131"/>
      <c r="Q23" s="131"/>
      <c r="R23" s="131"/>
      <c r="S23" s="131"/>
      <c r="T23" s="131"/>
      <c r="V23" s="114"/>
      <c r="W23" s="114"/>
      <c r="X23" s="133"/>
      <c r="Y23" s="133"/>
      <c r="Z23" s="133"/>
      <c r="AA23" s="131"/>
      <c r="AD23" s="131"/>
      <c r="AG23" s="131"/>
      <c r="AH23" s="131"/>
      <c r="AN23" s="130"/>
      <c r="AO23" s="130"/>
      <c r="AP23" s="130"/>
    </row>
    <row r="24" spans="1:45" s="62" customFormat="1" ht="14.25" x14ac:dyDescent="0.2">
      <c r="A24" s="68"/>
      <c r="B24" s="63"/>
      <c r="C24" s="26"/>
      <c r="D24" s="26"/>
      <c r="E24" s="26"/>
      <c r="F24" s="26"/>
      <c r="G24" s="26"/>
      <c r="H24" s="26"/>
      <c r="I24" s="26"/>
      <c r="J24" s="26"/>
      <c r="K24" s="26"/>
      <c r="L24" s="26"/>
      <c r="M24" s="26"/>
      <c r="N24" s="26"/>
      <c r="O24" s="26"/>
      <c r="P24" s="26"/>
      <c r="Q24" s="26"/>
      <c r="R24" s="26"/>
      <c r="S24" s="26"/>
      <c r="T24" s="26"/>
      <c r="U24" s="64"/>
      <c r="V24" s="69"/>
      <c r="W24" s="69"/>
      <c r="X24" s="65"/>
      <c r="Y24" s="65"/>
      <c r="Z24" s="65"/>
      <c r="AA24" s="65"/>
      <c r="AB24" s="65"/>
      <c r="AC24" s="65"/>
      <c r="AD24" s="65"/>
      <c r="AE24" s="65"/>
      <c r="AF24" s="65"/>
      <c r="AG24" s="65"/>
      <c r="AH24" s="65"/>
      <c r="AI24" s="67"/>
      <c r="AJ24" s="61"/>
      <c r="AK24" s="61"/>
      <c r="AL24" s="134"/>
      <c r="AM24" s="135"/>
    </row>
    <row r="25" spans="1:45" s="75" customFormat="1" ht="15" x14ac:dyDescent="0.2">
      <c r="A25" s="70"/>
      <c r="B25" s="70"/>
      <c r="C25" s="71"/>
      <c r="D25" s="72"/>
      <c r="E25" s="72"/>
      <c r="F25" s="72"/>
      <c r="G25" s="72"/>
      <c r="H25" s="73"/>
      <c r="I25" s="73"/>
      <c r="J25" s="27"/>
      <c r="K25" s="27"/>
      <c r="L25" s="27"/>
      <c r="M25" s="27"/>
      <c r="N25" s="74"/>
      <c r="O25" s="27"/>
      <c r="P25" s="27"/>
      <c r="Q25" s="27"/>
      <c r="R25" s="27"/>
      <c r="S25" s="27"/>
      <c r="T25" s="27"/>
      <c r="U25" s="27"/>
      <c r="V25" s="27"/>
      <c r="W25" s="27"/>
      <c r="X25" s="27"/>
      <c r="Y25" s="27"/>
      <c r="Z25" s="27"/>
      <c r="AA25" s="27"/>
      <c r="AB25" s="27"/>
      <c r="AC25" s="27"/>
      <c r="AD25" s="27"/>
      <c r="AE25" s="27"/>
      <c r="AF25" s="27"/>
      <c r="AG25" s="27"/>
      <c r="AH25" s="27"/>
      <c r="AI25" s="27"/>
      <c r="AJ25" s="76"/>
      <c r="AN25" s="76"/>
      <c r="AO25" s="76"/>
      <c r="AP25" s="76"/>
      <c r="AQ25" s="76"/>
      <c r="AR25" s="76"/>
    </row>
    <row r="26" spans="1:45" s="75" customFormat="1" ht="55.5" customHeight="1" x14ac:dyDescent="0.2">
      <c r="A26" s="70"/>
      <c r="B26" s="70"/>
      <c r="C26" s="71"/>
      <c r="D26" s="77"/>
      <c r="E26" s="77"/>
      <c r="F26" s="27"/>
      <c r="G26" s="2244" t="s">
        <v>140</v>
      </c>
      <c r="H26" s="2244"/>
      <c r="I26" s="2244" t="s">
        <v>141</v>
      </c>
      <c r="J26" s="2244"/>
      <c r="K26" s="2244" t="s">
        <v>128</v>
      </c>
      <c r="L26" s="2244"/>
      <c r="Q26" s="27"/>
      <c r="R26" s="27"/>
      <c r="S26" s="27"/>
      <c r="T26" s="27"/>
      <c r="U26" s="27"/>
      <c r="V26" s="27"/>
      <c r="W26" s="27"/>
      <c r="X26" s="27"/>
      <c r="Y26" s="27"/>
      <c r="Z26" s="27"/>
      <c r="AA26" s="27"/>
      <c r="AB26" s="27"/>
      <c r="AC26" s="27"/>
      <c r="AD26" s="27"/>
      <c r="AE26" s="27"/>
      <c r="AF26" s="27"/>
      <c r="AG26" s="27"/>
      <c r="AH26" s="27"/>
      <c r="AI26" s="27"/>
      <c r="AJ26" s="76"/>
      <c r="AN26" s="76"/>
      <c r="AO26" s="76"/>
      <c r="AP26" s="76"/>
      <c r="AQ26" s="76"/>
      <c r="AR26" s="76"/>
    </row>
    <row r="27" spans="1:45" s="75" customFormat="1" ht="15" x14ac:dyDescent="0.2">
      <c r="A27" s="70"/>
      <c r="B27" s="70"/>
      <c r="C27" s="71"/>
      <c r="D27" s="77"/>
      <c r="E27" s="77"/>
      <c r="F27" s="27"/>
      <c r="G27" s="28">
        <v>991</v>
      </c>
      <c r="H27" s="28">
        <v>992</v>
      </c>
      <c r="I27" s="28">
        <v>991</v>
      </c>
      <c r="J27" s="28">
        <v>992</v>
      </c>
      <c r="K27" s="28">
        <v>991</v>
      </c>
      <c r="L27" s="28">
        <v>992</v>
      </c>
      <c r="Q27" s="27"/>
      <c r="R27" s="27"/>
      <c r="S27" s="27"/>
      <c r="T27" s="27"/>
      <c r="U27" s="27"/>
      <c r="V27" s="27"/>
      <c r="W27" s="27"/>
      <c r="X27" s="27"/>
      <c r="Y27" s="27"/>
      <c r="Z27" s="27"/>
      <c r="AA27" s="27"/>
      <c r="AB27" s="27"/>
      <c r="AC27" s="27"/>
      <c r="AD27" s="27"/>
      <c r="AE27" s="27"/>
      <c r="AF27" s="27"/>
      <c r="AG27" s="27"/>
      <c r="AH27" s="27"/>
      <c r="AI27" s="27"/>
      <c r="AJ27" s="76"/>
      <c r="AN27" s="76"/>
      <c r="AO27" s="76"/>
      <c r="AP27" s="76"/>
      <c r="AQ27" s="76"/>
      <c r="AR27" s="76"/>
    </row>
    <row r="28" spans="1:45" s="75" customFormat="1" ht="15" x14ac:dyDescent="0.2">
      <c r="A28" s="70"/>
      <c r="B28" s="70"/>
      <c r="C28" s="71"/>
      <c r="D28" s="77"/>
      <c r="E28" s="77"/>
      <c r="F28" s="27"/>
      <c r="G28" s="29">
        <v>8874.7000000000007</v>
      </c>
      <c r="H28" s="29">
        <v>2640.7</v>
      </c>
      <c r="I28" s="29">
        <f>V21</f>
        <v>8874.7000000000007</v>
      </c>
      <c r="J28" s="29">
        <f>W21</f>
        <v>2635.8</v>
      </c>
      <c r="K28" s="29">
        <f>G28-I28</f>
        <v>0</v>
      </c>
      <c r="L28" s="29">
        <f>H28-J28</f>
        <v>4.9000000000000004</v>
      </c>
      <c r="Q28" s="27"/>
      <c r="R28" s="27"/>
      <c r="S28" s="27"/>
      <c r="T28" s="27"/>
      <c r="U28" s="27"/>
      <c r="V28" s="27"/>
      <c r="W28" s="27"/>
      <c r="X28" s="27"/>
      <c r="Y28" s="27"/>
      <c r="Z28" s="27"/>
      <c r="AA28" s="27"/>
      <c r="AB28" s="27"/>
      <c r="AC28" s="27"/>
      <c r="AD28" s="27"/>
      <c r="AE28" s="27"/>
      <c r="AF28" s="27"/>
      <c r="AG28" s="27"/>
      <c r="AH28" s="27"/>
      <c r="AI28" s="27"/>
      <c r="AJ28" s="76"/>
      <c r="AN28" s="76"/>
      <c r="AO28" s="76"/>
      <c r="AP28" s="76"/>
      <c r="AQ28" s="76"/>
      <c r="AR28" s="76"/>
    </row>
    <row r="29" spans="1:45" s="143" customFormat="1" ht="15" x14ac:dyDescent="0.2">
      <c r="A29" s="136"/>
      <c r="B29" s="136"/>
      <c r="C29" s="137"/>
      <c r="D29" s="138"/>
      <c r="E29" s="138"/>
      <c r="F29" s="138"/>
      <c r="G29" s="138"/>
      <c r="H29" s="139"/>
      <c r="I29" s="139"/>
      <c r="J29" s="140"/>
      <c r="K29" s="140"/>
      <c r="L29" s="140"/>
      <c r="M29" s="140"/>
      <c r="N29" s="141"/>
      <c r="O29" s="140"/>
      <c r="P29" s="140"/>
      <c r="Q29" s="140"/>
      <c r="R29" s="140"/>
      <c r="S29" s="140"/>
      <c r="T29" s="140"/>
      <c r="U29" s="140"/>
      <c r="V29" s="140"/>
      <c r="W29" s="140"/>
      <c r="X29" s="140"/>
      <c r="Y29" s="140"/>
      <c r="Z29" s="140"/>
      <c r="AA29" s="140"/>
      <c r="AB29" s="140"/>
      <c r="AC29" s="140"/>
      <c r="AD29" s="140"/>
      <c r="AE29" s="140"/>
      <c r="AF29" s="140"/>
      <c r="AG29" s="140"/>
      <c r="AH29" s="140"/>
      <c r="AI29" s="142"/>
      <c r="AN29" s="22"/>
      <c r="AO29" s="22"/>
      <c r="AP29" s="22"/>
      <c r="AQ29" s="22"/>
    </row>
    <row r="30" spans="1:45" s="143" customFormat="1" ht="15" x14ac:dyDescent="0.2">
      <c r="A30" s="136"/>
      <c r="B30" s="136"/>
      <c r="C30" s="137"/>
      <c r="D30" s="138"/>
      <c r="E30" s="138"/>
      <c r="F30" s="138"/>
      <c r="G30" s="138"/>
      <c r="H30" s="139"/>
      <c r="I30" s="139"/>
      <c r="J30" s="140"/>
      <c r="K30" s="140"/>
      <c r="L30" s="140"/>
      <c r="M30" s="140"/>
      <c r="N30" s="141"/>
      <c r="O30" s="140"/>
      <c r="P30" s="140"/>
      <c r="Q30" s="140"/>
      <c r="R30" s="140"/>
      <c r="S30" s="140"/>
      <c r="T30" s="140"/>
      <c r="U30" s="140"/>
      <c r="V30" s="140"/>
      <c r="W30" s="140"/>
      <c r="X30" s="140"/>
      <c r="Y30" s="140"/>
      <c r="Z30" s="140"/>
      <c r="AA30" s="140"/>
      <c r="AB30" s="140"/>
      <c r="AC30" s="140"/>
      <c r="AD30" s="140"/>
      <c r="AE30" s="140"/>
      <c r="AF30" s="140"/>
      <c r="AG30" s="140"/>
      <c r="AH30" s="140"/>
      <c r="AI30" s="142"/>
      <c r="AN30" s="22"/>
      <c r="AO30" s="22"/>
      <c r="AP30" s="22"/>
      <c r="AQ30" s="22"/>
    </row>
    <row r="31" spans="1:45" s="143" customFormat="1" ht="15" x14ac:dyDescent="0.2">
      <c r="A31" s="136"/>
      <c r="B31" s="136"/>
      <c r="C31" s="137"/>
      <c r="D31" s="144"/>
      <c r="E31" s="144"/>
      <c r="F31" s="140"/>
      <c r="G31" s="140"/>
      <c r="H31" s="139"/>
      <c r="I31" s="139"/>
      <c r="J31" s="140"/>
      <c r="K31" s="140"/>
      <c r="L31" s="140"/>
      <c r="M31" s="140"/>
      <c r="N31" s="141"/>
      <c r="O31" s="140"/>
      <c r="P31" s="140"/>
      <c r="Q31" s="140"/>
      <c r="R31" s="140"/>
      <c r="S31" s="140"/>
      <c r="T31" s="140"/>
      <c r="U31" s="140"/>
      <c r="V31" s="140"/>
      <c r="W31" s="140"/>
      <c r="X31" s="140"/>
      <c r="Y31" s="140"/>
      <c r="Z31" s="140"/>
      <c r="AA31" s="140"/>
      <c r="AB31" s="140"/>
      <c r="AC31" s="140"/>
      <c r="AD31" s="140"/>
      <c r="AE31" s="140"/>
      <c r="AF31" s="140"/>
      <c r="AG31" s="140"/>
      <c r="AH31" s="140"/>
      <c r="AI31" s="142"/>
      <c r="AN31" s="22"/>
      <c r="AO31" s="22"/>
      <c r="AP31" s="22"/>
      <c r="AQ31" s="22"/>
    </row>
    <row r="32" spans="1:45" s="35" customFormat="1" ht="20.25" x14ac:dyDescent="0.2">
      <c r="A32" s="81"/>
      <c r="B32" s="82" t="s">
        <v>138</v>
      </c>
      <c r="C32" s="83"/>
      <c r="D32" s="84"/>
      <c r="E32" s="84"/>
      <c r="F32" s="85"/>
      <c r="G32" s="85"/>
      <c r="H32" s="86"/>
      <c r="I32" s="86"/>
      <c r="J32" s="85"/>
      <c r="K32" s="30" t="s">
        <v>166</v>
      </c>
      <c r="L32" s="85"/>
      <c r="M32" s="85"/>
      <c r="N32" s="87"/>
      <c r="O32" s="85"/>
      <c r="P32" s="85"/>
      <c r="Q32" s="85"/>
      <c r="R32" s="85"/>
      <c r="S32" s="85"/>
      <c r="T32" s="85"/>
      <c r="U32" s="85"/>
      <c r="V32" s="85"/>
      <c r="W32" s="85"/>
      <c r="X32" s="85"/>
      <c r="Y32" s="85"/>
      <c r="Z32" s="85"/>
      <c r="AA32" s="85"/>
      <c r="AB32" s="85"/>
      <c r="AC32" s="85"/>
      <c r="AD32" s="85"/>
      <c r="AE32" s="85"/>
      <c r="AF32" s="85"/>
      <c r="AG32" s="85"/>
      <c r="AH32" s="85"/>
      <c r="AI32" s="85"/>
      <c r="AK32" s="88"/>
      <c r="AL32" s="88"/>
      <c r="AM32" s="88"/>
      <c r="AN32" s="88"/>
      <c r="AO32" s="88"/>
    </row>
    <row r="33" spans="1:43" s="143" customFormat="1" ht="15" x14ac:dyDescent="0.2">
      <c r="A33" s="136"/>
      <c r="B33" s="136"/>
      <c r="C33" s="137"/>
      <c r="D33" s="144"/>
      <c r="E33" s="144"/>
      <c r="F33" s="140"/>
      <c r="G33" s="140"/>
      <c r="H33" s="139"/>
      <c r="I33" s="139"/>
      <c r="J33" s="140"/>
      <c r="K33" s="140"/>
      <c r="L33" s="140"/>
      <c r="M33" s="140"/>
      <c r="N33" s="141"/>
      <c r="O33" s="140"/>
      <c r="P33" s="140"/>
      <c r="Q33" s="140"/>
      <c r="R33" s="140"/>
      <c r="S33" s="140"/>
      <c r="T33" s="140"/>
      <c r="U33" s="140"/>
      <c r="V33" s="140"/>
      <c r="W33" s="140"/>
      <c r="X33" s="140"/>
      <c r="Y33" s="140"/>
      <c r="Z33" s="140"/>
      <c r="AA33" s="140"/>
      <c r="AB33" s="140"/>
      <c r="AC33" s="140"/>
      <c r="AD33" s="140"/>
      <c r="AE33" s="140"/>
      <c r="AF33" s="140"/>
      <c r="AG33" s="140"/>
      <c r="AH33" s="140"/>
      <c r="AI33" s="142"/>
      <c r="AN33" s="22"/>
      <c r="AO33" s="22"/>
      <c r="AP33" s="22"/>
      <c r="AQ33" s="22"/>
    </row>
    <row r="34" spans="1:43" s="143" customFormat="1" ht="20.25" customHeight="1" x14ac:dyDescent="0.2">
      <c r="A34" s="145" t="s">
        <v>96</v>
      </c>
      <c r="B34" s="145"/>
      <c r="C34" s="146"/>
      <c r="D34" s="146"/>
      <c r="E34" s="146"/>
      <c r="F34" s="146"/>
      <c r="G34" s="146"/>
      <c r="H34" s="146"/>
      <c r="I34" s="146"/>
      <c r="J34" s="146"/>
      <c r="K34" s="146"/>
      <c r="L34" s="147"/>
      <c r="M34" s="147"/>
      <c r="N34" s="148"/>
      <c r="O34" s="147"/>
      <c r="P34" s="147"/>
      <c r="Q34" s="147"/>
      <c r="R34" s="147"/>
      <c r="S34" s="147"/>
      <c r="T34" s="147"/>
      <c r="U34" s="147"/>
      <c r="V34" s="147"/>
      <c r="W34" s="147"/>
      <c r="X34" s="147"/>
      <c r="Y34" s="147"/>
      <c r="Z34" s="147"/>
      <c r="AA34" s="147"/>
      <c r="AB34" s="147"/>
      <c r="AC34" s="147"/>
      <c r="AD34" s="147"/>
      <c r="AE34" s="147"/>
      <c r="AF34" s="147"/>
      <c r="AG34" s="147"/>
      <c r="AH34" s="147"/>
      <c r="AI34" s="142"/>
      <c r="AN34" s="62"/>
      <c r="AO34" s="62"/>
      <c r="AP34" s="62"/>
      <c r="AQ34" s="60"/>
    </row>
    <row r="35" spans="1:43" s="143" customFormat="1" ht="20.25" customHeight="1" x14ac:dyDescent="0.2">
      <c r="A35" s="145" t="s">
        <v>139</v>
      </c>
      <c r="B35" s="149"/>
      <c r="C35" s="150"/>
      <c r="D35" s="150"/>
      <c r="E35" s="151"/>
      <c r="F35" s="151"/>
      <c r="G35" s="151"/>
      <c r="H35" s="151"/>
      <c r="I35" s="151"/>
      <c r="J35" s="151"/>
      <c r="K35" s="151"/>
      <c r="L35" s="147"/>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2"/>
      <c r="AN35" s="62"/>
      <c r="AO35" s="62"/>
      <c r="AP35" s="62"/>
      <c r="AQ35" s="62"/>
    </row>
    <row r="36" spans="1:43" ht="16.5" x14ac:dyDescent="0.2">
      <c r="A36" s="152"/>
      <c r="I36" s="153"/>
      <c r="L36" s="99"/>
      <c r="M36" s="99"/>
      <c r="N36" s="99"/>
      <c r="O36" s="99"/>
      <c r="P36" s="99"/>
      <c r="Q36" s="99"/>
      <c r="W36" s="131"/>
      <c r="X36" s="131"/>
      <c r="AA36" s="131"/>
      <c r="AD36" s="131"/>
      <c r="AG36" s="131"/>
      <c r="AH36" s="131"/>
      <c r="AN36" s="62"/>
      <c r="AO36" s="62"/>
      <c r="AP36" s="62"/>
      <c r="AQ36" s="62"/>
    </row>
    <row r="37" spans="1:43" ht="16.5" x14ac:dyDescent="0.2">
      <c r="A37" s="152"/>
      <c r="E37" s="115"/>
      <c r="L37" s="99"/>
      <c r="M37" s="99"/>
      <c r="N37" s="99"/>
      <c r="O37" s="99"/>
      <c r="P37" s="99"/>
      <c r="Q37" s="99"/>
      <c r="W37" s="131"/>
      <c r="X37" s="131"/>
      <c r="AA37" s="131"/>
      <c r="AD37" s="131"/>
      <c r="AG37" s="131"/>
      <c r="AH37" s="131"/>
      <c r="AN37" s="62"/>
      <c r="AO37" s="62"/>
      <c r="AP37" s="62"/>
      <c r="AQ37" s="62"/>
    </row>
    <row r="38" spans="1:43" x14ac:dyDescent="0.2">
      <c r="E38" s="115"/>
    </row>
    <row r="39" spans="1:43" x14ac:dyDescent="0.2">
      <c r="E39" s="115"/>
    </row>
    <row r="40" spans="1:43" x14ac:dyDescent="0.2">
      <c r="E40" s="115"/>
    </row>
    <row r="41" spans="1:43" x14ac:dyDescent="0.2">
      <c r="E41" s="115"/>
    </row>
    <row r="42" spans="1:43" x14ac:dyDescent="0.2">
      <c r="E42" s="115"/>
    </row>
    <row r="43" spans="1:43" x14ac:dyDescent="0.2">
      <c r="E43" s="115"/>
    </row>
  </sheetData>
  <autoFilter ref="A8:AS8" xr:uid="{00000000-0009-0000-0000-000003000000}"/>
  <mergeCells count="37">
    <mergeCell ref="AE1:AH1"/>
    <mergeCell ref="A2:AH2"/>
    <mergeCell ref="A3:AH3"/>
    <mergeCell ref="A5:A7"/>
    <mergeCell ref="B5:B7"/>
    <mergeCell ref="C5:C7"/>
    <mergeCell ref="D5:W5"/>
    <mergeCell ref="D6:D7"/>
    <mergeCell ref="E6:E7"/>
    <mergeCell ref="F6:F7"/>
    <mergeCell ref="G6:G7"/>
    <mergeCell ref="H6:H7"/>
    <mergeCell ref="I6:I7"/>
    <mergeCell ref="J6:J7"/>
    <mergeCell ref="AG6:AG7"/>
    <mergeCell ref="X5:AH5"/>
    <mergeCell ref="A21:B21"/>
    <mergeCell ref="S6:S7"/>
    <mergeCell ref="T6:T7"/>
    <mergeCell ref="U6:U7"/>
    <mergeCell ref="V6:V7"/>
    <mergeCell ref="L6:L7"/>
    <mergeCell ref="M6:M7"/>
    <mergeCell ref="N6:O6"/>
    <mergeCell ref="P6:P7"/>
    <mergeCell ref="Q6:Q7"/>
    <mergeCell ref="R6:R7"/>
    <mergeCell ref="AH6:AH7"/>
    <mergeCell ref="U9:U20"/>
    <mergeCell ref="W6:W7"/>
    <mergeCell ref="X6:Z6"/>
    <mergeCell ref="G26:H26"/>
    <mergeCell ref="I26:J26"/>
    <mergeCell ref="K26:L26"/>
    <mergeCell ref="AA6:AC6"/>
    <mergeCell ref="AD6:AF6"/>
    <mergeCell ref="K6:K7"/>
  </mergeCells>
  <printOptions horizontalCentered="1"/>
  <pageMargins left="0" right="0" top="0" bottom="0" header="0.31496062992125984" footer="0.31496062992125984"/>
  <pageSetup paperSize="9" scale="39" orientation="landscape"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pageSetUpPr fitToPage="1"/>
  </sheetPr>
  <dimension ref="A1:X28"/>
  <sheetViews>
    <sheetView view="pageBreakPreview" zoomScale="60" zoomScaleNormal="70" workbookViewId="0">
      <selection activeCell="H34" sqref="H34"/>
    </sheetView>
  </sheetViews>
  <sheetFormatPr defaultRowHeight="15" x14ac:dyDescent="0.25"/>
  <cols>
    <col min="1" max="1" width="9.33203125" style="1112"/>
    <col min="2" max="2" width="52.5" style="1112" customWidth="1"/>
    <col min="3" max="4" width="9.33203125" style="1112"/>
    <col min="5" max="5" width="12.5" style="1112" customWidth="1"/>
    <col min="6" max="6" width="16.83203125" style="1112" customWidth="1"/>
    <col min="7" max="7" width="9.33203125" style="1112"/>
    <col min="8" max="8" width="13.1640625" style="1112" customWidth="1"/>
    <col min="9" max="13" width="9.33203125" style="1112"/>
    <col min="14" max="14" width="12" style="1112" customWidth="1"/>
    <col min="15" max="17" width="9.33203125" style="1112"/>
    <col min="18" max="18" width="59.5" style="1112" customWidth="1"/>
    <col min="19" max="23" width="9.33203125" style="1112"/>
    <col min="24" max="24" width="13.83203125" style="1112" customWidth="1"/>
    <col min="25" max="16384" width="9.33203125" style="1112"/>
  </cols>
  <sheetData>
    <row r="1" spans="1:24" ht="15" customHeight="1" x14ac:dyDescent="0.25">
      <c r="T1" s="2674" t="s">
        <v>1599</v>
      </c>
      <c r="U1" s="2675"/>
      <c r="V1" s="2675"/>
      <c r="W1" s="2675"/>
    </row>
    <row r="2" spans="1:24" ht="15" customHeight="1" x14ac:dyDescent="0.25">
      <c r="T2" s="2674" t="s">
        <v>1600</v>
      </c>
      <c r="U2" s="2675"/>
      <c r="V2" s="2675"/>
      <c r="W2" s="2675"/>
    </row>
    <row r="4" spans="1:24" x14ac:dyDescent="0.25">
      <c r="A4" s="2676" t="s">
        <v>1611</v>
      </c>
      <c r="B4" s="2676"/>
      <c r="C4" s="2676"/>
      <c r="D4" s="2676"/>
      <c r="E4" s="2676"/>
      <c r="F4" s="2676"/>
      <c r="G4" s="2676"/>
      <c r="H4" s="2676"/>
      <c r="I4" s="2676"/>
      <c r="J4" s="2676"/>
      <c r="K4" s="2676"/>
      <c r="L4" s="2676"/>
      <c r="M4" s="2676"/>
      <c r="N4" s="2676"/>
      <c r="O4" s="2676"/>
      <c r="P4" s="2676"/>
      <c r="Q4" s="2676"/>
      <c r="R4" s="2676"/>
      <c r="S4" s="2676"/>
      <c r="T4" s="2676"/>
      <c r="U4" s="2676"/>
      <c r="V4" s="2676"/>
      <c r="W4" s="2676"/>
      <c r="X4" s="2676"/>
    </row>
    <row r="5" spans="1:24" s="1825" customFormat="1" x14ac:dyDescent="0.25">
      <c r="A5" s="2677" t="s">
        <v>1253</v>
      </c>
      <c r="B5" s="2678"/>
      <c r="C5" s="2678"/>
      <c r="D5" s="2678"/>
      <c r="E5" s="2678"/>
      <c r="F5" s="2678"/>
      <c r="G5" s="2678"/>
      <c r="H5" s="2678"/>
      <c r="I5" s="2678"/>
      <c r="J5" s="2678"/>
      <c r="K5" s="2678"/>
      <c r="L5" s="2678"/>
      <c r="M5" s="2678"/>
      <c r="N5" s="2678"/>
      <c r="O5" s="2678"/>
      <c r="P5" s="2678"/>
      <c r="Q5" s="2678"/>
      <c r="R5" s="2678"/>
      <c r="S5" s="2678"/>
      <c r="T5" s="2678"/>
      <c r="U5" s="2678"/>
      <c r="V5" s="2678"/>
      <c r="W5" s="2678"/>
      <c r="X5" s="2678"/>
    </row>
    <row r="6" spans="1:24" s="1825" customFormat="1" x14ac:dyDescent="0.25">
      <c r="A6" s="1917"/>
      <c r="B6" s="1918"/>
      <c r="C6" s="1918"/>
      <c r="D6" s="1918"/>
      <c r="E6" s="1918"/>
      <c r="F6" s="1918"/>
      <c r="G6" s="1918"/>
      <c r="H6" s="1918"/>
      <c r="I6" s="1918"/>
      <c r="J6" s="1918"/>
      <c r="K6" s="1918"/>
      <c r="L6" s="1918"/>
      <c r="M6" s="1918"/>
      <c r="N6" s="1918"/>
      <c r="O6" s="1918"/>
      <c r="P6" s="1918"/>
      <c r="Q6" s="1918"/>
      <c r="R6" s="1918"/>
      <c r="S6" s="1918"/>
      <c r="T6" s="1918"/>
      <c r="U6" s="1918"/>
      <c r="V6" s="1918"/>
      <c r="W6" s="1918"/>
      <c r="X6" s="1919">
        <v>43829</v>
      </c>
    </row>
    <row r="7" spans="1:24" s="1825" customFormat="1" ht="30" customHeight="1" x14ac:dyDescent="0.25">
      <c r="A7" s="2664" t="s">
        <v>319</v>
      </c>
      <c r="B7" s="2664" t="s">
        <v>248</v>
      </c>
      <c r="C7" s="2664" t="s">
        <v>249</v>
      </c>
      <c r="D7" s="2679" t="s">
        <v>724</v>
      </c>
      <c r="E7" s="2679"/>
      <c r="F7" s="2679"/>
      <c r="G7" s="2679"/>
      <c r="H7" s="2679" t="s">
        <v>1601</v>
      </c>
      <c r="I7" s="2679"/>
      <c r="J7" s="2679"/>
      <c r="K7" s="2679"/>
      <c r="L7" s="2679" t="s">
        <v>1602</v>
      </c>
      <c r="M7" s="2679"/>
      <c r="N7" s="2679"/>
      <c r="O7" s="2679" t="s">
        <v>232</v>
      </c>
      <c r="P7" s="2679"/>
      <c r="Q7" s="2679"/>
      <c r="R7" s="2679"/>
      <c r="S7" s="2679" t="s">
        <v>233</v>
      </c>
      <c r="T7" s="2679"/>
      <c r="U7" s="2679"/>
      <c r="V7" s="2679" t="s">
        <v>234</v>
      </c>
      <c r="W7" s="2679"/>
      <c r="X7" s="2679"/>
    </row>
    <row r="8" spans="1:24" ht="120" x14ac:dyDescent="0.25">
      <c r="A8" s="2664"/>
      <c r="B8" s="2664"/>
      <c r="C8" s="2664"/>
      <c r="D8" s="1141" t="s">
        <v>726</v>
      </c>
      <c r="E8" s="1141" t="s">
        <v>320</v>
      </c>
      <c r="F8" s="1141" t="s">
        <v>483</v>
      </c>
      <c r="G8" s="1141" t="s">
        <v>484</v>
      </c>
      <c r="H8" s="1141" t="s">
        <v>727</v>
      </c>
      <c r="I8" s="1141" t="s">
        <v>1603</v>
      </c>
      <c r="J8" s="1141" t="s">
        <v>483</v>
      </c>
      <c r="K8" s="1141" t="s">
        <v>484</v>
      </c>
      <c r="L8" s="1141" t="s">
        <v>320</v>
      </c>
      <c r="M8" s="1141" t="s">
        <v>483</v>
      </c>
      <c r="N8" s="1141" t="s">
        <v>484</v>
      </c>
      <c r="O8" s="1141" t="s">
        <v>320</v>
      </c>
      <c r="P8" s="1141" t="s">
        <v>483</v>
      </c>
      <c r="Q8" s="1141" t="s">
        <v>484</v>
      </c>
      <c r="R8" s="1141" t="s">
        <v>182</v>
      </c>
      <c r="S8" s="1141" t="s">
        <v>320</v>
      </c>
      <c r="T8" s="1141" t="s">
        <v>483</v>
      </c>
      <c r="U8" s="1141" t="s">
        <v>484</v>
      </c>
      <c r="V8" s="1141" t="s">
        <v>320</v>
      </c>
      <c r="W8" s="1141" t="s">
        <v>483</v>
      </c>
      <c r="X8" s="1141" t="s">
        <v>484</v>
      </c>
    </row>
    <row r="9" spans="1:24" x14ac:dyDescent="0.25">
      <c r="A9" s="1141">
        <v>1</v>
      </c>
      <c r="B9" s="1141">
        <v>2</v>
      </c>
      <c r="C9" s="1141">
        <v>3</v>
      </c>
      <c r="D9" s="1141">
        <v>4</v>
      </c>
      <c r="E9" s="1141">
        <v>5</v>
      </c>
      <c r="F9" s="1141">
        <v>6</v>
      </c>
      <c r="G9" s="1141">
        <v>7</v>
      </c>
      <c r="H9" s="1141">
        <v>8</v>
      </c>
      <c r="I9" s="1141">
        <v>9</v>
      </c>
      <c r="J9" s="1141">
        <v>10</v>
      </c>
      <c r="K9" s="1141">
        <v>11</v>
      </c>
      <c r="L9" s="1141">
        <v>12</v>
      </c>
      <c r="M9" s="1141">
        <v>13</v>
      </c>
      <c r="N9" s="1141">
        <v>14</v>
      </c>
      <c r="O9" s="1141">
        <v>15</v>
      </c>
      <c r="P9" s="1141">
        <v>16</v>
      </c>
      <c r="Q9" s="1141">
        <v>17</v>
      </c>
      <c r="R9" s="1141">
        <v>18</v>
      </c>
      <c r="S9" s="1141">
        <v>19</v>
      </c>
      <c r="T9" s="1141">
        <v>20</v>
      </c>
      <c r="U9" s="1141">
        <v>21</v>
      </c>
      <c r="V9" s="1141">
        <v>22</v>
      </c>
      <c r="W9" s="1141">
        <v>23</v>
      </c>
      <c r="X9" s="1141">
        <v>24</v>
      </c>
    </row>
    <row r="10" spans="1:24" ht="40.5" customHeight="1" x14ac:dyDescent="0.25">
      <c r="A10" s="1141">
        <v>2</v>
      </c>
      <c r="B10" s="1148" t="s">
        <v>1604</v>
      </c>
      <c r="C10" s="1141" t="s">
        <v>229</v>
      </c>
      <c r="D10" s="1150">
        <f>G10</f>
        <v>225</v>
      </c>
      <c r="E10" s="1150">
        <v>12</v>
      </c>
      <c r="F10" s="1150">
        <f>G10/E10/1.18*1000</f>
        <v>15889.8</v>
      </c>
      <c r="G10" s="1150">
        <v>225</v>
      </c>
      <c r="H10" s="1150"/>
      <c r="I10" s="1150"/>
      <c r="J10" s="1150"/>
      <c r="K10" s="1150"/>
      <c r="L10" s="1150"/>
      <c r="M10" s="1150"/>
      <c r="N10" s="1150"/>
      <c r="O10" s="1150"/>
      <c r="P10" s="1150"/>
      <c r="Q10" s="1150"/>
      <c r="R10" s="1826"/>
      <c r="S10" s="1150"/>
      <c r="T10" s="1150"/>
      <c r="U10" s="1150"/>
      <c r="V10" s="1150"/>
      <c r="W10" s="1150"/>
      <c r="X10" s="1150"/>
    </row>
    <row r="11" spans="1:24" ht="40.5" customHeight="1" x14ac:dyDescent="0.25">
      <c r="A11" s="1141">
        <v>3</v>
      </c>
      <c r="B11" s="1148" t="s">
        <v>1605</v>
      </c>
      <c r="C11" s="1141" t="s">
        <v>257</v>
      </c>
      <c r="D11" s="1150"/>
      <c r="E11" s="1150"/>
      <c r="F11" s="1150"/>
      <c r="G11" s="1150"/>
      <c r="H11" s="1150"/>
      <c r="I11" s="1150"/>
      <c r="J11" s="1150"/>
      <c r="K11" s="1150"/>
      <c r="L11" s="1150"/>
      <c r="M11" s="1150"/>
      <c r="N11" s="1150"/>
      <c r="O11" s="1150"/>
      <c r="P11" s="1150"/>
      <c r="Q11" s="1150"/>
      <c r="R11" s="1826"/>
      <c r="S11" s="1150"/>
      <c r="T11" s="1150"/>
      <c r="U11" s="1150"/>
      <c r="V11" s="1150"/>
      <c r="W11" s="1150"/>
      <c r="X11" s="1150"/>
    </row>
    <row r="12" spans="1:24" ht="40.5" customHeight="1" x14ac:dyDescent="0.25">
      <c r="A12" s="1141">
        <v>4</v>
      </c>
      <c r="B12" s="1148" t="s">
        <v>1606</v>
      </c>
      <c r="C12" s="1141" t="s">
        <v>257</v>
      </c>
      <c r="D12" s="1150"/>
      <c r="E12" s="1150"/>
      <c r="F12" s="1150"/>
      <c r="G12" s="1150"/>
      <c r="H12" s="1150"/>
      <c r="I12" s="1150"/>
      <c r="J12" s="1150"/>
      <c r="K12" s="1150"/>
      <c r="L12" s="1150"/>
      <c r="M12" s="1150"/>
      <c r="N12" s="1150"/>
      <c r="O12" s="1150"/>
      <c r="P12" s="1150"/>
      <c r="Q12" s="1150"/>
      <c r="R12" s="1826"/>
      <c r="S12" s="1150"/>
      <c r="T12" s="1150"/>
      <c r="U12" s="1150"/>
      <c r="V12" s="1150"/>
      <c r="W12" s="1150"/>
      <c r="X12" s="1150"/>
    </row>
    <row r="13" spans="1:24" ht="57" customHeight="1" x14ac:dyDescent="0.25">
      <c r="A13" s="1141">
        <v>5</v>
      </c>
      <c r="B13" s="1148" t="s">
        <v>1607</v>
      </c>
      <c r="C13" s="1141" t="s">
        <v>229</v>
      </c>
      <c r="D13" s="1150">
        <f>G13</f>
        <v>38.299999999999997</v>
      </c>
      <c r="E13" s="1150">
        <v>3</v>
      </c>
      <c r="F13" s="1150">
        <v>12760</v>
      </c>
      <c r="G13" s="1150">
        <v>38.299999999999997</v>
      </c>
      <c r="H13" s="1150"/>
      <c r="I13" s="1150"/>
      <c r="J13" s="1150"/>
      <c r="K13" s="1150"/>
      <c r="L13" s="1150">
        <v>12</v>
      </c>
      <c r="M13" s="1150">
        <f>N13/L13*1000</f>
        <v>6500</v>
      </c>
      <c r="N13" s="1150">
        <v>78</v>
      </c>
      <c r="O13" s="1150">
        <f>L13</f>
        <v>12</v>
      </c>
      <c r="P13" s="1150">
        <f>M13</f>
        <v>6500</v>
      </c>
      <c r="Q13" s="1150">
        <f>N13</f>
        <v>78</v>
      </c>
      <c r="R13" s="1826" t="s">
        <v>1608</v>
      </c>
      <c r="S13" s="1150">
        <f>O13</f>
        <v>12</v>
      </c>
      <c r="T13" s="1150">
        <f>P13</f>
        <v>6500</v>
      </c>
      <c r="U13" s="1150">
        <f>Q13</f>
        <v>78</v>
      </c>
      <c r="V13" s="1150">
        <f>S13</f>
        <v>12</v>
      </c>
      <c r="W13" s="1150">
        <f>T13</f>
        <v>6500</v>
      </c>
      <c r="X13" s="1150">
        <f>U13</f>
        <v>78</v>
      </c>
    </row>
    <row r="14" spans="1:24" ht="40.5" customHeight="1" x14ac:dyDescent="0.25">
      <c r="A14" s="1141">
        <v>6</v>
      </c>
      <c r="B14" s="807" t="s">
        <v>1609</v>
      </c>
      <c r="C14" s="1141"/>
      <c r="D14" s="1150"/>
      <c r="E14" s="1150"/>
      <c r="F14" s="1150"/>
      <c r="G14" s="1150"/>
      <c r="H14" s="1150"/>
      <c r="I14" s="1150"/>
      <c r="J14" s="1150"/>
      <c r="K14" s="1150"/>
      <c r="L14" s="1150"/>
      <c r="M14" s="1150"/>
      <c r="N14" s="1150"/>
      <c r="O14" s="1150"/>
      <c r="P14" s="1150"/>
      <c r="Q14" s="1150"/>
      <c r="R14" s="1826"/>
      <c r="S14" s="1150"/>
      <c r="T14" s="1150"/>
      <c r="U14" s="1150"/>
      <c r="V14" s="1150"/>
      <c r="W14" s="1150"/>
      <c r="X14" s="1150"/>
    </row>
    <row r="15" spans="1:24" ht="40.5" customHeight="1" x14ac:dyDescent="0.25">
      <c r="A15" s="1141">
        <v>7</v>
      </c>
      <c r="B15" s="807" t="s">
        <v>1610</v>
      </c>
      <c r="C15" s="1141"/>
      <c r="D15" s="1150"/>
      <c r="E15" s="1150"/>
      <c r="F15" s="1150"/>
      <c r="G15" s="1150"/>
      <c r="H15" s="1150"/>
      <c r="I15" s="1150"/>
      <c r="J15" s="1150"/>
      <c r="K15" s="1150"/>
      <c r="L15" s="1150"/>
      <c r="M15" s="1150"/>
      <c r="N15" s="1150"/>
      <c r="O15" s="1150"/>
      <c r="P15" s="1150"/>
      <c r="Q15" s="1150"/>
      <c r="R15" s="1826"/>
      <c r="S15" s="1150"/>
      <c r="T15" s="1150"/>
      <c r="U15" s="1150"/>
      <c r="V15" s="1150"/>
      <c r="W15" s="1150"/>
      <c r="X15" s="1150"/>
    </row>
    <row r="16" spans="1:24" s="1830" customFormat="1" ht="14.25" x14ac:dyDescent="0.2">
      <c r="A16" s="1827"/>
      <c r="B16" s="1828" t="s">
        <v>322</v>
      </c>
      <c r="C16" s="1827"/>
      <c r="D16" s="1829">
        <f>SUM(D10:D13)</f>
        <v>263.3</v>
      </c>
      <c r="E16" s="1829"/>
      <c r="F16" s="1829"/>
      <c r="G16" s="1829">
        <f t="shared" ref="G16:N16" si="0">SUM(G10:G13)</f>
        <v>263.3</v>
      </c>
      <c r="H16" s="1829"/>
      <c r="I16" s="1829"/>
      <c r="J16" s="1829"/>
      <c r="K16" s="1829"/>
      <c r="L16" s="1829"/>
      <c r="M16" s="1829"/>
      <c r="N16" s="1829">
        <f t="shared" si="0"/>
        <v>78</v>
      </c>
      <c r="O16" s="1829"/>
      <c r="P16" s="1829"/>
      <c r="Q16" s="1829">
        <f t="shared" ref="Q16" si="1">SUM(Q10:Q13)</f>
        <v>78</v>
      </c>
      <c r="R16" s="1829"/>
      <c r="S16" s="1829"/>
      <c r="T16" s="1829"/>
      <c r="U16" s="1829">
        <f t="shared" ref="U16" si="2">SUM(U10:U13)</f>
        <v>78</v>
      </c>
      <c r="V16" s="1829"/>
      <c r="W16" s="1829"/>
      <c r="X16" s="1829">
        <f t="shared" ref="X16" si="3">SUM(X10:X13)</f>
        <v>78</v>
      </c>
    </row>
    <row r="17" spans="1:24" x14ac:dyDescent="0.25">
      <c r="A17" s="1141"/>
      <c r="B17" s="1148" t="s">
        <v>486</v>
      </c>
      <c r="C17" s="1141"/>
      <c r="D17" s="1150"/>
      <c r="E17" s="1150"/>
      <c r="F17" s="1150"/>
      <c r="G17" s="1150"/>
      <c r="H17" s="1150"/>
      <c r="I17" s="1150"/>
      <c r="J17" s="1150"/>
      <c r="K17" s="1150"/>
      <c r="L17" s="1150"/>
      <c r="M17" s="1150"/>
      <c r="N17" s="1150"/>
      <c r="O17" s="1150"/>
      <c r="P17" s="1150"/>
      <c r="Q17" s="1150"/>
      <c r="R17" s="1150"/>
      <c r="S17" s="1150"/>
      <c r="T17" s="1150"/>
      <c r="U17" s="1150"/>
      <c r="V17" s="1150"/>
      <c r="W17" s="1150"/>
      <c r="X17" s="1150"/>
    </row>
    <row r="18" spans="1:24" x14ac:dyDescent="0.25">
      <c r="A18" s="1141"/>
      <c r="B18" s="1148" t="s">
        <v>488</v>
      </c>
      <c r="C18" s="1141"/>
      <c r="D18" s="1150">
        <f>G18</f>
        <v>225</v>
      </c>
      <c r="E18" s="1150"/>
      <c r="F18" s="1150"/>
      <c r="G18" s="1150">
        <v>225</v>
      </c>
      <c r="H18" s="1150"/>
      <c r="I18" s="1150"/>
      <c r="J18" s="1150"/>
      <c r="K18" s="1150"/>
      <c r="L18" s="1150"/>
      <c r="M18" s="1150"/>
      <c r="N18" s="1150"/>
      <c r="O18" s="1150"/>
      <c r="P18" s="1150"/>
      <c r="Q18" s="1150"/>
      <c r="R18" s="1150"/>
      <c r="S18" s="1150"/>
      <c r="T18" s="1150"/>
      <c r="U18" s="1150"/>
      <c r="V18" s="1150"/>
      <c r="W18" s="1150"/>
      <c r="X18" s="1150"/>
    </row>
    <row r="19" spans="1:24" x14ac:dyDescent="0.25">
      <c r="A19" s="1141"/>
      <c r="B19" s="1148" t="s">
        <v>490</v>
      </c>
      <c r="C19" s="1141"/>
      <c r="D19" s="1150">
        <f>G19</f>
        <v>38.299999999999997</v>
      </c>
      <c r="E19" s="1150"/>
      <c r="F19" s="1150"/>
      <c r="G19" s="1150">
        <v>38.299999999999997</v>
      </c>
      <c r="H19" s="1150"/>
      <c r="I19" s="1150"/>
      <c r="J19" s="1150"/>
      <c r="K19" s="1150"/>
      <c r="L19" s="1150"/>
      <c r="M19" s="1150"/>
      <c r="N19" s="1150">
        <f>N16</f>
        <v>78</v>
      </c>
      <c r="O19" s="1150"/>
      <c r="P19" s="1150"/>
      <c r="Q19" s="1150">
        <f>Q16</f>
        <v>78</v>
      </c>
      <c r="R19" s="1150"/>
      <c r="S19" s="1150"/>
      <c r="T19" s="1150"/>
      <c r="U19" s="1150">
        <f>U16</f>
        <v>78</v>
      </c>
      <c r="V19" s="1150"/>
      <c r="W19" s="1150"/>
      <c r="X19" s="1150">
        <f>X16</f>
        <v>78</v>
      </c>
    </row>
    <row r="24" spans="1:24" s="1831" customFormat="1" ht="20.25" x14ac:dyDescent="0.3">
      <c r="A24" s="1831" t="s">
        <v>469</v>
      </c>
      <c r="C24" s="2680"/>
      <c r="D24" s="2680"/>
      <c r="E24" s="2680"/>
      <c r="G24" s="1832"/>
      <c r="H24" s="1832"/>
      <c r="J24" s="2680" t="s">
        <v>175</v>
      </c>
      <c r="K24" s="2680"/>
      <c r="L24" s="2680"/>
      <c r="N24" s="1832"/>
    </row>
    <row r="25" spans="1:24" x14ac:dyDescent="0.25">
      <c r="D25" s="1833" t="s">
        <v>217</v>
      </c>
      <c r="G25" s="1833"/>
      <c r="H25" s="1833"/>
      <c r="J25" s="2673" t="s">
        <v>211</v>
      </c>
      <c r="K25" s="2673"/>
      <c r="L25" s="2673"/>
      <c r="N25" s="1833"/>
    </row>
    <row r="26" spans="1:24" x14ac:dyDescent="0.25">
      <c r="D26" s="1833"/>
      <c r="G26" s="1833"/>
      <c r="H26" s="1833"/>
      <c r="K26" s="1833"/>
      <c r="N26" s="1833"/>
    </row>
    <row r="27" spans="1:24" x14ac:dyDescent="0.25">
      <c r="A27" s="1112" t="s">
        <v>96</v>
      </c>
      <c r="D27" s="1833"/>
      <c r="G27" s="1833"/>
      <c r="H27" s="1833"/>
      <c r="K27" s="1833"/>
      <c r="N27" s="1833"/>
    </row>
    <row r="28" spans="1:24" x14ac:dyDescent="0.25">
      <c r="A28" s="1112" t="s">
        <v>715</v>
      </c>
      <c r="D28" s="1833"/>
      <c r="G28" s="1833"/>
      <c r="H28" s="1833"/>
      <c r="K28" s="1833"/>
      <c r="N28" s="1833"/>
    </row>
  </sheetData>
  <mergeCells count="16">
    <mergeCell ref="J25:L25"/>
    <mergeCell ref="T1:W1"/>
    <mergeCell ref="T2:W2"/>
    <mergeCell ref="A4:X4"/>
    <mergeCell ref="A5:X5"/>
    <mergeCell ref="A7:A8"/>
    <mergeCell ref="B7:B8"/>
    <mergeCell ref="C7:C8"/>
    <mergeCell ref="D7:G7"/>
    <mergeCell ref="H7:K7"/>
    <mergeCell ref="L7:N7"/>
    <mergeCell ref="O7:R7"/>
    <mergeCell ref="S7:U7"/>
    <mergeCell ref="V7:X7"/>
    <mergeCell ref="C24:E24"/>
    <mergeCell ref="J24:L24"/>
  </mergeCells>
  <pageMargins left="0.70866141732283472" right="0.70866141732283472" top="0.74803149606299213" bottom="0.74803149606299213" header="0.31496062992125984" footer="0.31496062992125984"/>
  <pageSetup paperSize="9" scale="43"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Y55"/>
  <sheetViews>
    <sheetView view="pageBreakPreview" zoomScale="80" zoomScaleNormal="80" zoomScaleSheetLayoutView="80" workbookViewId="0">
      <pane xSplit="3" ySplit="15" topLeftCell="D16" activePane="bottomRight" state="frozen"/>
      <selection activeCell="V27" sqref="V27"/>
      <selection pane="topRight" activeCell="V27" sqref="V27"/>
      <selection pane="bottomLeft" activeCell="V27" sqref="V27"/>
      <selection pane="bottomRight" activeCell="AD37" sqref="AD37"/>
    </sheetView>
  </sheetViews>
  <sheetFormatPr defaultRowHeight="12.75" x14ac:dyDescent="0.2"/>
  <cols>
    <col min="1" max="1" width="5.33203125" style="836" customWidth="1"/>
    <col min="2" max="2" width="55.5" style="836" customWidth="1"/>
    <col min="3" max="3" width="9" style="836" customWidth="1"/>
    <col min="4" max="4" width="11.33203125" style="974" hidden="1" customWidth="1"/>
    <col min="5" max="5" width="14.33203125" style="974" hidden="1" customWidth="1"/>
    <col min="6" max="6" width="15.5" style="974" hidden="1" customWidth="1"/>
    <col min="7" max="8" width="11.33203125" style="974" hidden="1" customWidth="1"/>
    <col min="9" max="9" width="13.6640625" style="974" hidden="1" customWidth="1"/>
    <col min="10" max="10" width="15.6640625" style="974" hidden="1" customWidth="1"/>
    <col min="11" max="11" width="11.33203125" style="974" hidden="1" customWidth="1"/>
    <col min="12" max="12" width="14.1640625" style="974" hidden="1" customWidth="1"/>
    <col min="13" max="13" width="15" style="974" hidden="1" customWidth="1"/>
    <col min="14" max="14" width="11.5" style="974" hidden="1" customWidth="1"/>
    <col min="15" max="15" width="13.1640625" style="974" customWidth="1"/>
    <col min="16" max="16" width="14.83203125" style="974" customWidth="1"/>
    <col min="17" max="17" width="13.1640625" style="974" customWidth="1"/>
    <col min="18" max="18" width="14.33203125" style="975" bestFit="1" customWidth="1"/>
    <col min="19" max="19" width="12.83203125" style="976" customWidth="1"/>
    <col min="20" max="20" width="13.5" style="974" customWidth="1"/>
    <col min="21" max="21" width="11.33203125" style="974" customWidth="1"/>
    <col min="22" max="22" width="13.6640625" style="974" customWidth="1"/>
    <col min="23" max="23" width="12.83203125" style="974" customWidth="1"/>
    <col min="24" max="24" width="13" style="974" customWidth="1"/>
    <col min="25" max="16384" width="9.33203125" style="836"/>
  </cols>
  <sheetData>
    <row r="1" spans="1:24" ht="15" x14ac:dyDescent="0.25">
      <c r="T1" s="2682" t="s">
        <v>767</v>
      </c>
      <c r="U1" s="2682"/>
      <c r="V1" s="2682"/>
      <c r="W1" s="2682"/>
      <c r="X1" s="2682"/>
    </row>
    <row r="2" spans="1:24" ht="15" hidden="1" x14ac:dyDescent="0.25">
      <c r="T2" s="2682" t="s">
        <v>323</v>
      </c>
      <c r="U2" s="2682"/>
      <c r="V2" s="2682"/>
      <c r="W2" s="2682"/>
      <c r="X2" s="2682"/>
    </row>
    <row r="3" spans="1:24" ht="15" hidden="1" x14ac:dyDescent="0.25">
      <c r="T3" s="2682" t="s">
        <v>324</v>
      </c>
      <c r="U3" s="2682"/>
      <c r="V3" s="2682"/>
      <c r="W3" s="2682"/>
      <c r="X3" s="2682"/>
    </row>
    <row r="4" spans="1:24" ht="15" hidden="1" x14ac:dyDescent="0.25">
      <c r="F4" s="977"/>
      <c r="G4" s="977"/>
      <c r="M4" s="978"/>
      <c r="T4" s="2682" t="s">
        <v>325</v>
      </c>
      <c r="U4" s="2682"/>
      <c r="V4" s="2682"/>
      <c r="W4" s="2682"/>
      <c r="X4" s="2682"/>
    </row>
    <row r="5" spans="1:24" ht="15" hidden="1" x14ac:dyDescent="0.25">
      <c r="T5" s="2682" t="s">
        <v>458</v>
      </c>
      <c r="U5" s="2682"/>
      <c r="V5" s="2682"/>
      <c r="W5" s="2682"/>
      <c r="X5" s="2682"/>
    </row>
    <row r="6" spans="1:24" ht="15" hidden="1" x14ac:dyDescent="0.25">
      <c r="T6" s="2682" t="s">
        <v>459</v>
      </c>
      <c r="U6" s="2682"/>
      <c r="V6" s="2682"/>
      <c r="W6" s="2682"/>
      <c r="X6" s="2682"/>
    </row>
    <row r="7" spans="1:24" ht="15" hidden="1" x14ac:dyDescent="0.25">
      <c r="T7" s="2682" t="s">
        <v>768</v>
      </c>
      <c r="U7" s="2682"/>
      <c r="V7" s="2682"/>
      <c r="W7" s="2682"/>
      <c r="X7" s="2682"/>
    </row>
    <row r="8" spans="1:24" x14ac:dyDescent="0.2">
      <c r="Q8" s="979"/>
    </row>
    <row r="9" spans="1:24" ht="15.75" x14ac:dyDescent="0.2">
      <c r="A9" s="2683" t="s">
        <v>777</v>
      </c>
      <c r="B9" s="2683"/>
      <c r="C9" s="2683"/>
      <c r="D9" s="2683"/>
      <c r="E9" s="2683"/>
      <c r="F9" s="2683"/>
      <c r="G9" s="2683"/>
      <c r="H9" s="2683"/>
      <c r="I9" s="2683"/>
      <c r="J9" s="2683"/>
      <c r="K9" s="2683"/>
      <c r="L9" s="2683"/>
      <c r="M9" s="2683"/>
      <c r="N9" s="2683"/>
      <c r="O9" s="2683"/>
      <c r="P9" s="2683"/>
      <c r="Q9" s="2683"/>
      <c r="R9" s="2683"/>
      <c r="S9" s="2683"/>
      <c r="T9" s="2683"/>
      <c r="U9" s="2683"/>
      <c r="V9" s="2683"/>
      <c r="W9" s="2683"/>
      <c r="X9" s="2683"/>
    </row>
    <row r="10" spans="1:24" ht="15.75" x14ac:dyDescent="0.2">
      <c r="A10" s="2684" t="s">
        <v>1253</v>
      </c>
      <c r="B10" s="2684"/>
      <c r="C10" s="2684"/>
      <c r="D10" s="2684"/>
      <c r="E10" s="2684"/>
      <c r="F10" s="2684"/>
      <c r="G10" s="2684"/>
      <c r="H10" s="2684"/>
      <c r="I10" s="2684"/>
      <c r="J10" s="2684"/>
      <c r="K10" s="2684"/>
      <c r="L10" s="2684"/>
      <c r="M10" s="2684"/>
      <c r="N10" s="2684"/>
      <c r="O10" s="2684"/>
      <c r="P10" s="2684"/>
      <c r="Q10" s="2684"/>
      <c r="R10" s="2684"/>
      <c r="S10" s="2684"/>
      <c r="T10" s="2684"/>
      <c r="U10" s="2684"/>
      <c r="V10" s="2684"/>
      <c r="W10" s="2684"/>
      <c r="X10" s="2684"/>
    </row>
    <row r="11" spans="1:24" x14ac:dyDescent="0.2">
      <c r="D11" s="980"/>
      <c r="E11" s="980"/>
      <c r="F11" s="980"/>
      <c r="G11" s="981"/>
      <c r="H11" s="980"/>
      <c r="I11" s="982"/>
      <c r="J11" s="980"/>
      <c r="K11" s="980"/>
      <c r="L11" s="980"/>
      <c r="M11" s="980"/>
      <c r="N11" s="980"/>
      <c r="X11" s="1916">
        <v>43829</v>
      </c>
    </row>
    <row r="12" spans="1:24" ht="27" customHeight="1" x14ac:dyDescent="0.2">
      <c r="A12" s="2685" t="s">
        <v>78</v>
      </c>
      <c r="B12" s="2685" t="s">
        <v>248</v>
      </c>
      <c r="C12" s="2685" t="s">
        <v>221</v>
      </c>
      <c r="D12" s="2686" t="s">
        <v>769</v>
      </c>
      <c r="E12" s="2686"/>
      <c r="F12" s="2686"/>
      <c r="G12" s="2686"/>
      <c r="H12" s="2686" t="s">
        <v>770</v>
      </c>
      <c r="I12" s="2686"/>
      <c r="J12" s="2686"/>
      <c r="K12" s="2686"/>
      <c r="L12" s="2686" t="s">
        <v>725</v>
      </c>
      <c r="M12" s="2686"/>
      <c r="N12" s="2686"/>
      <c r="O12" s="2687" t="s">
        <v>326</v>
      </c>
      <c r="P12" s="2687"/>
      <c r="Q12" s="2687"/>
      <c r="R12" s="2687"/>
      <c r="S12" s="2686" t="s">
        <v>327</v>
      </c>
      <c r="T12" s="2686"/>
      <c r="U12" s="2686"/>
      <c r="V12" s="2686" t="s">
        <v>328</v>
      </c>
      <c r="W12" s="2686"/>
      <c r="X12" s="2686"/>
    </row>
    <row r="13" spans="1:24" x14ac:dyDescent="0.2">
      <c r="A13" s="2685"/>
      <c r="B13" s="2685"/>
      <c r="C13" s="2685"/>
      <c r="D13" s="2664" t="s">
        <v>771</v>
      </c>
      <c r="E13" s="2681" t="s">
        <v>329</v>
      </c>
      <c r="F13" s="2681" t="s">
        <v>772</v>
      </c>
      <c r="G13" s="2664" t="s">
        <v>773</v>
      </c>
      <c r="H13" s="2664" t="s">
        <v>774</v>
      </c>
      <c r="I13" s="2681" t="s">
        <v>329</v>
      </c>
      <c r="J13" s="2681" t="s">
        <v>772</v>
      </c>
      <c r="K13" s="2664" t="s">
        <v>773</v>
      </c>
      <c r="L13" s="2681" t="s">
        <v>329</v>
      </c>
      <c r="M13" s="2681" t="s">
        <v>772</v>
      </c>
      <c r="N13" s="2664" t="s">
        <v>773</v>
      </c>
      <c r="O13" s="2681" t="s">
        <v>329</v>
      </c>
      <c r="P13" s="2681" t="s">
        <v>775</v>
      </c>
      <c r="Q13" s="2664" t="s">
        <v>773</v>
      </c>
      <c r="R13" s="2664" t="s">
        <v>182</v>
      </c>
      <c r="S13" s="2681" t="s">
        <v>329</v>
      </c>
      <c r="T13" s="2681" t="s">
        <v>775</v>
      </c>
      <c r="U13" s="2664" t="s">
        <v>773</v>
      </c>
      <c r="V13" s="2681" t="s">
        <v>329</v>
      </c>
      <c r="W13" s="2681" t="s">
        <v>775</v>
      </c>
      <c r="X13" s="2664" t="s">
        <v>773</v>
      </c>
    </row>
    <row r="14" spans="1:24" x14ac:dyDescent="0.2">
      <c r="A14" s="2685"/>
      <c r="B14" s="2685"/>
      <c r="C14" s="2685"/>
      <c r="D14" s="2664"/>
      <c r="E14" s="2681"/>
      <c r="F14" s="2681"/>
      <c r="G14" s="2664"/>
      <c r="H14" s="2664"/>
      <c r="I14" s="2681"/>
      <c r="J14" s="2681"/>
      <c r="K14" s="2664"/>
      <c r="L14" s="2681"/>
      <c r="M14" s="2681"/>
      <c r="N14" s="2664"/>
      <c r="O14" s="2681"/>
      <c r="P14" s="2681"/>
      <c r="Q14" s="2664"/>
      <c r="R14" s="2664"/>
      <c r="S14" s="2681"/>
      <c r="T14" s="2681"/>
      <c r="U14" s="2664"/>
      <c r="V14" s="2681"/>
      <c r="W14" s="2681"/>
      <c r="X14" s="2664"/>
    </row>
    <row r="15" spans="1:24" x14ac:dyDescent="0.2">
      <c r="A15" s="983">
        <v>1</v>
      </c>
      <c r="B15" s="983">
        <v>2</v>
      </c>
      <c r="C15" s="983">
        <v>3</v>
      </c>
      <c r="D15" s="984">
        <v>4</v>
      </c>
      <c r="E15" s="984">
        <v>5</v>
      </c>
      <c r="F15" s="984">
        <v>6</v>
      </c>
      <c r="G15" s="984">
        <v>7</v>
      </c>
      <c r="H15" s="984">
        <v>8</v>
      </c>
      <c r="I15" s="984">
        <v>9</v>
      </c>
      <c r="J15" s="984">
        <v>10</v>
      </c>
      <c r="K15" s="984">
        <v>11</v>
      </c>
      <c r="L15" s="984">
        <v>12</v>
      </c>
      <c r="M15" s="984">
        <v>13</v>
      </c>
      <c r="N15" s="984">
        <v>14</v>
      </c>
      <c r="O15" s="984">
        <v>15</v>
      </c>
      <c r="P15" s="984">
        <v>16</v>
      </c>
      <c r="Q15" s="984">
        <v>17</v>
      </c>
      <c r="R15" s="984">
        <v>18</v>
      </c>
      <c r="S15" s="984">
        <v>19</v>
      </c>
      <c r="T15" s="984">
        <v>20</v>
      </c>
      <c r="U15" s="984">
        <v>21</v>
      </c>
      <c r="V15" s="984">
        <v>22</v>
      </c>
      <c r="W15" s="984">
        <v>23</v>
      </c>
      <c r="X15" s="984">
        <v>24</v>
      </c>
    </row>
    <row r="16" spans="1:24" s="1025" customFormat="1" x14ac:dyDescent="0.2">
      <c r="A16" s="1834">
        <v>1</v>
      </c>
      <c r="B16" s="1834" t="s">
        <v>1612</v>
      </c>
      <c r="C16" s="1834" t="s">
        <v>257</v>
      </c>
      <c r="D16" s="1835">
        <f>SUM(D17:D18)</f>
        <v>0</v>
      </c>
      <c r="E16" s="1836">
        <f>SUM(E17:E18)</f>
        <v>0</v>
      </c>
      <c r="F16" s="1835"/>
      <c r="G16" s="1835">
        <f>SUM(G17:G18)</f>
        <v>0</v>
      </c>
      <c r="H16" s="1836">
        <f>SUM(H17:H18)</f>
        <v>0</v>
      </c>
      <c r="I16" s="1836">
        <f>SUM(I17:I18)</f>
        <v>0</v>
      </c>
      <c r="J16" s="1836"/>
      <c r="K16" s="1835">
        <f>SUM(K17:K18)</f>
        <v>0</v>
      </c>
      <c r="L16" s="1836">
        <f>SUM(L17:L18)</f>
        <v>0</v>
      </c>
      <c r="M16" s="1836"/>
      <c r="N16" s="1835">
        <f>SUM(N17:N18)</f>
        <v>0</v>
      </c>
      <c r="O16" s="1836">
        <v>1</v>
      </c>
      <c r="P16" s="1836"/>
      <c r="Q16" s="1837">
        <f>SUM(Q17:Q18)</f>
        <v>78</v>
      </c>
      <c r="R16" s="1838"/>
      <c r="S16" s="1836">
        <v>1</v>
      </c>
      <c r="T16" s="1836"/>
      <c r="U16" s="1835">
        <f>SUM(U17:U18)</f>
        <v>78</v>
      </c>
      <c r="V16" s="1836">
        <v>1</v>
      </c>
      <c r="W16" s="1836"/>
      <c r="X16" s="1835">
        <f>SUM(X17:X18)</f>
        <v>78</v>
      </c>
    </row>
    <row r="17" spans="1:25" s="996" customFormat="1" x14ac:dyDescent="0.2">
      <c r="A17" s="990"/>
      <c r="B17" s="997" t="s">
        <v>1346</v>
      </c>
      <c r="C17" s="991"/>
      <c r="D17" s="1011"/>
      <c r="E17" s="1013"/>
      <c r="F17" s="1011"/>
      <c r="G17" s="1011"/>
      <c r="H17" s="1011"/>
      <c r="I17" s="1012"/>
      <c r="J17" s="1011"/>
      <c r="K17" s="1011"/>
      <c r="L17" s="1012"/>
      <c r="M17" s="1011"/>
      <c r="N17" s="1011"/>
      <c r="O17" s="1012">
        <v>1</v>
      </c>
      <c r="P17" s="1011"/>
      <c r="Q17" s="1839">
        <v>78</v>
      </c>
      <c r="R17" s="1002"/>
      <c r="S17" s="1012">
        <v>1</v>
      </c>
      <c r="T17" s="1011"/>
      <c r="U17" s="1839">
        <v>78</v>
      </c>
      <c r="V17" s="1012">
        <v>1</v>
      </c>
      <c r="W17" s="1011"/>
      <c r="X17" s="1839">
        <v>78</v>
      </c>
    </row>
    <row r="18" spans="1:25" s="996" customFormat="1" x14ac:dyDescent="0.2">
      <c r="A18" s="990"/>
      <c r="B18" s="997"/>
      <c r="C18" s="991"/>
      <c r="D18" s="992"/>
      <c r="E18" s="1017"/>
      <c r="F18" s="992"/>
      <c r="G18" s="992"/>
      <c r="H18" s="992"/>
      <c r="I18" s="993"/>
      <c r="J18" s="992"/>
      <c r="K18" s="992"/>
      <c r="L18" s="993"/>
      <c r="M18" s="992"/>
      <c r="N18" s="992"/>
      <c r="O18" s="993"/>
      <c r="P18" s="992"/>
      <c r="Q18" s="1840"/>
      <c r="R18" s="995"/>
      <c r="S18" s="993"/>
      <c r="T18" s="992"/>
      <c r="U18" s="992"/>
      <c r="V18" s="993"/>
      <c r="W18" s="992"/>
      <c r="X18" s="992"/>
    </row>
    <row r="19" spans="1:25" s="989" customFormat="1" x14ac:dyDescent="0.2">
      <c r="A19" s="1841"/>
      <c r="B19" s="1834" t="s">
        <v>1613</v>
      </c>
      <c r="C19" s="1841"/>
      <c r="D19" s="1842">
        <f>D30+D36+D39+D42+D45+D16</f>
        <v>0.3</v>
      </c>
      <c r="E19" s="1836"/>
      <c r="F19" s="1842"/>
      <c r="G19" s="1842">
        <f>G30+G36+G39+G42+G45+G16</f>
        <v>0.3</v>
      </c>
      <c r="H19" s="1843">
        <f>H30+I36+H39+H42+H45+H16</f>
        <v>1</v>
      </c>
      <c r="I19" s="1844"/>
      <c r="J19" s="1844"/>
      <c r="K19" s="1843">
        <f>K30+K36+K39+K42+K45+K16</f>
        <v>99.1</v>
      </c>
      <c r="L19" s="1842"/>
      <c r="M19" s="1842"/>
      <c r="N19" s="1843">
        <f>N30+N36+N39+N42+N45+N16</f>
        <v>37.6</v>
      </c>
      <c r="O19" s="1842"/>
      <c r="P19" s="1842"/>
      <c r="Q19" s="1837">
        <f>Q16</f>
        <v>78</v>
      </c>
      <c r="R19" s="1845"/>
      <c r="S19" s="1842"/>
      <c r="T19" s="1842"/>
      <c r="U19" s="1843">
        <f>U16</f>
        <v>78</v>
      </c>
      <c r="V19" s="1842"/>
      <c r="W19" s="1842"/>
      <c r="X19" s="1843">
        <f>X16</f>
        <v>78</v>
      </c>
    </row>
    <row r="20" spans="1:25" x14ac:dyDescent="0.2">
      <c r="A20" s="983"/>
      <c r="B20" s="1034" t="s">
        <v>486</v>
      </c>
      <c r="C20" s="983"/>
      <c r="D20" s="1035"/>
      <c r="E20" s="984"/>
      <c r="F20" s="984"/>
      <c r="G20" s="1035"/>
      <c r="H20" s="1035"/>
      <c r="I20" s="984"/>
      <c r="J20" s="984"/>
      <c r="K20" s="1035"/>
      <c r="L20" s="1036"/>
      <c r="M20" s="1036"/>
      <c r="N20" s="1035"/>
      <c r="O20" s="1036"/>
      <c r="P20" s="1036"/>
      <c r="Q20" s="1846"/>
      <c r="R20" s="1037"/>
      <c r="S20" s="1036"/>
      <c r="T20" s="1036"/>
      <c r="U20" s="1035"/>
      <c r="V20" s="1036"/>
      <c r="W20" s="1036"/>
      <c r="X20" s="1035"/>
    </row>
    <row r="21" spans="1:25" x14ac:dyDescent="0.2">
      <c r="A21" s="983"/>
      <c r="B21" s="1034" t="s">
        <v>488</v>
      </c>
      <c r="C21" s="983"/>
      <c r="D21" s="1035"/>
      <c r="E21" s="984"/>
      <c r="F21" s="984"/>
      <c r="G21" s="1035"/>
      <c r="H21" s="1035"/>
      <c r="I21" s="984"/>
      <c r="J21" s="984"/>
      <c r="K21" s="1035"/>
      <c r="L21" s="1036"/>
      <c r="M21" s="1036"/>
      <c r="N21" s="1035"/>
      <c r="O21" s="1036"/>
      <c r="P21" s="1036"/>
      <c r="Q21" s="1846"/>
      <c r="R21" s="1037"/>
      <c r="S21" s="1036"/>
      <c r="T21" s="1036"/>
      <c r="U21" s="1035"/>
      <c r="V21" s="1036"/>
      <c r="W21" s="1036"/>
      <c r="X21" s="1035"/>
    </row>
    <row r="22" spans="1:25" s="989" customFormat="1" x14ac:dyDescent="0.2">
      <c r="A22" s="1841"/>
      <c r="B22" s="1834" t="s">
        <v>776</v>
      </c>
      <c r="C22" s="1841"/>
      <c r="D22" s="1843">
        <f>D19</f>
        <v>0.3</v>
      </c>
      <c r="E22" s="1844"/>
      <c r="F22" s="1844"/>
      <c r="G22" s="1843">
        <f>G19</f>
        <v>0.3</v>
      </c>
      <c r="H22" s="1843">
        <f>H19</f>
        <v>1</v>
      </c>
      <c r="I22" s="1844"/>
      <c r="J22" s="1844"/>
      <c r="K22" s="1843">
        <f>K19</f>
        <v>99.1</v>
      </c>
      <c r="L22" s="1842"/>
      <c r="M22" s="1842"/>
      <c r="N22" s="1843">
        <f>N19</f>
        <v>37.6</v>
      </c>
      <c r="O22" s="1842"/>
      <c r="P22" s="1842"/>
      <c r="Q22" s="1837">
        <f>Q19</f>
        <v>78</v>
      </c>
      <c r="R22" s="1838"/>
      <c r="S22" s="1842"/>
      <c r="T22" s="1842"/>
      <c r="U22" s="1843">
        <f>U19</f>
        <v>78</v>
      </c>
      <c r="V22" s="1842"/>
      <c r="W22" s="1842"/>
      <c r="X22" s="1843">
        <f>X19</f>
        <v>78</v>
      </c>
    </row>
    <row r="23" spans="1:25" s="989" customFormat="1" x14ac:dyDescent="0.2">
      <c r="A23" s="985">
        <v>1</v>
      </c>
      <c r="B23" s="986" t="s">
        <v>330</v>
      </c>
      <c r="C23" s="985" t="s">
        <v>331</v>
      </c>
      <c r="D23" s="987">
        <f>SUM(D24:D24)</f>
        <v>111.88</v>
      </c>
      <c r="E23" s="987"/>
      <c r="F23" s="987"/>
      <c r="G23" s="987">
        <f>SUM(G24:G24)</f>
        <v>111.88</v>
      </c>
      <c r="H23" s="987">
        <f>SUM(H24:H24)</f>
        <v>0</v>
      </c>
      <c r="I23" s="987"/>
      <c r="J23" s="987"/>
      <c r="K23" s="987">
        <f>SUM(K24:K24)</f>
        <v>111.88</v>
      </c>
      <c r="L23" s="987"/>
      <c r="M23" s="987"/>
      <c r="N23" s="987">
        <f>SUM(N24:N24)</f>
        <v>113.78</v>
      </c>
      <c r="O23" s="987"/>
      <c r="P23" s="987"/>
      <c r="Q23" s="1847">
        <f>SUM(Q24:Q24)</f>
        <v>113.8</v>
      </c>
      <c r="R23" s="988"/>
      <c r="S23" s="987"/>
      <c r="T23" s="987"/>
      <c r="U23" s="1847">
        <f>SUM(U24:U24)</f>
        <v>113.8</v>
      </c>
      <c r="V23" s="987"/>
      <c r="W23" s="987"/>
      <c r="X23" s="1847">
        <f>SUM(X24:X24)</f>
        <v>113.8</v>
      </c>
    </row>
    <row r="24" spans="1:25" s="996" customFormat="1" x14ac:dyDescent="0.2">
      <c r="A24" s="990"/>
      <c r="B24" s="997" t="s">
        <v>1346</v>
      </c>
      <c r="C24" s="991"/>
      <c r="D24" s="992">
        <f t="shared" ref="D24" si="0">G24</f>
        <v>111.88</v>
      </c>
      <c r="E24" s="993">
        <v>12</v>
      </c>
      <c r="F24" s="992">
        <v>7901.25</v>
      </c>
      <c r="G24" s="992">
        <f t="shared" ref="G24" si="1">E24*F24*1.18/1000</f>
        <v>111.88</v>
      </c>
      <c r="H24" s="992"/>
      <c r="I24" s="993">
        <v>12</v>
      </c>
      <c r="J24" s="992">
        <f t="shared" ref="J24" si="2">K24/I24*1000/1.18</f>
        <v>7901.13</v>
      </c>
      <c r="K24" s="992">
        <v>111.88</v>
      </c>
      <c r="L24" s="993">
        <v>12</v>
      </c>
      <c r="M24" s="992">
        <f t="shared" ref="M24" si="3">N24/L24*1000/1.2</f>
        <v>7901.39</v>
      </c>
      <c r="N24" s="992">
        <v>113.78</v>
      </c>
      <c r="O24" s="993">
        <v>12</v>
      </c>
      <c r="P24" s="992">
        <f t="shared" ref="P24" si="4">Q24/O24*1000/1.2</f>
        <v>7902.78</v>
      </c>
      <c r="Q24" s="1840">
        <v>113.8</v>
      </c>
      <c r="R24" s="995"/>
      <c r="S24" s="993">
        <v>12</v>
      </c>
      <c r="T24" s="992">
        <f t="shared" ref="T24" si="5">U24/S24*1000/1.2</f>
        <v>7902.78</v>
      </c>
      <c r="U24" s="1840">
        <v>113.8</v>
      </c>
      <c r="V24" s="993">
        <v>12</v>
      </c>
      <c r="W24" s="992">
        <f t="shared" ref="W24" si="6">X24/V24*1000/1.2</f>
        <v>7902.78</v>
      </c>
      <c r="X24" s="1840">
        <v>113.8</v>
      </c>
    </row>
    <row r="25" spans="1:25" s="996" customFormat="1" x14ac:dyDescent="0.2">
      <c r="A25" s="990"/>
      <c r="B25" s="998"/>
      <c r="C25" s="991"/>
      <c r="D25" s="999"/>
      <c r="E25" s="1000"/>
      <c r="F25" s="1001"/>
      <c r="G25" s="999"/>
      <c r="H25" s="999"/>
      <c r="I25" s="1000"/>
      <c r="J25" s="1001"/>
      <c r="K25" s="999"/>
      <c r="L25" s="1000"/>
      <c r="M25" s="1001"/>
      <c r="N25" s="999"/>
      <c r="O25" s="1000"/>
      <c r="P25" s="1001"/>
      <c r="Q25" s="1839"/>
      <c r="R25" s="1002"/>
      <c r="S25" s="1000"/>
      <c r="T25" s="1001"/>
      <c r="U25" s="1839"/>
      <c r="V25" s="1000"/>
      <c r="W25" s="1001"/>
      <c r="X25" s="1839"/>
    </row>
    <row r="26" spans="1:25" s="996" customFormat="1" ht="25.5" x14ac:dyDescent="0.2">
      <c r="A26" s="985">
        <v>2</v>
      </c>
      <c r="B26" s="986" t="s">
        <v>332</v>
      </c>
      <c r="C26" s="985" t="s">
        <v>331</v>
      </c>
      <c r="D26" s="1003">
        <f>SUM(D27:D27)</f>
        <v>0</v>
      </c>
      <c r="E26" s="1003"/>
      <c r="F26" s="1003"/>
      <c r="G26" s="1003">
        <f>SUM(G27:G27)</f>
        <v>0</v>
      </c>
      <c r="H26" s="1003">
        <f>SUM(H27:H27)</f>
        <v>0</v>
      </c>
      <c r="I26" s="1003"/>
      <c r="J26" s="1003"/>
      <c r="K26" s="1003">
        <f>SUM(K27:K27)</f>
        <v>0</v>
      </c>
      <c r="L26" s="1003"/>
      <c r="M26" s="1003"/>
      <c r="N26" s="1003">
        <f>SUM(N27:N27)</f>
        <v>0</v>
      </c>
      <c r="O26" s="1003"/>
      <c r="P26" s="1003"/>
      <c r="Q26" s="1847">
        <f>SUM(Q27:Q27)</f>
        <v>0</v>
      </c>
      <c r="R26" s="1003"/>
      <c r="S26" s="1003"/>
      <c r="T26" s="1003"/>
      <c r="U26" s="1847">
        <f>SUM(U27:U27)</f>
        <v>0</v>
      </c>
      <c r="V26" s="1003"/>
      <c r="W26" s="1003"/>
      <c r="X26" s="1847">
        <f>SUM(X27:X27)</f>
        <v>0</v>
      </c>
    </row>
    <row r="27" spans="1:25" s="1007" customFormat="1" x14ac:dyDescent="0.2">
      <c r="A27" s="1004"/>
      <c r="B27" s="997" t="s">
        <v>1346</v>
      </c>
      <c r="C27" s="1004"/>
      <c r="D27" s="994"/>
      <c r="E27" s="1005"/>
      <c r="F27" s="1006"/>
      <c r="G27" s="994"/>
      <c r="H27" s="994"/>
      <c r="I27" s="1005"/>
      <c r="J27" s="1006"/>
      <c r="K27" s="994"/>
      <c r="L27" s="1005"/>
      <c r="M27" s="1006"/>
      <c r="N27" s="994"/>
      <c r="O27" s="1005"/>
      <c r="P27" s="1006"/>
      <c r="Q27" s="1840"/>
      <c r="R27" s="995"/>
      <c r="S27" s="1005"/>
      <c r="T27" s="1006"/>
      <c r="U27" s="1840"/>
      <c r="V27" s="1005"/>
      <c r="W27" s="1006"/>
      <c r="X27" s="1840"/>
    </row>
    <row r="28" spans="1:25" s="996" customFormat="1" x14ac:dyDescent="0.2">
      <c r="A28" s="990"/>
      <c r="B28" s="998"/>
      <c r="C28" s="991"/>
      <c r="D28" s="999"/>
      <c r="E28" s="1000"/>
      <c r="F28" s="1001"/>
      <c r="G28" s="999"/>
      <c r="H28" s="999"/>
      <c r="I28" s="1000"/>
      <c r="J28" s="1001"/>
      <c r="K28" s="999"/>
      <c r="L28" s="1000"/>
      <c r="M28" s="1001"/>
      <c r="N28" s="999"/>
      <c r="O28" s="1000"/>
      <c r="P28" s="1001"/>
      <c r="Q28" s="1839"/>
      <c r="R28" s="1002"/>
      <c r="S28" s="1000"/>
      <c r="T28" s="1001"/>
      <c r="U28" s="1839"/>
      <c r="V28" s="1000"/>
      <c r="W28" s="1001"/>
      <c r="X28" s="1839"/>
    </row>
    <row r="29" spans="1:25" s="1007" customFormat="1" x14ac:dyDescent="0.2">
      <c r="A29" s="985">
        <v>3</v>
      </c>
      <c r="B29" s="986" t="s">
        <v>333</v>
      </c>
      <c r="C29" s="985" t="s">
        <v>257</v>
      </c>
      <c r="D29" s="987">
        <f>SUM(D30:D30)</f>
        <v>0</v>
      </c>
      <c r="E29" s="1008"/>
      <c r="F29" s="1009"/>
      <c r="G29" s="987">
        <f>SUM(G30:G30)</f>
        <v>0</v>
      </c>
      <c r="H29" s="987">
        <f>SUM(H30:H30)</f>
        <v>0</v>
      </c>
      <c r="I29" s="1010"/>
      <c r="J29" s="1009"/>
      <c r="K29" s="987">
        <f>SUM(K30:K30)</f>
        <v>0</v>
      </c>
      <c r="L29" s="1010"/>
      <c r="M29" s="1009"/>
      <c r="N29" s="987">
        <f>SUM(N30:N30)</f>
        <v>37.26</v>
      </c>
      <c r="O29" s="1010"/>
      <c r="P29" s="1003"/>
      <c r="Q29" s="1847">
        <f>SUM(Q30:Q30)</f>
        <v>41.6</v>
      </c>
      <c r="R29" s="988"/>
      <c r="S29" s="1010"/>
      <c r="T29" s="1003"/>
      <c r="U29" s="1847">
        <f>SUM(U30:U30)</f>
        <v>41.6</v>
      </c>
      <c r="V29" s="1010"/>
      <c r="W29" s="1003"/>
      <c r="X29" s="1847">
        <f>SUM(X30:X30)</f>
        <v>41.6</v>
      </c>
    </row>
    <row r="30" spans="1:25" s="996" customFormat="1" x14ac:dyDescent="0.2">
      <c r="A30" s="990"/>
      <c r="B30" s="997" t="s">
        <v>1346</v>
      </c>
      <c r="C30" s="990"/>
      <c r="D30" s="992"/>
      <c r="E30" s="993"/>
      <c r="F30" s="992"/>
      <c r="G30" s="992"/>
      <c r="H30" s="992"/>
      <c r="I30" s="993"/>
      <c r="J30" s="992"/>
      <c r="K30" s="992"/>
      <c r="L30" s="993">
        <v>26</v>
      </c>
      <c r="M30" s="992">
        <f t="shared" ref="M30" si="7">N30/L30/1.2*1000</f>
        <v>1194.23</v>
      </c>
      <c r="N30" s="992">
        <v>37.26</v>
      </c>
      <c r="O30" s="993">
        <v>30</v>
      </c>
      <c r="P30" s="992">
        <f>Q30/O30*1000/1.2</f>
        <v>1155.56</v>
      </c>
      <c r="Q30" s="1840">
        <v>41.6</v>
      </c>
      <c r="R30" s="995"/>
      <c r="S30" s="993">
        <v>30</v>
      </c>
      <c r="T30" s="992">
        <f>U30/S30*1000/1.2</f>
        <v>1155.56</v>
      </c>
      <c r="U30" s="1840">
        <v>41.6</v>
      </c>
      <c r="V30" s="993">
        <v>30</v>
      </c>
      <c r="W30" s="992">
        <f>X30/V30*1000/1.2</f>
        <v>1155.56</v>
      </c>
      <c r="X30" s="1840">
        <v>41.6</v>
      </c>
      <c r="Y30" s="1007"/>
    </row>
    <row r="31" spans="1:25" s="996" customFormat="1" x14ac:dyDescent="0.2">
      <c r="A31" s="990"/>
      <c r="B31" s="998"/>
      <c r="C31" s="990"/>
      <c r="D31" s="999"/>
      <c r="E31" s="1012"/>
      <c r="F31" s="1001"/>
      <c r="G31" s="999"/>
      <c r="H31" s="999"/>
      <c r="I31" s="1000"/>
      <c r="J31" s="1001"/>
      <c r="K31" s="999"/>
      <c r="L31" s="1000"/>
      <c r="M31" s="1001"/>
      <c r="N31" s="999"/>
      <c r="O31" s="1012"/>
      <c r="P31" s="999"/>
      <c r="Q31" s="1839"/>
      <c r="R31" s="1002"/>
      <c r="S31" s="1012"/>
      <c r="T31" s="999"/>
      <c r="U31" s="1839"/>
      <c r="V31" s="1012"/>
      <c r="W31" s="999"/>
      <c r="X31" s="1839"/>
    </row>
    <row r="32" spans="1:25" s="989" customFormat="1" x14ac:dyDescent="0.2">
      <c r="A32" s="985">
        <v>3</v>
      </c>
      <c r="B32" s="986" t="s">
        <v>334</v>
      </c>
      <c r="C32" s="985" t="s">
        <v>257</v>
      </c>
      <c r="D32" s="987">
        <f>SUM(D33:D33)</f>
        <v>0</v>
      </c>
      <c r="E32" s="987">
        <f>SUM(E33:E33)</f>
        <v>0</v>
      </c>
      <c r="F32" s="1008"/>
      <c r="G32" s="987">
        <f>SUM(G33:G33)</f>
        <v>0</v>
      </c>
      <c r="H32" s="987">
        <f>SUM(H33:H33)</f>
        <v>0</v>
      </c>
      <c r="I32" s="987">
        <f>SUM(I33:I33)</f>
        <v>0</v>
      </c>
      <c r="J32" s="1003"/>
      <c r="K32" s="987">
        <f>SUM(K33:K33)</f>
        <v>0</v>
      </c>
      <c r="L32" s="987">
        <f>SUM(L33:L33)</f>
        <v>0</v>
      </c>
      <c r="M32" s="1003"/>
      <c r="N32" s="987">
        <f>SUM(N33:N33)</f>
        <v>0</v>
      </c>
      <c r="O32" s="987">
        <f>SUM(O33:O33)</f>
        <v>1</v>
      </c>
      <c r="P32" s="1008"/>
      <c r="Q32" s="1847">
        <f>SUM(Q33:Q33)</f>
        <v>0</v>
      </c>
      <c r="R32" s="988"/>
      <c r="S32" s="987">
        <f>SUM(S33:S33)</f>
        <v>1</v>
      </c>
      <c r="T32" s="1008"/>
      <c r="U32" s="1847">
        <f>SUM(U33:U33)</f>
        <v>0</v>
      </c>
      <c r="V32" s="987">
        <f>SUM(V33:V33)</f>
        <v>1</v>
      </c>
      <c r="W32" s="1008"/>
      <c r="X32" s="1847">
        <f>SUM(X33:X33)</f>
        <v>0</v>
      </c>
    </row>
    <row r="33" spans="1:25" s="1014" customFormat="1" x14ac:dyDescent="0.2">
      <c r="A33" s="991"/>
      <c r="B33" s="997" t="s">
        <v>1346</v>
      </c>
      <c r="C33" s="991"/>
      <c r="D33" s="992"/>
      <c r="E33" s="1015"/>
      <c r="F33" s="1015"/>
      <c r="G33" s="1016"/>
      <c r="H33" s="992"/>
      <c r="I33" s="993"/>
      <c r="J33" s="992"/>
      <c r="K33" s="992"/>
      <c r="L33" s="993"/>
      <c r="M33" s="992"/>
      <c r="N33" s="992"/>
      <c r="O33" s="993">
        <v>1</v>
      </c>
      <c r="P33" s="992">
        <v>99960</v>
      </c>
      <c r="Q33" s="1840">
        <v>0</v>
      </c>
      <c r="R33" s="995"/>
      <c r="S33" s="993">
        <v>1</v>
      </c>
      <c r="T33" s="992">
        <v>99960</v>
      </c>
      <c r="U33" s="1840">
        <v>0</v>
      </c>
      <c r="V33" s="993">
        <v>1</v>
      </c>
      <c r="W33" s="992">
        <v>99960</v>
      </c>
      <c r="X33" s="1840">
        <v>0</v>
      </c>
    </row>
    <row r="34" spans="1:25" s="1014" customFormat="1" x14ac:dyDescent="0.2">
      <c r="A34" s="991"/>
      <c r="B34" s="1018"/>
      <c r="C34" s="991"/>
      <c r="D34" s="999"/>
      <c r="E34" s="1000"/>
      <c r="F34" s="1000"/>
      <c r="G34" s="999"/>
      <c r="H34" s="999"/>
      <c r="I34" s="1000"/>
      <c r="J34" s="1000"/>
      <c r="K34" s="999"/>
      <c r="L34" s="1011"/>
      <c r="M34" s="1011"/>
      <c r="N34" s="999"/>
      <c r="O34" s="1011"/>
      <c r="P34" s="1011"/>
      <c r="Q34" s="1839"/>
      <c r="R34" s="1002"/>
      <c r="S34" s="1011"/>
      <c r="T34" s="1011"/>
      <c r="U34" s="1839"/>
      <c r="V34" s="1011"/>
      <c r="W34" s="1011"/>
      <c r="X34" s="1839"/>
    </row>
    <row r="35" spans="1:25" s="996" customFormat="1" x14ac:dyDescent="0.2">
      <c r="A35" s="985">
        <v>4</v>
      </c>
      <c r="B35" s="986" t="s">
        <v>335</v>
      </c>
      <c r="C35" s="985" t="s">
        <v>336</v>
      </c>
      <c r="D35" s="987">
        <f>SUM(D36:D36)</f>
        <v>0</v>
      </c>
      <c r="E35" s="1010"/>
      <c r="F35" s="1008"/>
      <c r="G35" s="987">
        <f>SUM(G36:G36)</f>
        <v>0</v>
      </c>
      <c r="H35" s="987">
        <f>SUM(H36:H36)</f>
        <v>99.05</v>
      </c>
      <c r="I35" s="1010"/>
      <c r="J35" s="1003"/>
      <c r="K35" s="987">
        <f>SUM(K36:K36)</f>
        <v>99.05</v>
      </c>
      <c r="L35" s="1010"/>
      <c r="M35" s="1003"/>
      <c r="N35" s="987">
        <f>SUM(N36:N36)</f>
        <v>0</v>
      </c>
      <c r="O35" s="1010"/>
      <c r="P35" s="1008"/>
      <c r="Q35" s="1847">
        <f>SUM(Q36:Q36)</f>
        <v>15.9</v>
      </c>
      <c r="R35" s="988"/>
      <c r="S35" s="1010"/>
      <c r="T35" s="1008"/>
      <c r="U35" s="1847">
        <f>SUM(U36:U36)</f>
        <v>15.9</v>
      </c>
      <c r="V35" s="1010"/>
      <c r="W35" s="1008"/>
      <c r="X35" s="1847">
        <f>SUM(X36:X36)</f>
        <v>15.9</v>
      </c>
    </row>
    <row r="36" spans="1:25" s="996" customFormat="1" x14ac:dyDescent="0.2">
      <c r="A36" s="990"/>
      <c r="B36" s="997" t="s">
        <v>1346</v>
      </c>
      <c r="C36" s="990"/>
      <c r="D36" s="1011"/>
      <c r="E36" s="1012"/>
      <c r="F36" s="1021"/>
      <c r="G36" s="992"/>
      <c r="H36" s="992">
        <f>K36</f>
        <v>99.05</v>
      </c>
      <c r="I36" s="993">
        <v>1</v>
      </c>
      <c r="J36" s="992">
        <f t="shared" ref="J36" si="8">K36/I36/1.18*1000</f>
        <v>83940.68</v>
      </c>
      <c r="K36" s="992">
        <v>99.05</v>
      </c>
      <c r="L36" s="1019"/>
      <c r="M36" s="1006"/>
      <c r="N36" s="1020"/>
      <c r="O36" s="993">
        <v>1</v>
      </c>
      <c r="P36" s="992">
        <v>15900</v>
      </c>
      <c r="Q36" s="1840">
        <v>15.9</v>
      </c>
      <c r="R36" s="992"/>
      <c r="S36" s="993">
        <v>1</v>
      </c>
      <c r="T36" s="992">
        <v>15900</v>
      </c>
      <c r="U36" s="1840">
        <v>15.9</v>
      </c>
      <c r="V36" s="993">
        <v>1</v>
      </c>
      <c r="W36" s="992">
        <v>15900</v>
      </c>
      <c r="X36" s="1840">
        <v>15.9</v>
      </c>
      <c r="Y36" s="1007"/>
    </row>
    <row r="37" spans="1:25" s="996" customFormat="1" x14ac:dyDescent="0.2">
      <c r="A37" s="990"/>
      <c r="B37" s="998"/>
      <c r="C37" s="990"/>
      <c r="D37" s="999"/>
      <c r="E37" s="1000"/>
      <c r="F37" s="1001"/>
      <c r="G37" s="999"/>
      <c r="H37" s="999"/>
      <c r="I37" s="1000"/>
      <c r="J37" s="1001"/>
      <c r="K37" s="1001"/>
      <c r="L37" s="1000"/>
      <c r="M37" s="1001"/>
      <c r="N37" s="1001"/>
      <c r="O37" s="1011"/>
      <c r="P37" s="1011"/>
      <c r="Q37" s="1839"/>
      <c r="R37" s="1011"/>
      <c r="S37" s="1011"/>
      <c r="T37" s="1011"/>
      <c r="U37" s="1839"/>
      <c r="V37" s="1011"/>
      <c r="W37" s="1011"/>
      <c r="X37" s="1839"/>
    </row>
    <row r="38" spans="1:25" s="989" customFormat="1" x14ac:dyDescent="0.2">
      <c r="A38" s="985">
        <v>5</v>
      </c>
      <c r="B38" s="986" t="s">
        <v>337</v>
      </c>
      <c r="C38" s="985" t="s">
        <v>257</v>
      </c>
      <c r="D38" s="987">
        <f>SUM(D39:D40)</f>
        <v>0.3</v>
      </c>
      <c r="E38" s="987">
        <f>SUM(E39:E40)</f>
        <v>2</v>
      </c>
      <c r="F38" s="1008"/>
      <c r="G38" s="987">
        <f>SUM(G39:G40)</f>
        <v>0.3</v>
      </c>
      <c r="H38" s="987">
        <f>SUM(H39:H40)</f>
        <v>0</v>
      </c>
      <c r="I38" s="987">
        <f>SUM(I39:I40)</f>
        <v>0</v>
      </c>
      <c r="J38" s="1003"/>
      <c r="K38" s="987">
        <f>SUM(K39:K40)</f>
        <v>0</v>
      </c>
      <c r="L38" s="987">
        <f>SUM(L39:L40)</f>
        <v>2</v>
      </c>
      <c r="M38" s="1003"/>
      <c r="N38" s="987">
        <f>SUM(N39:N40)</f>
        <v>0.3</v>
      </c>
      <c r="O38" s="987">
        <f>SUM(O39:O40)</f>
        <v>2</v>
      </c>
      <c r="P38" s="1008"/>
      <c r="Q38" s="1847">
        <f>SUM(Q39:Q40)</f>
        <v>0.3</v>
      </c>
      <c r="R38" s="1022"/>
      <c r="S38" s="987">
        <f>SUM(S39:S40)</f>
        <v>2</v>
      </c>
      <c r="T38" s="1008"/>
      <c r="U38" s="1847">
        <f>SUM(U39:U40)</f>
        <v>0.3</v>
      </c>
      <c r="V38" s="987">
        <f>SUM(V39:V40)</f>
        <v>2</v>
      </c>
      <c r="W38" s="1008"/>
      <c r="X38" s="1847">
        <f>SUM(X39:X40)</f>
        <v>0.3</v>
      </c>
    </row>
    <row r="39" spans="1:25" s="996" customFormat="1" x14ac:dyDescent="0.2">
      <c r="A39" s="990"/>
      <c r="B39" s="997" t="s">
        <v>1346</v>
      </c>
      <c r="C39" s="990"/>
      <c r="D39" s="992">
        <f t="shared" ref="D39" si="9">G39</f>
        <v>0.3</v>
      </c>
      <c r="E39" s="993">
        <v>2</v>
      </c>
      <c r="F39" s="992">
        <v>126.35</v>
      </c>
      <c r="G39" s="992">
        <f>E39*F39*1.18/1000</f>
        <v>0.3</v>
      </c>
      <c r="H39" s="992"/>
      <c r="I39" s="993"/>
      <c r="J39" s="992"/>
      <c r="K39" s="992"/>
      <c r="L39" s="993">
        <v>2</v>
      </c>
      <c r="M39" s="992">
        <v>126.35</v>
      </c>
      <c r="N39" s="992">
        <f t="shared" ref="N39" si="10">L39*M39*1.2/1000</f>
        <v>0.3</v>
      </c>
      <c r="O39" s="993">
        <v>2</v>
      </c>
      <c r="P39" s="992">
        <v>126.35</v>
      </c>
      <c r="Q39" s="1840">
        <v>0.3</v>
      </c>
      <c r="R39" s="995"/>
      <c r="S39" s="993">
        <v>2</v>
      </c>
      <c r="T39" s="992">
        <v>126.35</v>
      </c>
      <c r="U39" s="1840">
        <v>0.3</v>
      </c>
      <c r="V39" s="993">
        <v>2</v>
      </c>
      <c r="W39" s="992">
        <v>126.35</v>
      </c>
      <c r="X39" s="1840">
        <v>0.3</v>
      </c>
    </row>
    <row r="40" spans="1:25" s="996" customFormat="1" x14ac:dyDescent="0.2">
      <c r="A40" s="990"/>
      <c r="B40" s="997"/>
      <c r="C40" s="990"/>
      <c r="D40" s="1011"/>
      <c r="E40" s="1012"/>
      <c r="F40" s="1011"/>
      <c r="G40" s="1011"/>
      <c r="H40" s="1011"/>
      <c r="I40" s="1012"/>
      <c r="J40" s="1011"/>
      <c r="K40" s="1011"/>
      <c r="L40" s="1012"/>
      <c r="M40" s="1011"/>
      <c r="N40" s="1011"/>
      <c r="O40" s="1012"/>
      <c r="P40" s="1011"/>
      <c r="Q40" s="1839"/>
      <c r="R40" s="1002"/>
      <c r="S40" s="1012"/>
      <c r="T40" s="1011"/>
      <c r="U40" s="1839"/>
      <c r="V40" s="1012"/>
      <c r="W40" s="1011"/>
      <c r="X40" s="1839"/>
    </row>
    <row r="41" spans="1:25" s="1025" customFormat="1" x14ac:dyDescent="0.2">
      <c r="A41" s="986">
        <v>6</v>
      </c>
      <c r="B41" s="986" t="s">
        <v>1347</v>
      </c>
      <c r="C41" s="986" t="s">
        <v>257</v>
      </c>
      <c r="D41" s="1023">
        <f>SUM(D42:D43)</f>
        <v>0</v>
      </c>
      <c r="E41" s="1024">
        <f>SUM(E42:E43)</f>
        <v>0</v>
      </c>
      <c r="F41" s="1023"/>
      <c r="G41" s="1023">
        <f>SUM(G42:G43)</f>
        <v>0</v>
      </c>
      <c r="H41" s="1024">
        <f>SUM(H42:H43)</f>
        <v>0</v>
      </c>
      <c r="I41" s="1024">
        <f>SUM(I42:I43)</f>
        <v>0</v>
      </c>
      <c r="J41" s="1024"/>
      <c r="K41" s="1023">
        <f>SUM(K42:K43)</f>
        <v>0</v>
      </c>
      <c r="L41" s="1024">
        <f>SUM(L42:L43)</f>
        <v>0</v>
      </c>
      <c r="M41" s="1024"/>
      <c r="N41" s="1023">
        <f>SUM(N42:N43)</f>
        <v>0</v>
      </c>
      <c r="O41" s="1024">
        <f>SUM(O42:O43)</f>
        <v>0</v>
      </c>
      <c r="P41" s="1024"/>
      <c r="Q41" s="1847">
        <f>SUM(Q42:Q43)</f>
        <v>0</v>
      </c>
      <c r="R41" s="988"/>
      <c r="S41" s="1024">
        <f>SUM(S42:S43)</f>
        <v>0</v>
      </c>
      <c r="T41" s="1024"/>
      <c r="U41" s="1847">
        <f>SUM(U42:U43)</f>
        <v>0</v>
      </c>
      <c r="V41" s="1024">
        <f>SUM(V42:V43)</f>
        <v>0</v>
      </c>
      <c r="W41" s="1024"/>
      <c r="X41" s="1847">
        <f>SUM(X42:X43)</f>
        <v>0</v>
      </c>
    </row>
    <row r="42" spans="1:25" s="996" customFormat="1" x14ac:dyDescent="0.2">
      <c r="A42" s="990"/>
      <c r="B42" s="997"/>
      <c r="C42" s="991"/>
      <c r="D42" s="1011"/>
      <c r="E42" s="1013"/>
      <c r="F42" s="1011"/>
      <c r="G42" s="1011"/>
      <c r="H42" s="1011"/>
      <c r="I42" s="1012"/>
      <c r="J42" s="1011"/>
      <c r="K42" s="1011"/>
      <c r="L42" s="1012"/>
      <c r="M42" s="1011"/>
      <c r="N42" s="1011"/>
      <c r="O42" s="1012"/>
      <c r="P42" s="1011"/>
      <c r="Q42" s="1839"/>
      <c r="R42" s="1002"/>
      <c r="S42" s="1012"/>
      <c r="T42" s="1011"/>
      <c r="U42" s="1011"/>
      <c r="V42" s="1012"/>
      <c r="W42" s="1011"/>
      <c r="X42" s="1011"/>
    </row>
    <row r="43" spans="1:25" s="996" customFormat="1" x14ac:dyDescent="0.2">
      <c r="A43" s="990"/>
      <c r="B43" s="997"/>
      <c r="C43" s="991"/>
      <c r="D43" s="992"/>
      <c r="E43" s="1017"/>
      <c r="F43" s="992"/>
      <c r="G43" s="992"/>
      <c r="H43" s="992"/>
      <c r="I43" s="993"/>
      <c r="J43" s="992"/>
      <c r="K43" s="992"/>
      <c r="L43" s="993"/>
      <c r="M43" s="992"/>
      <c r="N43" s="992"/>
      <c r="O43" s="993"/>
      <c r="P43" s="992"/>
      <c r="Q43" s="1840"/>
      <c r="R43" s="995"/>
      <c r="S43" s="993"/>
      <c r="T43" s="992"/>
      <c r="U43" s="992"/>
      <c r="V43" s="993"/>
      <c r="W43" s="992"/>
      <c r="X43" s="992"/>
    </row>
    <row r="44" spans="1:25" s="989" customFormat="1" x14ac:dyDescent="0.2">
      <c r="A44" s="1026"/>
      <c r="B44" s="1027" t="s">
        <v>338</v>
      </c>
      <c r="C44" s="1026"/>
      <c r="D44" s="1028">
        <f>D23+D29+D32+D35+D38+D41</f>
        <v>112.18</v>
      </c>
      <c r="E44" s="1029"/>
      <c r="F44" s="1028"/>
      <c r="G44" s="1028">
        <f>G23+G29+G32+G35+G38+G41</f>
        <v>112.18</v>
      </c>
      <c r="H44" s="1030">
        <f>H23+I29+H32+H35+H38+H41</f>
        <v>99.1</v>
      </c>
      <c r="I44" s="1031"/>
      <c r="J44" s="1031"/>
      <c r="K44" s="1030">
        <f>K23+K29+K32+K35+K38+K41</f>
        <v>210.9</v>
      </c>
      <c r="L44" s="1028"/>
      <c r="M44" s="1028"/>
      <c r="N44" s="1030">
        <f>N23+N29+N32+N35+N38+N41</f>
        <v>151.30000000000001</v>
      </c>
      <c r="O44" s="1028"/>
      <c r="P44" s="1028"/>
      <c r="Q44" s="1848">
        <f>Q23+Q29+Q32+Q35+Q38+Q41</f>
        <v>171.6</v>
      </c>
      <c r="R44" s="1032"/>
      <c r="S44" s="1033"/>
      <c r="T44" s="1028"/>
      <c r="U44" s="1030">
        <f>U23+U29+U32+U35+U38+U41</f>
        <v>171.6</v>
      </c>
      <c r="V44" s="1028"/>
      <c r="W44" s="1028"/>
      <c r="X44" s="1030">
        <f>X23+X29+X32+X35+X38+X41</f>
        <v>171.6</v>
      </c>
    </row>
    <row r="45" spans="1:25" x14ac:dyDescent="0.2">
      <c r="A45" s="983"/>
      <c r="B45" s="1034" t="s">
        <v>486</v>
      </c>
      <c r="C45" s="983"/>
      <c r="D45" s="1035"/>
      <c r="E45" s="984"/>
      <c r="F45" s="984"/>
      <c r="G45" s="1035"/>
      <c r="H45" s="1035"/>
      <c r="I45" s="984"/>
      <c r="J45" s="984"/>
      <c r="K45" s="1035"/>
      <c r="L45" s="1036"/>
      <c r="M45" s="1036"/>
      <c r="N45" s="1035"/>
      <c r="O45" s="1036"/>
      <c r="P45" s="1036"/>
      <c r="Q45" s="1846"/>
      <c r="R45" s="1037"/>
      <c r="S45" s="1038"/>
      <c r="T45" s="1036"/>
      <c r="U45" s="1035"/>
      <c r="V45" s="1036"/>
      <c r="W45" s="1036"/>
      <c r="X45" s="1035"/>
    </row>
    <row r="46" spans="1:25" x14ac:dyDescent="0.2">
      <c r="A46" s="983"/>
      <c r="B46" s="1034" t="s">
        <v>488</v>
      </c>
      <c r="C46" s="983"/>
      <c r="D46" s="1035"/>
      <c r="E46" s="984"/>
      <c r="F46" s="984"/>
      <c r="G46" s="1035"/>
      <c r="H46" s="1035"/>
      <c r="I46" s="984"/>
      <c r="J46" s="984"/>
      <c r="K46" s="1035"/>
      <c r="L46" s="1036"/>
      <c r="M46" s="1036"/>
      <c r="N46" s="1035"/>
      <c r="O46" s="1036"/>
      <c r="P46" s="1036"/>
      <c r="Q46" s="1846"/>
      <c r="R46" s="1037"/>
      <c r="S46" s="1038"/>
      <c r="T46" s="1036"/>
      <c r="U46" s="1035"/>
      <c r="V46" s="1036"/>
      <c r="W46" s="1036"/>
      <c r="X46" s="1035"/>
    </row>
    <row r="47" spans="1:25" s="989" customFormat="1" x14ac:dyDescent="0.2">
      <c r="A47" s="1026"/>
      <c r="B47" s="1027" t="s">
        <v>776</v>
      </c>
      <c r="C47" s="1026"/>
      <c r="D47" s="1030">
        <f>D44</f>
        <v>112.2</v>
      </c>
      <c r="E47" s="1031"/>
      <c r="F47" s="1031"/>
      <c r="G47" s="1030">
        <f>G44</f>
        <v>112.2</v>
      </c>
      <c r="H47" s="1030">
        <f>H44</f>
        <v>99.1</v>
      </c>
      <c r="I47" s="1031"/>
      <c r="J47" s="1031"/>
      <c r="K47" s="1030">
        <f>K44</f>
        <v>210.9</v>
      </c>
      <c r="L47" s="1028"/>
      <c r="M47" s="1028"/>
      <c r="N47" s="1030">
        <f>N44</f>
        <v>151.30000000000001</v>
      </c>
      <c r="O47" s="1028"/>
      <c r="P47" s="1028"/>
      <c r="Q47" s="1848">
        <f>Q44</f>
        <v>171.6</v>
      </c>
      <c r="R47" s="1039"/>
      <c r="S47" s="1033"/>
      <c r="T47" s="1028"/>
      <c r="U47" s="1030">
        <f>U44</f>
        <v>171.6</v>
      </c>
      <c r="V47" s="1028"/>
      <c r="W47" s="1028"/>
      <c r="X47" s="1030">
        <f>X44</f>
        <v>171.6</v>
      </c>
    </row>
    <row r="48" spans="1:25" s="989" customFormat="1" x14ac:dyDescent="0.2">
      <c r="A48" s="1040"/>
      <c r="B48" s="1041"/>
      <c r="C48" s="1042"/>
      <c r="D48" s="1043"/>
      <c r="E48" s="1042"/>
      <c r="F48" s="1042"/>
      <c r="G48" s="1044"/>
      <c r="H48" s="1043"/>
      <c r="I48" s="1044"/>
      <c r="J48" s="1042"/>
      <c r="K48" s="1043"/>
      <c r="L48" s="1044"/>
      <c r="M48" s="1044"/>
      <c r="N48" s="1043"/>
      <c r="O48" s="1044"/>
      <c r="P48" s="1044"/>
      <c r="Q48" s="1045"/>
      <c r="R48" s="1046"/>
      <c r="S48" s="1044"/>
      <c r="T48" s="1044"/>
      <c r="U48" s="1045"/>
      <c r="V48" s="1044"/>
      <c r="W48" s="1044"/>
      <c r="X48" s="1045"/>
    </row>
    <row r="49" spans="1:24" s="989" customFormat="1" x14ac:dyDescent="0.2">
      <c r="A49" s="1040"/>
      <c r="B49" s="1047"/>
      <c r="C49" s="1042"/>
      <c r="D49" s="1043"/>
      <c r="E49" s="1042"/>
      <c r="F49" s="1042"/>
      <c r="G49" s="1044"/>
      <c r="H49" s="1043"/>
      <c r="I49" s="1044"/>
      <c r="J49" s="1042"/>
      <c r="K49" s="1043"/>
      <c r="L49" s="1044"/>
      <c r="M49" s="1044"/>
      <c r="N49" s="1043"/>
      <c r="O49" s="1044"/>
      <c r="P49" s="1044"/>
      <c r="Q49" s="1048"/>
      <c r="R49" s="1046"/>
      <c r="S49" s="1044"/>
      <c r="T49" s="1044"/>
      <c r="U49" s="1048"/>
      <c r="V49" s="1044"/>
      <c r="W49" s="1044"/>
      <c r="X49" s="1048"/>
    </row>
    <row r="50" spans="1:24" s="996" customFormat="1" x14ac:dyDescent="0.2">
      <c r="A50" s="1849"/>
      <c r="B50" s="1850" t="s">
        <v>1208</v>
      </c>
      <c r="C50" s="1042"/>
      <c r="D50" s="1043"/>
      <c r="E50" s="1042"/>
      <c r="F50" s="1042"/>
      <c r="G50" s="1044"/>
      <c r="H50" s="1043"/>
      <c r="I50" s="1044"/>
      <c r="J50" s="1042"/>
      <c r="K50" s="1043"/>
      <c r="L50" s="1044"/>
      <c r="M50" s="1044"/>
      <c r="N50" s="1043"/>
      <c r="O50" s="1044"/>
      <c r="P50" s="1044"/>
      <c r="Q50" s="1048"/>
      <c r="R50" s="1046"/>
      <c r="S50" s="1044"/>
      <c r="T50" s="1044"/>
      <c r="U50" s="1048"/>
      <c r="V50" s="1044"/>
      <c r="W50" s="1044"/>
      <c r="X50" s="1048"/>
    </row>
    <row r="51" spans="1:24" s="996" customFormat="1" x14ac:dyDescent="0.2">
      <c r="A51" s="1849"/>
      <c r="B51" s="1850" t="s">
        <v>574</v>
      </c>
      <c r="C51" s="1042"/>
      <c r="D51" s="1043"/>
      <c r="E51" s="1042"/>
      <c r="F51" s="1042"/>
      <c r="G51" s="1044"/>
      <c r="H51" s="1043"/>
      <c r="I51" s="1044"/>
      <c r="J51" s="1042"/>
      <c r="K51" s="1043"/>
      <c r="L51" s="1044"/>
      <c r="M51" s="1044"/>
      <c r="N51" s="1043"/>
      <c r="O51" s="1044"/>
      <c r="P51" s="1044"/>
      <c r="Q51" s="1048"/>
      <c r="R51" s="1046"/>
      <c r="S51" s="1044"/>
      <c r="T51" s="1044"/>
      <c r="U51" s="1048"/>
      <c r="V51" s="1044"/>
      <c r="W51" s="1044"/>
      <c r="X51" s="1048"/>
    </row>
    <row r="52" spans="1:24" s="1014" customFormat="1" ht="15.75" x14ac:dyDescent="0.2">
      <c r="B52" s="1851"/>
      <c r="C52" s="1851"/>
      <c r="D52" s="1851"/>
      <c r="E52" s="1851"/>
      <c r="F52" s="1851"/>
      <c r="G52" s="1851"/>
      <c r="H52" s="1851"/>
      <c r="I52" s="1851"/>
      <c r="J52" s="1851"/>
      <c r="K52" s="1852"/>
      <c r="L52" s="1853"/>
      <c r="M52" s="1853"/>
      <c r="N52" s="1853"/>
      <c r="O52" s="1853"/>
      <c r="P52" s="1853"/>
      <c r="Q52" s="1854"/>
      <c r="R52" s="1855"/>
      <c r="S52" s="1856"/>
      <c r="T52" s="1853"/>
      <c r="U52" s="1853"/>
      <c r="V52" s="1853"/>
      <c r="W52" s="1853"/>
      <c r="X52" s="1853"/>
    </row>
    <row r="53" spans="1:24" s="1014" customFormat="1" x14ac:dyDescent="0.2">
      <c r="B53" s="1857"/>
      <c r="D53" s="1853"/>
      <c r="E53" s="1853"/>
      <c r="F53" s="1858"/>
      <c r="G53" s="1858"/>
      <c r="H53" s="1853"/>
      <c r="I53" s="1853"/>
      <c r="J53" s="1853"/>
      <c r="K53" s="1853"/>
      <c r="L53" s="1853"/>
      <c r="M53" s="1853"/>
      <c r="N53" s="1853"/>
      <c r="O53" s="1853"/>
      <c r="P53" s="1856"/>
      <c r="Q53" s="1859" t="s">
        <v>1205</v>
      </c>
      <c r="R53" s="1855"/>
      <c r="S53" s="1856"/>
      <c r="T53" s="1856"/>
      <c r="U53" s="1859" t="s">
        <v>1205</v>
      </c>
      <c r="V53" s="1856"/>
      <c r="W53" s="1856"/>
      <c r="X53" s="1859" t="s">
        <v>1205</v>
      </c>
    </row>
    <row r="54" spans="1:24" s="1014" customFormat="1" x14ac:dyDescent="0.2">
      <c r="B54" s="1860"/>
      <c r="D54" s="1853"/>
      <c r="E54" s="1853"/>
      <c r="F54" s="1853"/>
      <c r="G54" s="1853"/>
      <c r="H54" s="1853"/>
      <c r="I54" s="1853"/>
      <c r="J54" s="1853"/>
      <c r="K54" s="1853"/>
      <c r="L54" s="1853"/>
      <c r="M54" s="1853"/>
      <c r="N54" s="1853"/>
      <c r="O54" s="1853"/>
      <c r="P54" s="1856"/>
      <c r="Q54" s="1861">
        <v>171.6</v>
      </c>
      <c r="R54" s="1862"/>
      <c r="S54" s="1863"/>
      <c r="T54" s="1863"/>
      <c r="U54" s="1861">
        <v>171.6</v>
      </c>
      <c r="V54" s="1863"/>
      <c r="W54" s="1863"/>
      <c r="X54" s="1861">
        <v>171.6</v>
      </c>
    </row>
    <row r="55" spans="1:24" s="1864" customFormat="1" x14ac:dyDescent="0.2">
      <c r="B55" s="1865"/>
      <c r="C55" s="1865"/>
      <c r="D55" s="1865"/>
      <c r="F55" s="1865"/>
      <c r="G55" s="1865"/>
      <c r="P55" s="1865" t="s">
        <v>197</v>
      </c>
      <c r="Q55" s="1866">
        <f>Q54-Q44</f>
        <v>0</v>
      </c>
      <c r="R55" s="1866"/>
      <c r="S55" s="1866"/>
      <c r="T55" s="1866"/>
      <c r="U55" s="1866">
        <f>U54-U44</f>
        <v>0</v>
      </c>
      <c r="V55" s="1866"/>
      <c r="W55" s="1866"/>
      <c r="X55" s="1866">
        <f>X54-X44</f>
        <v>0</v>
      </c>
    </row>
  </sheetData>
  <mergeCells count="39">
    <mergeCell ref="T6:X6"/>
    <mergeCell ref="T1:X1"/>
    <mergeCell ref="T2:X2"/>
    <mergeCell ref="T3:X3"/>
    <mergeCell ref="T4:X4"/>
    <mergeCell ref="T5:X5"/>
    <mergeCell ref="T7:X7"/>
    <mergeCell ref="A9:X9"/>
    <mergeCell ref="A10:X10"/>
    <mergeCell ref="A12:A14"/>
    <mergeCell ref="B12:B14"/>
    <mergeCell ref="C12:C14"/>
    <mergeCell ref="D12:G12"/>
    <mergeCell ref="H12:K12"/>
    <mergeCell ref="L12:N12"/>
    <mergeCell ref="O12:R12"/>
    <mergeCell ref="Q13:Q14"/>
    <mergeCell ref="S12:U12"/>
    <mergeCell ref="V12:X12"/>
    <mergeCell ref="D13:D14"/>
    <mergeCell ref="E13:E14"/>
    <mergeCell ref="F13:F14"/>
    <mergeCell ref="G13:G14"/>
    <mergeCell ref="H13:H14"/>
    <mergeCell ref="I13:I14"/>
    <mergeCell ref="J13:J14"/>
    <mergeCell ref="K13:K14"/>
    <mergeCell ref="L13:L14"/>
    <mergeCell ref="M13:M14"/>
    <mergeCell ref="N13:N14"/>
    <mergeCell ref="O13:O14"/>
    <mergeCell ref="P13:P14"/>
    <mergeCell ref="X13:X14"/>
    <mergeCell ref="R13:R14"/>
    <mergeCell ref="S13:S14"/>
    <mergeCell ref="T13:T14"/>
    <mergeCell ref="U13:U14"/>
    <mergeCell ref="V13:V14"/>
    <mergeCell ref="W13:W14"/>
  </mergeCells>
  <pageMargins left="0.25" right="0.25" top="0.75" bottom="0.75" header="0.3" footer="0.3"/>
  <pageSetup paperSize="9" scale="44"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C000"/>
    <pageSetUpPr fitToPage="1"/>
  </sheetPr>
  <dimension ref="A1:Y67"/>
  <sheetViews>
    <sheetView view="pageBreakPreview" topLeftCell="A13" zoomScale="60" zoomScaleNormal="60" workbookViewId="0">
      <pane ySplit="7" topLeftCell="A20" activePane="bottomLeft" state="frozen"/>
      <selection activeCell="A13" sqref="A13"/>
      <selection pane="bottomLeft" activeCell="AN18" sqref="AN18"/>
    </sheetView>
  </sheetViews>
  <sheetFormatPr defaultRowHeight="15" x14ac:dyDescent="0.25"/>
  <cols>
    <col min="1" max="1" width="6.33203125" style="1049" customWidth="1"/>
    <col min="2" max="2" width="35.1640625" style="1049" customWidth="1"/>
    <col min="3" max="3" width="9.33203125" style="1049"/>
    <col min="4" max="4" width="14.83203125" style="1049" hidden="1" customWidth="1"/>
    <col min="5" max="5" width="16.5" style="1049" hidden="1" customWidth="1"/>
    <col min="6" max="6" width="28" style="1049" hidden="1" customWidth="1"/>
    <col min="7" max="7" width="13.1640625" style="1049" hidden="1" customWidth="1"/>
    <col min="8" max="8" width="14.83203125" style="1049" hidden="1" customWidth="1"/>
    <col min="9" max="9" width="17.5" style="1049" hidden="1" customWidth="1"/>
    <col min="10" max="10" width="13.33203125" style="1049" hidden="1" customWidth="1"/>
    <col min="11" max="11" width="18.33203125" style="1049" hidden="1" customWidth="1"/>
    <col min="12" max="12" width="15.83203125" style="1049" hidden="1" customWidth="1"/>
    <col min="13" max="13" width="21" style="1049" hidden="1" customWidth="1"/>
    <col min="14" max="14" width="16.83203125" style="1049" hidden="1" customWidth="1"/>
    <col min="15" max="15" width="14.6640625" style="1049" customWidth="1"/>
    <col min="16" max="16" width="16.1640625" style="1049" customWidth="1"/>
    <col min="17" max="18" width="18.1640625" style="1049" customWidth="1"/>
    <col min="19" max="19" width="20" style="1049" customWidth="1"/>
    <col min="20" max="20" width="14" style="1049" bestFit="1" customWidth="1"/>
    <col min="21" max="21" width="14.6640625" style="1049" bestFit="1" customWidth="1"/>
    <col min="22" max="22" width="17" style="1049" customWidth="1"/>
    <col min="23" max="23" width="14.5" style="1049" bestFit="1" customWidth="1"/>
    <col min="24" max="24" width="17.83203125" style="1049" customWidth="1"/>
    <col min="25" max="16384" width="9.33203125" style="1049"/>
  </cols>
  <sheetData>
    <row r="1" spans="1:24" x14ac:dyDescent="0.25">
      <c r="X1" s="1050" t="s">
        <v>717</v>
      </c>
    </row>
    <row r="2" spans="1:24" x14ac:dyDescent="0.25">
      <c r="X2" s="1050" t="s">
        <v>718</v>
      </c>
    </row>
    <row r="3" spans="1:24" x14ac:dyDescent="0.25">
      <c r="X3" s="1050" t="s">
        <v>719</v>
      </c>
    </row>
    <row r="4" spans="1:24" x14ac:dyDescent="0.25">
      <c r="X4" s="1050" t="s">
        <v>720</v>
      </c>
    </row>
    <row r="5" spans="1:24" x14ac:dyDescent="0.25">
      <c r="X5" s="1050" t="s">
        <v>721</v>
      </c>
    </row>
    <row r="6" spans="1:24" x14ac:dyDescent="0.25">
      <c r="X6" s="1050" t="s">
        <v>722</v>
      </c>
    </row>
    <row r="7" spans="1:24" x14ac:dyDescent="0.25">
      <c r="X7" s="1050" t="s">
        <v>723</v>
      </c>
    </row>
    <row r="8" spans="1:24" x14ac:dyDescent="0.25">
      <c r="X8" s="1050" t="s">
        <v>459</v>
      </c>
    </row>
    <row r="9" spans="1:24" x14ac:dyDescent="0.25">
      <c r="X9" s="1050" t="s">
        <v>460</v>
      </c>
    </row>
    <row r="11" spans="1:24" ht="15.75" x14ac:dyDescent="0.25">
      <c r="A11" s="2693" t="s">
        <v>1348</v>
      </c>
      <c r="B11" s="2693"/>
      <c r="C11" s="2693"/>
      <c r="D11" s="2693"/>
      <c r="E11" s="2693"/>
      <c r="F11" s="2693"/>
      <c r="G11" s="2693"/>
      <c r="H11" s="2693"/>
      <c r="I11" s="2693"/>
      <c r="J11" s="2693"/>
      <c r="K11" s="2693"/>
      <c r="L11" s="2693"/>
      <c r="M11" s="2693"/>
      <c r="N11" s="2693"/>
      <c r="O11" s="2693"/>
      <c r="P11" s="2693"/>
      <c r="Q11" s="2693"/>
      <c r="R11" s="2693"/>
      <c r="S11" s="2693"/>
      <c r="T11" s="2693"/>
      <c r="U11" s="2693"/>
      <c r="V11" s="2693"/>
      <c r="W11" s="2693"/>
      <c r="X11" s="2693"/>
    </row>
    <row r="12" spans="1:24" ht="15.75" x14ac:dyDescent="0.25">
      <c r="A12" s="2692" t="s">
        <v>1349</v>
      </c>
      <c r="B12" s="2692"/>
      <c r="C12" s="2692"/>
      <c r="D12" s="2692"/>
      <c r="E12" s="2692"/>
      <c r="F12" s="2692"/>
      <c r="G12" s="2692"/>
      <c r="H12" s="2692"/>
      <c r="I12" s="2692"/>
      <c r="J12" s="2692"/>
      <c r="K12" s="2692"/>
      <c r="L12" s="2692"/>
      <c r="M12" s="2692"/>
      <c r="N12" s="2692"/>
      <c r="O12" s="2692"/>
      <c r="P12" s="2692"/>
      <c r="Q12" s="2692"/>
      <c r="R12" s="2692"/>
      <c r="S12" s="2692"/>
      <c r="T12" s="2692"/>
      <c r="U12" s="2692"/>
      <c r="V12" s="2692"/>
      <c r="W12" s="2692"/>
      <c r="X12" s="2692"/>
    </row>
    <row r="13" spans="1:24" ht="15.75" x14ac:dyDescent="0.25">
      <c r="A13" s="2692" t="s">
        <v>1614</v>
      </c>
      <c r="B13" s="2692"/>
      <c r="C13" s="2692"/>
      <c r="D13" s="2692"/>
      <c r="E13" s="2692"/>
      <c r="F13" s="2692"/>
      <c r="G13" s="2692"/>
      <c r="H13" s="2692"/>
      <c r="I13" s="2692"/>
      <c r="J13" s="2692"/>
      <c r="K13" s="2692"/>
      <c r="L13" s="2692"/>
      <c r="M13" s="2692"/>
      <c r="N13" s="2692"/>
      <c r="O13" s="2692"/>
      <c r="P13" s="2692"/>
      <c r="Q13" s="2692"/>
      <c r="R13" s="2692"/>
      <c r="S13" s="2692"/>
      <c r="T13" s="2692"/>
      <c r="U13" s="2692"/>
      <c r="V13" s="2692"/>
      <c r="W13" s="2692"/>
      <c r="X13" s="2692"/>
    </row>
    <row r="15" spans="1:24" x14ac:dyDescent="0.25">
      <c r="A15" s="2691" t="s">
        <v>1253</v>
      </c>
      <c r="B15" s="2691"/>
      <c r="C15" s="2691"/>
      <c r="D15" s="2691"/>
      <c r="E15" s="2691"/>
      <c r="F15" s="2691"/>
      <c r="G15" s="2691"/>
      <c r="H15" s="2691"/>
      <c r="I15" s="2691"/>
      <c r="J15" s="2691"/>
      <c r="K15" s="2691"/>
      <c r="L15" s="2691"/>
      <c r="M15" s="2691"/>
      <c r="N15" s="2691"/>
      <c r="O15" s="2691"/>
      <c r="P15" s="2691"/>
      <c r="Q15" s="2691"/>
      <c r="R15" s="2691"/>
      <c r="S15" s="2691"/>
      <c r="T15" s="2691"/>
      <c r="U15" s="2691"/>
      <c r="V15" s="2691"/>
      <c r="W15" s="2691"/>
      <c r="X15" s="2691"/>
    </row>
    <row r="16" spans="1:24" ht="15.75" thickBot="1" x14ac:dyDescent="0.3">
      <c r="X16" s="1139">
        <v>43829</v>
      </c>
    </row>
    <row r="17" spans="1:24" ht="30" customHeight="1" x14ac:dyDescent="0.25">
      <c r="A17" s="2688" t="s">
        <v>319</v>
      </c>
      <c r="B17" s="2689" t="s">
        <v>248</v>
      </c>
      <c r="C17" s="2690" t="s">
        <v>249</v>
      </c>
      <c r="D17" s="2688" t="s">
        <v>724</v>
      </c>
      <c r="E17" s="2689"/>
      <c r="F17" s="2689"/>
      <c r="G17" s="2697"/>
      <c r="H17" s="2688" t="s">
        <v>474</v>
      </c>
      <c r="I17" s="2689"/>
      <c r="J17" s="2689"/>
      <c r="K17" s="2690"/>
      <c r="L17" s="2698" t="s">
        <v>725</v>
      </c>
      <c r="M17" s="2689"/>
      <c r="N17" s="2697"/>
      <c r="O17" s="2688" t="s">
        <v>232</v>
      </c>
      <c r="P17" s="2689"/>
      <c r="Q17" s="2689"/>
      <c r="R17" s="2690"/>
      <c r="S17" s="2698" t="s">
        <v>233</v>
      </c>
      <c r="T17" s="2689"/>
      <c r="U17" s="2697"/>
      <c r="V17" s="2688" t="s">
        <v>234</v>
      </c>
      <c r="W17" s="2689"/>
      <c r="X17" s="2690"/>
    </row>
    <row r="18" spans="1:24" ht="75" x14ac:dyDescent="0.25">
      <c r="A18" s="2694"/>
      <c r="B18" s="2695"/>
      <c r="C18" s="2696"/>
      <c r="D18" s="1051" t="s">
        <v>726</v>
      </c>
      <c r="E18" s="1052" t="s">
        <v>340</v>
      </c>
      <c r="F18" s="1052" t="s">
        <v>483</v>
      </c>
      <c r="G18" s="1053" t="s">
        <v>484</v>
      </c>
      <c r="H18" s="1051" t="s">
        <v>727</v>
      </c>
      <c r="I18" s="1052" t="s">
        <v>340</v>
      </c>
      <c r="J18" s="1052" t="s">
        <v>483</v>
      </c>
      <c r="K18" s="1054" t="s">
        <v>484</v>
      </c>
      <c r="L18" s="1055" t="s">
        <v>250</v>
      </c>
      <c r="M18" s="1052" t="s">
        <v>483</v>
      </c>
      <c r="N18" s="1053" t="s">
        <v>484</v>
      </c>
      <c r="O18" s="1051" t="s">
        <v>340</v>
      </c>
      <c r="P18" s="1052" t="s">
        <v>483</v>
      </c>
      <c r="Q18" s="1052" t="s">
        <v>484</v>
      </c>
      <c r="R18" s="1054" t="s">
        <v>182</v>
      </c>
      <c r="S18" s="1055" t="s">
        <v>340</v>
      </c>
      <c r="T18" s="1052" t="s">
        <v>728</v>
      </c>
      <c r="U18" s="1053" t="s">
        <v>484</v>
      </c>
      <c r="V18" s="1051" t="s">
        <v>340</v>
      </c>
      <c r="W18" s="1052" t="s">
        <v>483</v>
      </c>
      <c r="X18" s="1054" t="s">
        <v>484</v>
      </c>
    </row>
    <row r="19" spans="1:24" x14ac:dyDescent="0.25">
      <c r="A19" s="1051">
        <v>1</v>
      </c>
      <c r="B19" s="1052">
        <v>2</v>
      </c>
      <c r="C19" s="1054">
        <v>3</v>
      </c>
      <c r="D19" s="1051">
        <v>4</v>
      </c>
      <c r="E19" s="1052">
        <v>5</v>
      </c>
      <c r="F19" s="1052">
        <v>6</v>
      </c>
      <c r="G19" s="1053">
        <v>7</v>
      </c>
      <c r="H19" s="1051">
        <v>8</v>
      </c>
      <c r="I19" s="1052">
        <v>9</v>
      </c>
      <c r="J19" s="1052">
        <v>10</v>
      </c>
      <c r="K19" s="1054">
        <v>11</v>
      </c>
      <c r="L19" s="1055">
        <v>12</v>
      </c>
      <c r="M19" s="1052">
        <v>13</v>
      </c>
      <c r="N19" s="1053">
        <v>14</v>
      </c>
      <c r="O19" s="1051">
        <v>15</v>
      </c>
      <c r="P19" s="1052">
        <v>16</v>
      </c>
      <c r="Q19" s="1052">
        <v>17</v>
      </c>
      <c r="R19" s="1054">
        <v>18</v>
      </c>
      <c r="S19" s="1055">
        <v>19</v>
      </c>
      <c r="T19" s="1056">
        <v>20</v>
      </c>
      <c r="U19" s="1053">
        <v>21</v>
      </c>
      <c r="V19" s="1051">
        <v>22</v>
      </c>
      <c r="W19" s="1052">
        <v>23</v>
      </c>
      <c r="X19" s="1054">
        <v>24</v>
      </c>
    </row>
    <row r="20" spans="1:24" ht="28.5" x14ac:dyDescent="0.25">
      <c r="A20" s="1057">
        <v>1</v>
      </c>
      <c r="B20" s="1058" t="s">
        <v>778</v>
      </c>
      <c r="C20" s="1059"/>
      <c r="D20" s="1060">
        <f>SUM(D21:D26)</f>
        <v>135</v>
      </c>
      <c r="E20" s="1061"/>
      <c r="F20" s="1062"/>
      <c r="G20" s="1063">
        <f>SUM(G21:G26)</f>
        <v>135.19999999999999</v>
      </c>
      <c r="H20" s="1060">
        <f>SUM(H21:H26)</f>
        <v>338.8</v>
      </c>
      <c r="I20" s="1061"/>
      <c r="J20" s="1062"/>
      <c r="K20" s="1064">
        <f>SUM(K21:K26)</f>
        <v>338.8</v>
      </c>
      <c r="L20" s="1065"/>
      <c r="M20" s="1062"/>
      <c r="N20" s="1063">
        <f>SUM(N21:N26)</f>
        <v>134.80000000000001</v>
      </c>
      <c r="O20" s="1057"/>
      <c r="P20" s="1062"/>
      <c r="Q20" s="1867">
        <f>SUM(Q21:Q26)</f>
        <v>109.8</v>
      </c>
      <c r="R20" s="1059"/>
      <c r="S20" s="1057"/>
      <c r="T20" s="1062"/>
      <c r="U20" s="1867">
        <f>SUM(U21:U26)</f>
        <v>109.8</v>
      </c>
      <c r="V20" s="1057"/>
      <c r="W20" s="1062"/>
      <c r="X20" s="1868">
        <f>SUM(X21:X26)</f>
        <v>109.8</v>
      </c>
    </row>
    <row r="21" spans="1:24" s="1075" customFormat="1" ht="14.25" x14ac:dyDescent="0.2">
      <c r="A21" s="1066" t="s">
        <v>779</v>
      </c>
      <c r="B21" s="1067" t="s">
        <v>780</v>
      </c>
      <c r="C21" s="1068"/>
      <c r="D21" s="1069"/>
      <c r="E21" s="1070"/>
      <c r="F21" s="1071"/>
      <c r="G21" s="1072"/>
      <c r="H21" s="1069"/>
      <c r="I21" s="1070"/>
      <c r="J21" s="1071"/>
      <c r="K21" s="1073"/>
      <c r="L21" s="1074"/>
      <c r="M21" s="1071"/>
      <c r="N21" s="1072"/>
      <c r="O21" s="1066"/>
      <c r="P21" s="1071"/>
      <c r="Q21" s="1869"/>
      <c r="R21" s="1068"/>
      <c r="S21" s="1066"/>
      <c r="T21" s="1071"/>
      <c r="U21" s="1869"/>
      <c r="V21" s="1066"/>
      <c r="W21" s="1071"/>
      <c r="X21" s="1870"/>
    </row>
    <row r="22" spans="1:24" ht="30" x14ac:dyDescent="0.25">
      <c r="A22" s="1076"/>
      <c r="B22" s="1077" t="s">
        <v>1350</v>
      </c>
      <c r="C22" s="1078" t="s">
        <v>781</v>
      </c>
      <c r="D22" s="1079">
        <v>99</v>
      </c>
      <c r="E22" s="1080">
        <v>8760</v>
      </c>
      <c r="F22" s="1080">
        <f>11.3/1.18</f>
        <v>9.6</v>
      </c>
      <c r="G22" s="1081">
        <f>E22*F22/1000*1.18</f>
        <v>99.2</v>
      </c>
      <c r="H22" s="1079">
        <f>K22</f>
        <v>93</v>
      </c>
      <c r="I22" s="1080">
        <v>8760</v>
      </c>
      <c r="J22" s="1080">
        <v>9</v>
      </c>
      <c r="K22" s="1082">
        <f>I22*J22*1.18/1000</f>
        <v>93</v>
      </c>
      <c r="L22" s="1083">
        <v>8760</v>
      </c>
      <c r="M22" s="1080">
        <f>11.3/1.2</f>
        <v>9.4</v>
      </c>
      <c r="N22" s="1081">
        <f>L22*M22/1000*1.2</f>
        <v>98.8</v>
      </c>
      <c r="O22" s="1079">
        <v>8784</v>
      </c>
      <c r="P22" s="1080">
        <f>8.4/1.2</f>
        <v>7</v>
      </c>
      <c r="Q22" s="1871">
        <v>73.8</v>
      </c>
      <c r="R22" s="1082"/>
      <c r="S22" s="1079">
        <v>8784</v>
      </c>
      <c r="T22" s="1080">
        <f>8.4/1.2</f>
        <v>7</v>
      </c>
      <c r="U22" s="1871">
        <v>73.8</v>
      </c>
      <c r="V22" s="1079">
        <v>8784</v>
      </c>
      <c r="W22" s="1080">
        <f>8.4/1.2</f>
        <v>7</v>
      </c>
      <c r="X22" s="1872">
        <v>73.8</v>
      </c>
    </row>
    <row r="23" spans="1:24" s="1075" customFormat="1" ht="28.5" x14ac:dyDescent="0.2">
      <c r="A23" s="1066" t="s">
        <v>782</v>
      </c>
      <c r="B23" s="1067" t="s">
        <v>783</v>
      </c>
      <c r="C23" s="1068" t="s">
        <v>781</v>
      </c>
      <c r="D23" s="1069"/>
      <c r="E23" s="1071"/>
      <c r="F23" s="1071"/>
      <c r="G23" s="1072"/>
      <c r="H23" s="1069"/>
      <c r="I23" s="1071"/>
      <c r="J23" s="1071"/>
      <c r="K23" s="1073"/>
      <c r="L23" s="1084"/>
      <c r="M23" s="1071"/>
      <c r="N23" s="1072"/>
      <c r="O23" s="1069"/>
      <c r="P23" s="1071"/>
      <c r="Q23" s="1869"/>
      <c r="R23" s="1073"/>
      <c r="S23" s="1069"/>
      <c r="T23" s="1071"/>
      <c r="U23" s="1869"/>
      <c r="V23" s="1069"/>
      <c r="W23" s="1071"/>
      <c r="X23" s="1870"/>
    </row>
    <row r="24" spans="1:24" ht="30" x14ac:dyDescent="0.25">
      <c r="A24" s="1076"/>
      <c r="B24" s="1077" t="s">
        <v>1350</v>
      </c>
      <c r="C24" s="1078" t="s">
        <v>781</v>
      </c>
      <c r="D24" s="1079"/>
      <c r="E24" s="1080"/>
      <c r="F24" s="1080"/>
      <c r="G24" s="1081"/>
      <c r="H24" s="1079">
        <f>K24</f>
        <v>209.8</v>
      </c>
      <c r="I24" s="1080">
        <v>8760</v>
      </c>
      <c r="J24" s="1080">
        <v>20.3</v>
      </c>
      <c r="K24" s="1082">
        <f>I24*J24*1.18/1000</f>
        <v>209.8</v>
      </c>
      <c r="L24" s="1083"/>
      <c r="M24" s="1080"/>
      <c r="N24" s="1081"/>
      <c r="O24" s="1079"/>
      <c r="P24" s="1080"/>
      <c r="Q24" s="1873"/>
      <c r="R24" s="1085"/>
      <c r="S24" s="1079"/>
      <c r="T24" s="1080"/>
      <c r="U24" s="1873"/>
      <c r="V24" s="1079"/>
      <c r="W24" s="1080"/>
      <c r="X24" s="1872"/>
    </row>
    <row r="25" spans="1:24" s="1075" customFormat="1" ht="71.25" x14ac:dyDescent="0.2">
      <c r="A25" s="1066" t="s">
        <v>784</v>
      </c>
      <c r="B25" s="1067" t="s">
        <v>785</v>
      </c>
      <c r="C25" s="1068"/>
      <c r="D25" s="1069"/>
      <c r="E25" s="1071"/>
      <c r="F25" s="1071"/>
      <c r="G25" s="1072"/>
      <c r="H25" s="1069"/>
      <c r="I25" s="1071"/>
      <c r="J25" s="1071"/>
      <c r="K25" s="1073"/>
      <c r="L25" s="1084"/>
      <c r="M25" s="1071"/>
      <c r="N25" s="1072"/>
      <c r="O25" s="1069"/>
      <c r="P25" s="1071"/>
      <c r="Q25" s="1869"/>
      <c r="R25" s="1073"/>
      <c r="S25" s="1069"/>
      <c r="T25" s="1071"/>
      <c r="U25" s="1869"/>
      <c r="V25" s="1069"/>
      <c r="W25" s="1071"/>
      <c r="X25" s="1870"/>
    </row>
    <row r="26" spans="1:24" ht="30" x14ac:dyDescent="0.25">
      <c r="A26" s="1076"/>
      <c r="B26" s="1077" t="s">
        <v>1350</v>
      </c>
      <c r="C26" s="1078" t="s">
        <v>1351</v>
      </c>
      <c r="D26" s="1079">
        <v>36</v>
      </c>
      <c r="E26" s="1080">
        <v>12</v>
      </c>
      <c r="F26" s="1080">
        <f>G26/E26/1.18*1000</f>
        <v>2542.4</v>
      </c>
      <c r="G26" s="1081">
        <v>36</v>
      </c>
      <c r="H26" s="1079">
        <f>K26</f>
        <v>36</v>
      </c>
      <c r="I26" s="1080">
        <v>12</v>
      </c>
      <c r="J26" s="1080">
        <v>2542.4</v>
      </c>
      <c r="K26" s="1082">
        <f>I26*J26*1.18/1000</f>
        <v>36</v>
      </c>
      <c r="L26" s="1083">
        <v>12</v>
      </c>
      <c r="M26" s="1080">
        <f>3000/1.2</f>
        <v>2500</v>
      </c>
      <c r="N26" s="1081">
        <f>L26*M26/1000*1.2</f>
        <v>36</v>
      </c>
      <c r="O26" s="1079">
        <v>12</v>
      </c>
      <c r="P26" s="1080">
        <f>3000/1.2</f>
        <v>2500</v>
      </c>
      <c r="Q26" s="1871">
        <f>O26*P26/1000*1.2</f>
        <v>36</v>
      </c>
      <c r="R26" s="1082" t="s">
        <v>1352</v>
      </c>
      <c r="S26" s="1079">
        <v>12</v>
      </c>
      <c r="T26" s="1080">
        <f>3000/1.2</f>
        <v>2500</v>
      </c>
      <c r="U26" s="1871">
        <f>S26*T26/1000*1.2</f>
        <v>36</v>
      </c>
      <c r="V26" s="1079">
        <v>12</v>
      </c>
      <c r="W26" s="1080">
        <f>3000/1.2</f>
        <v>2500</v>
      </c>
      <c r="X26" s="1872">
        <f>V26*W26/1000*1.2</f>
        <v>36</v>
      </c>
    </row>
    <row r="27" spans="1:24" ht="28.5" x14ac:dyDescent="0.25">
      <c r="A27" s="1057" t="s">
        <v>603</v>
      </c>
      <c r="B27" s="1058" t="s">
        <v>786</v>
      </c>
      <c r="C27" s="1059" t="s">
        <v>781</v>
      </c>
      <c r="D27" s="1060"/>
      <c r="E27" s="1061"/>
      <c r="F27" s="1062"/>
      <c r="G27" s="1086"/>
      <c r="H27" s="1060"/>
      <c r="I27" s="1061"/>
      <c r="J27" s="1062"/>
      <c r="K27" s="1087"/>
      <c r="L27" s="1065"/>
      <c r="M27" s="1062"/>
      <c r="N27" s="1086"/>
      <c r="O27" s="1874"/>
      <c r="P27" s="1062"/>
      <c r="Q27" s="1875">
        <f>Q28</f>
        <v>270.3</v>
      </c>
      <c r="R27" s="1059"/>
      <c r="S27" s="1874"/>
      <c r="T27" s="1062"/>
      <c r="U27" s="1875">
        <f>U28</f>
        <v>270.3</v>
      </c>
      <c r="V27" s="1874"/>
      <c r="W27" s="1062"/>
      <c r="X27" s="1876">
        <f>X28</f>
        <v>270.3</v>
      </c>
    </row>
    <row r="28" spans="1:24" s="1889" customFormat="1" ht="30" x14ac:dyDescent="0.25">
      <c r="A28" s="1877"/>
      <c r="B28" s="1077" t="s">
        <v>1350</v>
      </c>
      <c r="C28" s="1078" t="s">
        <v>781</v>
      </c>
      <c r="D28" s="1878"/>
      <c r="E28" s="1879"/>
      <c r="F28" s="1880"/>
      <c r="G28" s="1881"/>
      <c r="H28" s="1878"/>
      <c r="I28" s="1879"/>
      <c r="J28" s="1880"/>
      <c r="K28" s="1882"/>
      <c r="L28" s="1883"/>
      <c r="M28" s="1880"/>
      <c r="N28" s="1881"/>
      <c r="O28" s="1884">
        <v>1979</v>
      </c>
      <c r="P28" s="1885">
        <v>136.6</v>
      </c>
      <c r="Q28" s="1886">
        <v>270.3</v>
      </c>
      <c r="R28" s="1887"/>
      <c r="S28" s="1884">
        <v>1979</v>
      </c>
      <c r="T28" s="1885">
        <v>136.6</v>
      </c>
      <c r="U28" s="1886">
        <v>270.3</v>
      </c>
      <c r="V28" s="1884">
        <v>1979</v>
      </c>
      <c r="W28" s="1885">
        <v>136.6</v>
      </c>
      <c r="X28" s="1888">
        <v>270.3</v>
      </c>
    </row>
    <row r="29" spans="1:24" ht="29.25" thickBot="1" x14ac:dyDescent="0.3">
      <c r="A29" s="1890"/>
      <c r="B29" s="1891" t="s">
        <v>787</v>
      </c>
      <c r="C29" s="1892"/>
      <c r="D29" s="1893">
        <f>D27+D20</f>
        <v>135</v>
      </c>
      <c r="E29" s="1894"/>
      <c r="F29" s="1895"/>
      <c r="G29" s="1896">
        <f>G27+G20</f>
        <v>135.19999999999999</v>
      </c>
      <c r="H29" s="1893">
        <f>H27+H20</f>
        <v>338.8</v>
      </c>
      <c r="I29" s="1894"/>
      <c r="J29" s="1895"/>
      <c r="K29" s="1897">
        <f>K27+K20</f>
        <v>338.8</v>
      </c>
      <c r="L29" s="1898"/>
      <c r="M29" s="1895"/>
      <c r="N29" s="1896">
        <f>N27+N20</f>
        <v>134.80000000000001</v>
      </c>
      <c r="O29" s="1890"/>
      <c r="P29" s="1895"/>
      <c r="Q29" s="1899">
        <f>Q27+Q20</f>
        <v>380.1</v>
      </c>
      <c r="R29" s="1892"/>
      <c r="S29" s="1890"/>
      <c r="T29" s="1895"/>
      <c r="U29" s="1899">
        <f>U27+U20</f>
        <v>380.1</v>
      </c>
      <c r="V29" s="1890"/>
      <c r="W29" s="1895"/>
      <c r="X29" s="1900">
        <f>X27+X20</f>
        <v>380.1</v>
      </c>
    </row>
    <row r="30" spans="1:24" s="1102" customFormat="1" ht="345" hidden="1" x14ac:dyDescent="0.25">
      <c r="A30" s="1901">
        <v>1</v>
      </c>
      <c r="B30" s="1902" t="s">
        <v>731</v>
      </c>
      <c r="C30" s="1903" t="s">
        <v>344</v>
      </c>
      <c r="D30" s="1904">
        <f>G30</f>
        <v>14.9</v>
      </c>
      <c r="E30" s="1905">
        <v>1</v>
      </c>
      <c r="F30" s="1905">
        <v>12584.8</v>
      </c>
      <c r="G30" s="1906">
        <f>E30*F30*1.18/1000</f>
        <v>14.9</v>
      </c>
      <c r="H30" s="1907"/>
      <c r="I30" s="1905"/>
      <c r="J30" s="1905"/>
      <c r="K30" s="1906"/>
      <c r="L30" s="1904"/>
      <c r="M30" s="1905"/>
      <c r="N30" s="1906"/>
      <c r="O30" s="1904">
        <v>17</v>
      </c>
      <c r="P30" s="1905">
        <v>1083.3</v>
      </c>
      <c r="Q30" s="1908">
        <f>O30*P30*1.2/1000</f>
        <v>22.1</v>
      </c>
      <c r="R30" s="1909" t="s">
        <v>1212</v>
      </c>
      <c r="S30" s="1904">
        <v>5</v>
      </c>
      <c r="T30" s="1905">
        <v>1083.3</v>
      </c>
      <c r="U30" s="1906">
        <f t="shared" ref="U30:U33" si="0">S30*T30*1.2/1000</f>
        <v>6.5</v>
      </c>
      <c r="V30" s="1904">
        <v>5</v>
      </c>
      <c r="W30" s="1905">
        <v>1083.3</v>
      </c>
      <c r="X30" s="1906">
        <f t="shared" ref="X30:X32" si="1">V30*W30*1.2/1000</f>
        <v>6.5</v>
      </c>
    </row>
    <row r="31" spans="1:24" s="1102" customFormat="1" ht="270" hidden="1" x14ac:dyDescent="0.25">
      <c r="A31" s="1095">
        <v>2</v>
      </c>
      <c r="B31" s="1103" t="s">
        <v>1353</v>
      </c>
      <c r="C31" s="1096" t="s">
        <v>344</v>
      </c>
      <c r="D31" s="1097"/>
      <c r="E31" s="1098"/>
      <c r="F31" s="1098"/>
      <c r="G31" s="1099"/>
      <c r="H31" s="1097">
        <v>5.6</v>
      </c>
      <c r="I31" s="1100">
        <v>4</v>
      </c>
      <c r="J31" s="1098">
        <v>1186.4000000000001</v>
      </c>
      <c r="K31" s="1099">
        <f>I31*J31*1.18/1000</f>
        <v>5.6</v>
      </c>
      <c r="L31" s="1097">
        <v>5</v>
      </c>
      <c r="M31" s="1098">
        <v>933.3</v>
      </c>
      <c r="N31" s="1099">
        <f>L31*M31*1.2/1000</f>
        <v>5.6</v>
      </c>
      <c r="O31" s="1097">
        <v>10</v>
      </c>
      <c r="P31" s="1098">
        <v>1083.3</v>
      </c>
      <c r="Q31" s="1100">
        <f t="shared" ref="Q31:Q32" si="2">O31*P31*1.2/1000</f>
        <v>13</v>
      </c>
      <c r="R31" s="1101" t="s">
        <v>732</v>
      </c>
      <c r="S31" s="1097">
        <v>5</v>
      </c>
      <c r="T31" s="1098">
        <v>1083.3</v>
      </c>
      <c r="U31" s="1099">
        <f t="shared" si="0"/>
        <v>6.5</v>
      </c>
      <c r="V31" s="1097">
        <v>5</v>
      </c>
      <c r="W31" s="1098">
        <v>1083.3</v>
      </c>
      <c r="X31" s="1099">
        <f t="shared" si="1"/>
        <v>6.5</v>
      </c>
    </row>
    <row r="32" spans="1:24" s="1102" customFormat="1" ht="375" hidden="1" x14ac:dyDescent="0.25">
      <c r="A32" s="1095">
        <v>3</v>
      </c>
      <c r="B32" s="1103" t="s">
        <v>1354</v>
      </c>
      <c r="C32" s="1096" t="s">
        <v>344</v>
      </c>
      <c r="D32" s="1097">
        <f>G32</f>
        <v>17.5</v>
      </c>
      <c r="E32" s="1098">
        <v>25</v>
      </c>
      <c r="F32" s="1098">
        <v>591.70000000000005</v>
      </c>
      <c r="G32" s="1099">
        <f>E32*F32*1.18/1000</f>
        <v>17.5</v>
      </c>
      <c r="H32" s="1097">
        <v>4.9000000000000004</v>
      </c>
      <c r="I32" s="1100">
        <v>7</v>
      </c>
      <c r="J32" s="1098">
        <v>596.9</v>
      </c>
      <c r="K32" s="1099">
        <f>I32*J32*1.18/1000</f>
        <v>4.9000000000000004</v>
      </c>
      <c r="L32" s="1097">
        <v>8</v>
      </c>
      <c r="M32" s="1098">
        <v>510.4</v>
      </c>
      <c r="N32" s="1099">
        <f>L32*M32*1.2/1000</f>
        <v>4.9000000000000004</v>
      </c>
      <c r="O32" s="1097">
        <v>20</v>
      </c>
      <c r="P32" s="1098">
        <v>533.29999999999995</v>
      </c>
      <c r="Q32" s="1100">
        <f t="shared" si="2"/>
        <v>12.8</v>
      </c>
      <c r="R32" s="1101" t="s">
        <v>1355</v>
      </c>
      <c r="S32" s="1097">
        <v>5</v>
      </c>
      <c r="T32" s="1098">
        <v>533.29999999999995</v>
      </c>
      <c r="U32" s="1099">
        <f t="shared" si="0"/>
        <v>3.2</v>
      </c>
      <c r="V32" s="1097">
        <v>5</v>
      </c>
      <c r="W32" s="1098">
        <v>533.29999999999995</v>
      </c>
      <c r="X32" s="1099">
        <f t="shared" si="1"/>
        <v>3.2</v>
      </c>
    </row>
    <row r="33" spans="1:24" s="1102" customFormat="1" ht="240" hidden="1" x14ac:dyDescent="0.25">
      <c r="A33" s="1095">
        <v>4</v>
      </c>
      <c r="B33" s="1103" t="s">
        <v>1356</v>
      </c>
      <c r="C33" s="1096" t="s">
        <v>1357</v>
      </c>
      <c r="D33" s="1097"/>
      <c r="E33" s="1098"/>
      <c r="F33" s="1098"/>
      <c r="G33" s="1099"/>
      <c r="H33" s="1097"/>
      <c r="I33" s="1100"/>
      <c r="J33" s="1098"/>
      <c r="K33" s="1099"/>
      <c r="L33" s="1097"/>
      <c r="M33" s="1098"/>
      <c r="N33" s="1099"/>
      <c r="O33" s="1097"/>
      <c r="P33" s="1098"/>
      <c r="Q33" s="1100"/>
      <c r="R33" s="1101" t="s">
        <v>1358</v>
      </c>
      <c r="S33" s="1097">
        <v>34</v>
      </c>
      <c r="T33" s="1098">
        <v>1666.7</v>
      </c>
      <c r="U33" s="1099">
        <f t="shared" si="0"/>
        <v>68</v>
      </c>
      <c r="V33" s="1097"/>
      <c r="W33" s="1098"/>
      <c r="X33" s="1099"/>
    </row>
    <row r="34" spans="1:24" s="1102" customFormat="1" ht="147.75" hidden="1" customHeight="1" x14ac:dyDescent="0.25">
      <c r="A34" s="1095">
        <v>5</v>
      </c>
      <c r="B34" s="1103" t="s">
        <v>1359</v>
      </c>
      <c r="C34" s="1096" t="s">
        <v>729</v>
      </c>
      <c r="D34" s="1079">
        <f>G34</f>
        <v>2.4</v>
      </c>
      <c r="E34" s="1080">
        <v>62</v>
      </c>
      <c r="F34" s="1080">
        <v>32.6</v>
      </c>
      <c r="G34" s="1081">
        <f>E34*F34*1.18/1000</f>
        <v>2.4</v>
      </c>
      <c r="H34" s="1097">
        <v>8.6999999999999993</v>
      </c>
      <c r="I34" s="1100">
        <v>225</v>
      </c>
      <c r="J34" s="1098">
        <v>32.6</v>
      </c>
      <c r="K34" s="1099">
        <f t="shared" ref="K34:K36" si="3">I34*J34*1.18/1000</f>
        <v>8.6999999999999993</v>
      </c>
      <c r="L34" s="1079">
        <v>212</v>
      </c>
      <c r="M34" s="1080">
        <v>34.200000000000003</v>
      </c>
      <c r="N34" s="1081">
        <f>L34*M34*1.2/1000</f>
        <v>8.6999999999999993</v>
      </c>
      <c r="O34" s="1079">
        <v>212</v>
      </c>
      <c r="P34" s="1080">
        <v>34.200000000000003</v>
      </c>
      <c r="Q34" s="1080">
        <f>O34*P34*1.2/1000</f>
        <v>8.6999999999999993</v>
      </c>
      <c r="R34" s="1104" t="s">
        <v>1360</v>
      </c>
      <c r="S34" s="1083">
        <v>212</v>
      </c>
      <c r="T34" s="1080">
        <f>P34</f>
        <v>34.200000000000003</v>
      </c>
      <c r="U34" s="1081">
        <f>S34*T34*1.2/1000</f>
        <v>8.6999999999999993</v>
      </c>
      <c r="V34" s="1079">
        <v>212</v>
      </c>
      <c r="W34" s="1080">
        <f>P34</f>
        <v>34.200000000000003</v>
      </c>
      <c r="X34" s="1082">
        <f>V34*W34*1.2/1000</f>
        <v>8.6999999999999993</v>
      </c>
    </row>
    <row r="35" spans="1:24" s="1112" customFormat="1" ht="55.5" hidden="1" customHeight="1" x14ac:dyDescent="0.25">
      <c r="A35" s="1095">
        <v>6</v>
      </c>
      <c r="B35" s="1103" t="s">
        <v>1321</v>
      </c>
      <c r="C35" s="1105" t="s">
        <v>309</v>
      </c>
      <c r="D35" s="1097">
        <f>G35</f>
        <v>16.2</v>
      </c>
      <c r="E35" s="1106">
        <v>54</v>
      </c>
      <c r="F35" s="1080">
        <f>299.09/1.18</f>
        <v>253.5</v>
      </c>
      <c r="G35" s="1081">
        <f t="shared" ref="G35:G36" si="4">E35*F35*1.18/1000</f>
        <v>16.2</v>
      </c>
      <c r="H35" s="1097">
        <v>16.2</v>
      </c>
      <c r="I35" s="1100">
        <v>54</v>
      </c>
      <c r="J35" s="1098">
        <v>253.5</v>
      </c>
      <c r="K35" s="1099">
        <f t="shared" si="3"/>
        <v>16.2</v>
      </c>
      <c r="L35" s="1107"/>
      <c r="M35" s="1108"/>
      <c r="N35" s="1109"/>
      <c r="O35" s="1107"/>
      <c r="P35" s="1108"/>
      <c r="Q35" s="1110"/>
      <c r="R35" s="1111" t="s">
        <v>730</v>
      </c>
      <c r="S35" s="1107"/>
      <c r="T35" s="1108"/>
      <c r="U35" s="1109"/>
      <c r="V35" s="1107"/>
      <c r="W35" s="1108"/>
      <c r="X35" s="1099"/>
    </row>
    <row r="36" spans="1:24" s="1102" customFormat="1" ht="409.5" hidden="1" x14ac:dyDescent="0.25">
      <c r="A36" s="1095">
        <v>7</v>
      </c>
      <c r="B36" s="1103" t="s">
        <v>1361</v>
      </c>
      <c r="C36" s="1096" t="s">
        <v>1362</v>
      </c>
      <c r="D36" s="1097">
        <v>69.7</v>
      </c>
      <c r="E36" s="1098">
        <v>1</v>
      </c>
      <c r="F36" s="1098">
        <v>59041</v>
      </c>
      <c r="G36" s="1099">
        <f t="shared" si="4"/>
        <v>69.7</v>
      </c>
      <c r="H36" s="1097">
        <v>100</v>
      </c>
      <c r="I36" s="1100">
        <v>1</v>
      </c>
      <c r="J36" s="1098">
        <v>84745.8</v>
      </c>
      <c r="K36" s="1099">
        <f t="shared" si="3"/>
        <v>100</v>
      </c>
      <c r="L36" s="1097">
        <v>1</v>
      </c>
      <c r="M36" s="1098">
        <v>83333.3</v>
      </c>
      <c r="N36" s="1099">
        <f t="shared" ref="N36:N37" si="5">L36*M36*1.2/1000</f>
        <v>100</v>
      </c>
      <c r="O36" s="1097">
        <v>1</v>
      </c>
      <c r="P36" s="1098">
        <v>83333.3</v>
      </c>
      <c r="Q36" s="1100">
        <f>O36*P36*1.2/1000</f>
        <v>100</v>
      </c>
      <c r="R36" s="1101" t="s">
        <v>1363</v>
      </c>
      <c r="S36" s="1097">
        <v>1</v>
      </c>
      <c r="T36" s="1098">
        <v>83333.3</v>
      </c>
      <c r="U36" s="1099">
        <f>S36*T36*1.2/1000</f>
        <v>100</v>
      </c>
      <c r="V36" s="1097">
        <v>1</v>
      </c>
      <c r="W36" s="1098">
        <v>83333.3</v>
      </c>
      <c r="X36" s="1099">
        <f>V36*W36*1.2/1000</f>
        <v>100</v>
      </c>
    </row>
    <row r="37" spans="1:24" s="1102" customFormat="1" ht="55.5" hidden="1" customHeight="1" x14ac:dyDescent="0.25">
      <c r="A37" s="1095">
        <v>8</v>
      </c>
      <c r="B37" s="1103" t="s">
        <v>1364</v>
      </c>
      <c r="C37" s="1096" t="s">
        <v>257</v>
      </c>
      <c r="D37" s="1097">
        <v>0</v>
      </c>
      <c r="E37" s="1098"/>
      <c r="F37" s="1098"/>
      <c r="G37" s="1099"/>
      <c r="H37" s="1097">
        <v>30</v>
      </c>
      <c r="I37" s="1100">
        <v>1</v>
      </c>
      <c r="J37" s="1098">
        <v>25423.7</v>
      </c>
      <c r="K37" s="1099">
        <f>I37*J37*1.18/1000</f>
        <v>30</v>
      </c>
      <c r="L37" s="1097">
        <v>1</v>
      </c>
      <c r="M37" s="1098">
        <v>25000</v>
      </c>
      <c r="N37" s="1099">
        <f t="shared" si="5"/>
        <v>30</v>
      </c>
      <c r="O37" s="1097"/>
      <c r="P37" s="1098"/>
      <c r="Q37" s="1100"/>
      <c r="R37" s="1101"/>
      <c r="S37" s="1097"/>
      <c r="T37" s="1098"/>
      <c r="U37" s="1099"/>
      <c r="V37" s="1097"/>
      <c r="W37" s="1098"/>
      <c r="X37" s="1099"/>
    </row>
    <row r="38" spans="1:24" s="1102" customFormat="1" ht="55.5" hidden="1" customHeight="1" x14ac:dyDescent="0.25">
      <c r="A38" s="1095">
        <v>9</v>
      </c>
      <c r="B38" s="1103" t="s">
        <v>1365</v>
      </c>
      <c r="C38" s="1096" t="s">
        <v>257</v>
      </c>
      <c r="D38" s="1097">
        <v>0</v>
      </c>
      <c r="E38" s="1098"/>
      <c r="F38" s="1098"/>
      <c r="G38" s="1099"/>
      <c r="H38" s="1097"/>
      <c r="I38" s="1100"/>
      <c r="J38" s="1098"/>
      <c r="K38" s="1099"/>
      <c r="L38" s="1097"/>
      <c r="M38" s="1098"/>
      <c r="N38" s="1099"/>
      <c r="O38" s="1097">
        <v>1</v>
      </c>
      <c r="P38" s="1098">
        <v>35000</v>
      </c>
      <c r="Q38" s="1100">
        <f>O38*P38*1.2/1000</f>
        <v>42</v>
      </c>
      <c r="R38" s="1101" t="s">
        <v>1366</v>
      </c>
      <c r="S38" s="1097"/>
      <c r="T38" s="1098"/>
      <c r="U38" s="1099"/>
      <c r="V38" s="1097">
        <v>1</v>
      </c>
      <c r="W38" s="1098">
        <v>35000</v>
      </c>
      <c r="X38" s="1099">
        <f t="shared" ref="X38:X39" si="6">V38*W38*1.2/1000</f>
        <v>42</v>
      </c>
    </row>
    <row r="39" spans="1:24" s="1102" customFormat="1" ht="55.5" hidden="1" customHeight="1" x14ac:dyDescent="0.25">
      <c r="A39" s="1095">
        <v>10</v>
      </c>
      <c r="B39" s="1103" t="s">
        <v>1367</v>
      </c>
      <c r="C39" s="1096" t="s">
        <v>257</v>
      </c>
      <c r="D39" s="1097">
        <v>0</v>
      </c>
      <c r="E39" s="1098"/>
      <c r="F39" s="1098"/>
      <c r="G39" s="1099"/>
      <c r="H39" s="1097"/>
      <c r="I39" s="1100"/>
      <c r="J39" s="1098"/>
      <c r="K39" s="1099"/>
      <c r="L39" s="1097"/>
      <c r="M39" s="1098"/>
      <c r="N39" s="1099"/>
      <c r="O39" s="1097"/>
      <c r="P39" s="1098"/>
      <c r="Q39" s="1100"/>
      <c r="R39" s="1101"/>
      <c r="S39" s="1097"/>
      <c r="T39" s="1098"/>
      <c r="U39" s="1099"/>
      <c r="V39" s="1097">
        <v>1</v>
      </c>
      <c r="W39" s="1098">
        <v>90000</v>
      </c>
      <c r="X39" s="1099">
        <f t="shared" si="6"/>
        <v>108</v>
      </c>
    </row>
    <row r="40" spans="1:24" s="1102" customFormat="1" ht="55.5" hidden="1" customHeight="1" x14ac:dyDescent="0.25">
      <c r="A40" s="1095">
        <v>11</v>
      </c>
      <c r="B40" s="1103" t="s">
        <v>1368</v>
      </c>
      <c r="C40" s="1096" t="s">
        <v>257</v>
      </c>
      <c r="D40" s="1097">
        <v>0</v>
      </c>
      <c r="E40" s="1098"/>
      <c r="F40" s="1098"/>
      <c r="G40" s="1099"/>
      <c r="H40" s="1097"/>
      <c r="I40" s="1100"/>
      <c r="J40" s="1098"/>
      <c r="K40" s="1099"/>
      <c r="L40" s="1097"/>
      <c r="M40" s="1098"/>
      <c r="N40" s="1099"/>
      <c r="O40" s="1097"/>
      <c r="P40" s="1098"/>
      <c r="Q40" s="1100"/>
      <c r="R40" s="1101"/>
      <c r="S40" s="1097">
        <v>1</v>
      </c>
      <c r="T40" s="1098">
        <v>83333.3</v>
      </c>
      <c r="U40" s="1099">
        <f>S40*T40*1.2/1000</f>
        <v>100</v>
      </c>
      <c r="V40" s="1097"/>
      <c r="W40" s="1098"/>
      <c r="X40" s="1099"/>
    </row>
    <row r="41" spans="1:24" s="1102" customFormat="1" ht="134.25" hidden="1" customHeight="1" x14ac:dyDescent="0.25">
      <c r="A41" s="1095">
        <v>12</v>
      </c>
      <c r="B41" s="1103" t="s">
        <v>1369</v>
      </c>
      <c r="C41" s="1096" t="s">
        <v>257</v>
      </c>
      <c r="D41" s="1097">
        <v>1.9</v>
      </c>
      <c r="E41" s="1098">
        <v>1</v>
      </c>
      <c r="F41" s="1098">
        <v>1617</v>
      </c>
      <c r="G41" s="1099">
        <f>E41*F41*1.18/1000</f>
        <v>1.9</v>
      </c>
      <c r="H41" s="1097"/>
      <c r="I41" s="1100"/>
      <c r="J41" s="1098"/>
      <c r="K41" s="1099"/>
      <c r="L41" s="1097"/>
      <c r="M41" s="1098"/>
      <c r="N41" s="1099"/>
      <c r="O41" s="1097">
        <v>1</v>
      </c>
      <c r="P41" s="1098">
        <v>1591.7</v>
      </c>
      <c r="Q41" s="1100">
        <f t="shared" ref="Q41:Q42" si="7">O41*P41*1.2/1000</f>
        <v>1.9</v>
      </c>
      <c r="R41" s="1101" t="s">
        <v>1370</v>
      </c>
      <c r="S41" s="1097">
        <v>1</v>
      </c>
      <c r="T41" s="1098">
        <v>1591.7</v>
      </c>
      <c r="U41" s="1099">
        <f>S41*T41*1.2/1000</f>
        <v>1.9</v>
      </c>
      <c r="V41" s="1097">
        <v>1</v>
      </c>
      <c r="W41" s="1098">
        <v>1591.7</v>
      </c>
      <c r="X41" s="1099">
        <f t="shared" ref="X41:X42" si="8">V41*W41*1.2/1000</f>
        <v>1.9</v>
      </c>
    </row>
    <row r="42" spans="1:24" s="1102" customFormat="1" ht="129.75" hidden="1" customHeight="1" x14ac:dyDescent="0.25">
      <c r="A42" s="1095">
        <v>13</v>
      </c>
      <c r="B42" s="1103" t="s">
        <v>1371</v>
      </c>
      <c r="C42" s="1096" t="s">
        <v>344</v>
      </c>
      <c r="D42" s="1097">
        <v>0</v>
      </c>
      <c r="E42" s="1098"/>
      <c r="F42" s="1098"/>
      <c r="G42" s="1099"/>
      <c r="H42" s="1097">
        <v>20</v>
      </c>
      <c r="I42" s="1100">
        <v>2</v>
      </c>
      <c r="J42" s="1098">
        <v>8474.6</v>
      </c>
      <c r="K42" s="1099">
        <f t="shared" ref="K42:K43" si="9">I42*J42*1.18/1000</f>
        <v>20</v>
      </c>
      <c r="L42" s="1097">
        <v>1</v>
      </c>
      <c r="M42" s="1098">
        <v>16666.7</v>
      </c>
      <c r="N42" s="1099">
        <f t="shared" ref="N42:N43" si="10">L42*M42*1.2/1000</f>
        <v>20</v>
      </c>
      <c r="O42" s="1097">
        <v>1</v>
      </c>
      <c r="P42" s="1098">
        <v>15000</v>
      </c>
      <c r="Q42" s="1100">
        <f t="shared" si="7"/>
        <v>18</v>
      </c>
      <c r="R42" s="1101" t="s">
        <v>1372</v>
      </c>
      <c r="S42" s="1097"/>
      <c r="T42" s="1098"/>
      <c r="U42" s="1099"/>
      <c r="V42" s="1097">
        <v>1</v>
      </c>
      <c r="W42" s="1098">
        <v>15000</v>
      </c>
      <c r="X42" s="1099">
        <f t="shared" si="8"/>
        <v>18</v>
      </c>
    </row>
    <row r="43" spans="1:24" s="1102" customFormat="1" ht="55.5" hidden="1" customHeight="1" x14ac:dyDescent="0.25">
      <c r="A43" s="1095">
        <v>14</v>
      </c>
      <c r="B43" s="1103" t="s">
        <v>1373</v>
      </c>
      <c r="C43" s="1096" t="s">
        <v>257</v>
      </c>
      <c r="D43" s="1098">
        <v>115.3</v>
      </c>
      <c r="E43" s="1098">
        <v>1</v>
      </c>
      <c r="F43" s="1098">
        <v>97674.1</v>
      </c>
      <c r="G43" s="1099">
        <f>E43*F43*1.18/1000</f>
        <v>115.3</v>
      </c>
      <c r="H43" s="1097">
        <v>120</v>
      </c>
      <c r="I43" s="1100">
        <v>1</v>
      </c>
      <c r="J43" s="1098">
        <v>101694.9</v>
      </c>
      <c r="K43" s="1099">
        <f t="shared" si="9"/>
        <v>120</v>
      </c>
      <c r="L43" s="1097">
        <v>1</v>
      </c>
      <c r="M43" s="1098">
        <v>100000</v>
      </c>
      <c r="N43" s="1099">
        <f t="shared" si="10"/>
        <v>120</v>
      </c>
      <c r="O43" s="1097"/>
      <c r="P43" s="1098"/>
      <c r="Q43" s="1100"/>
      <c r="R43" s="1101"/>
      <c r="S43" s="1097"/>
      <c r="T43" s="1098"/>
      <c r="U43" s="1099"/>
      <c r="V43" s="1097"/>
      <c r="W43" s="1098"/>
      <c r="X43" s="1099"/>
    </row>
    <row r="44" spans="1:24" s="1102" customFormat="1" ht="110.25" hidden="1" customHeight="1" x14ac:dyDescent="0.25">
      <c r="A44" s="1095">
        <v>15</v>
      </c>
      <c r="B44" s="1103" t="s">
        <v>1374</v>
      </c>
      <c r="C44" s="1096" t="s">
        <v>1375</v>
      </c>
      <c r="D44" s="1097"/>
      <c r="E44" s="1098"/>
      <c r="F44" s="1098"/>
      <c r="G44" s="1099"/>
      <c r="H44" s="1097"/>
      <c r="I44" s="1100"/>
      <c r="J44" s="1098"/>
      <c r="K44" s="1099"/>
      <c r="L44" s="1097"/>
      <c r="M44" s="1098"/>
      <c r="N44" s="1099"/>
      <c r="O44" s="1097">
        <v>109</v>
      </c>
      <c r="P44" s="1098">
        <v>665.1</v>
      </c>
      <c r="Q44" s="1100">
        <f>O44*P44*1.2/1000</f>
        <v>87</v>
      </c>
      <c r="R44" s="1101" t="s">
        <v>1376</v>
      </c>
      <c r="S44" s="1097">
        <v>109</v>
      </c>
      <c r="T44" s="1098">
        <v>665.1</v>
      </c>
      <c r="U44" s="1099">
        <f>S44*T44*1.2/1000</f>
        <v>87</v>
      </c>
      <c r="V44" s="1097">
        <v>109</v>
      </c>
      <c r="W44" s="1098">
        <v>665.1</v>
      </c>
      <c r="X44" s="1099">
        <f>V44*W44*1.2/1000</f>
        <v>87</v>
      </c>
    </row>
    <row r="45" spans="1:24" s="1102" customFormat="1" ht="55.5" hidden="1" customHeight="1" x14ac:dyDescent="0.25">
      <c r="A45" s="1095">
        <v>16</v>
      </c>
      <c r="B45" s="1103" t="s">
        <v>1377</v>
      </c>
      <c r="C45" s="1096" t="s">
        <v>257</v>
      </c>
      <c r="D45" s="1097">
        <v>60</v>
      </c>
      <c r="E45" s="1098">
        <v>1</v>
      </c>
      <c r="F45" s="1098">
        <v>50847.5</v>
      </c>
      <c r="G45" s="1099">
        <f>E45*F45*1.18/1000</f>
        <v>60</v>
      </c>
      <c r="H45" s="1097"/>
      <c r="I45" s="1098"/>
      <c r="J45" s="1098"/>
      <c r="K45" s="1099"/>
      <c r="L45" s="1097"/>
      <c r="M45" s="1098"/>
      <c r="N45" s="1099"/>
      <c r="O45" s="1097"/>
      <c r="P45" s="1098"/>
      <c r="Q45" s="1100"/>
      <c r="R45" s="1101"/>
      <c r="S45" s="1097"/>
      <c r="T45" s="1098"/>
      <c r="U45" s="1099"/>
      <c r="V45" s="1097"/>
      <c r="W45" s="1098"/>
      <c r="X45" s="1099"/>
    </row>
    <row r="46" spans="1:24" ht="55.5" hidden="1" customHeight="1" x14ac:dyDescent="0.25">
      <c r="A46" s="1088"/>
      <c r="B46" s="1089" t="s">
        <v>345</v>
      </c>
      <c r="C46" s="1090"/>
      <c r="D46" s="1091">
        <f>SUM(D30:D45)</f>
        <v>297.89999999999998</v>
      </c>
      <c r="E46" s="1092"/>
      <c r="F46" s="1092"/>
      <c r="G46" s="1093">
        <f>SUM(G30:G45)</f>
        <v>297.89999999999998</v>
      </c>
      <c r="H46" s="1091">
        <f>SUM(H30:H45)</f>
        <v>305.39999999999998</v>
      </c>
      <c r="I46" s="1092"/>
      <c r="J46" s="1092"/>
      <c r="K46" s="1094">
        <f>SUM(K30:K45)</f>
        <v>305.39999999999998</v>
      </c>
      <c r="L46" s="1113"/>
      <c r="M46" s="1092"/>
      <c r="N46" s="1093">
        <f>SUM(N30:N45)</f>
        <v>289.2</v>
      </c>
      <c r="O46" s="1091"/>
      <c r="P46" s="1092"/>
      <c r="Q46" s="1092">
        <f>SUM(Q30:Q45)</f>
        <v>305.5</v>
      </c>
      <c r="R46" s="1090"/>
      <c r="S46" s="1113"/>
      <c r="T46" s="1092"/>
      <c r="U46" s="1093">
        <f>SUM(U30:U45)</f>
        <v>381.8</v>
      </c>
      <c r="V46" s="1091"/>
      <c r="W46" s="1092"/>
      <c r="X46" s="1094">
        <f>SUM(X30:X45)</f>
        <v>381.8</v>
      </c>
    </row>
    <row r="47" spans="1:24" hidden="1" x14ac:dyDescent="0.25">
      <c r="A47" s="1051"/>
      <c r="B47" s="1114" t="s">
        <v>486</v>
      </c>
      <c r="C47" s="1054"/>
      <c r="D47" s="1115"/>
      <c r="E47" s="1052"/>
      <c r="F47" s="1116"/>
      <c r="G47" s="1117"/>
      <c r="H47" s="1115"/>
      <c r="I47" s="1052"/>
      <c r="J47" s="1116"/>
      <c r="K47" s="1118"/>
      <c r="L47" s="1055"/>
      <c r="M47" s="1116"/>
      <c r="N47" s="1117"/>
      <c r="O47" s="1051"/>
      <c r="P47" s="1116"/>
      <c r="Q47" s="1116"/>
      <c r="R47" s="1054"/>
      <c r="S47" s="1119"/>
      <c r="T47" s="1120"/>
      <c r="U47" s="1121"/>
      <c r="V47" s="1122"/>
      <c r="W47" s="1120"/>
      <c r="X47" s="1123"/>
    </row>
    <row r="48" spans="1:24" hidden="1" x14ac:dyDescent="0.25">
      <c r="A48" s="1051"/>
      <c r="B48" s="1114" t="s">
        <v>488</v>
      </c>
      <c r="C48" s="1054"/>
      <c r="D48" s="1115"/>
      <c r="E48" s="1052"/>
      <c r="F48" s="1116"/>
      <c r="G48" s="1117"/>
      <c r="H48" s="1115"/>
      <c r="I48" s="1052"/>
      <c r="J48" s="1116"/>
      <c r="K48" s="1118"/>
      <c r="L48" s="1055"/>
      <c r="M48" s="1116"/>
      <c r="N48" s="1117"/>
      <c r="O48" s="1051"/>
      <c r="P48" s="1116"/>
      <c r="Q48" s="1116"/>
      <c r="R48" s="1054"/>
      <c r="S48" s="1119"/>
      <c r="T48" s="1120"/>
      <c r="U48" s="1121"/>
      <c r="V48" s="1122"/>
      <c r="W48" s="1120"/>
      <c r="X48" s="1123"/>
    </row>
    <row r="49" spans="1:24" ht="15.75" hidden="1" thickBot="1" x14ac:dyDescent="0.3">
      <c r="A49" s="1124"/>
      <c r="B49" s="1125" t="s">
        <v>490</v>
      </c>
      <c r="C49" s="1126"/>
      <c r="D49" s="1127"/>
      <c r="E49" s="1128"/>
      <c r="F49" s="1129"/>
      <c r="G49" s="1130"/>
      <c r="H49" s="1127"/>
      <c r="I49" s="1128"/>
      <c r="J49" s="1129"/>
      <c r="K49" s="1131"/>
      <c r="L49" s="1132"/>
      <c r="M49" s="1129"/>
      <c r="N49" s="1130"/>
      <c r="O49" s="1124"/>
      <c r="P49" s="1129"/>
      <c r="Q49" s="1129"/>
      <c r="R49" s="1126"/>
      <c r="S49" s="1133"/>
      <c r="T49" s="1134"/>
      <c r="U49" s="1135"/>
      <c r="V49" s="1136"/>
      <c r="W49" s="1134"/>
      <c r="X49" s="1137"/>
    </row>
    <row r="50" spans="1:24" hidden="1" x14ac:dyDescent="0.25"/>
    <row r="51" spans="1:24" hidden="1" x14ac:dyDescent="0.25"/>
    <row r="52" spans="1:24" hidden="1" x14ac:dyDescent="0.25"/>
    <row r="53" spans="1:24" s="1138" customFormat="1" ht="20.25" hidden="1" x14ac:dyDescent="0.3">
      <c r="B53" s="1138" t="s">
        <v>1378</v>
      </c>
      <c r="G53" s="1138" t="s">
        <v>788</v>
      </c>
    </row>
    <row r="54" spans="1:24" hidden="1" x14ac:dyDescent="0.25"/>
    <row r="55" spans="1:24" hidden="1" x14ac:dyDescent="0.25"/>
    <row r="56" spans="1:24" hidden="1" x14ac:dyDescent="0.25">
      <c r="B56" s="1049" t="s">
        <v>733</v>
      </c>
    </row>
    <row r="57" spans="1:24" hidden="1" x14ac:dyDescent="0.25">
      <c r="B57" s="1049" t="str">
        <f>[17]КДШИ!B46</f>
        <v>Колесникова Оксана  Владимировна (2840): в части ДопКР 953, ДопКР 954 (размещение ТБО, утилизация ртутьсодержащих отходов)</v>
      </c>
    </row>
    <row r="58" spans="1:24" hidden="1" x14ac:dyDescent="0.25">
      <c r="B58" s="1049" t="str">
        <f>[17]КДШИ!B47</f>
        <v>Касьяненко Анастасия Юрьевна (2824): в части ДопКР 951, ДопКР 954 (кроме размещение ТБО, утилизация ртутьсодержащих отходов)</v>
      </c>
    </row>
    <row r="61" spans="1:24" x14ac:dyDescent="0.25">
      <c r="B61" s="1049" t="s">
        <v>1208</v>
      </c>
      <c r="Q61" s="1910"/>
    </row>
    <row r="62" spans="1:24" x14ac:dyDescent="0.25">
      <c r="B62" s="1049" t="s">
        <v>574</v>
      </c>
      <c r="Q62" s="1910"/>
    </row>
    <row r="63" spans="1:24" x14ac:dyDescent="0.25">
      <c r="Q63" s="1910"/>
    </row>
    <row r="64" spans="1:24" x14ac:dyDescent="0.25">
      <c r="Q64" s="1910"/>
    </row>
    <row r="65" spans="16:25" x14ac:dyDescent="0.25">
      <c r="Q65" s="1911" t="s">
        <v>1205</v>
      </c>
      <c r="R65" s="1912"/>
      <c r="S65" s="1912"/>
      <c r="T65" s="1912"/>
      <c r="U65" s="1912" t="s">
        <v>1205</v>
      </c>
      <c r="V65" s="1912"/>
      <c r="W65" s="1912"/>
      <c r="X65" s="1912" t="s">
        <v>1205</v>
      </c>
    </row>
    <row r="66" spans="16:25" x14ac:dyDescent="0.25">
      <c r="Q66" s="1911">
        <v>380.1</v>
      </c>
      <c r="R66" s="1913"/>
      <c r="S66" s="1913"/>
      <c r="T66" s="1913"/>
      <c r="U66" s="1913">
        <v>380.1</v>
      </c>
      <c r="V66" s="1913"/>
      <c r="W66" s="1913"/>
      <c r="X66" s="1913">
        <v>380.1</v>
      </c>
    </row>
    <row r="67" spans="16:25" s="1914" customFormat="1" x14ac:dyDescent="0.25">
      <c r="P67" s="1914" t="s">
        <v>1175</v>
      </c>
      <c r="Q67" s="1915">
        <f>Q66-Q29</f>
        <v>0</v>
      </c>
      <c r="R67" s="1915"/>
      <c r="S67" s="1915"/>
      <c r="T67" s="1915"/>
      <c r="U67" s="1915">
        <f>U66-U29</f>
        <v>0</v>
      </c>
      <c r="V67" s="1915"/>
      <c r="W67" s="1915"/>
      <c r="X67" s="1915">
        <f>X66-X29</f>
        <v>0</v>
      </c>
      <c r="Y67" s="1915"/>
    </row>
  </sheetData>
  <mergeCells count="13">
    <mergeCell ref="V17:X17"/>
    <mergeCell ref="A15:X15"/>
    <mergeCell ref="A13:X13"/>
    <mergeCell ref="A11:X11"/>
    <mergeCell ref="A12:X12"/>
    <mergeCell ref="A17:A18"/>
    <mergeCell ref="B17:B18"/>
    <mergeCell ref="C17:C18"/>
    <mergeCell ref="D17:G17"/>
    <mergeCell ref="H17:K17"/>
    <mergeCell ref="L17:N17"/>
    <mergeCell ref="O17:R17"/>
    <mergeCell ref="S17:U17"/>
  </mergeCells>
  <pageMargins left="0.70866141732283472" right="0.70866141732283472" top="0.74803149606299213" bottom="0.74803149606299213" header="0.31496062992125984" footer="0.31496062992125984"/>
  <pageSetup paperSize="9" scale="67"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C000"/>
    <pageSetUpPr fitToPage="1"/>
  </sheetPr>
  <dimension ref="A1:X51"/>
  <sheetViews>
    <sheetView view="pageBreakPreview" topLeftCell="A13" zoomScale="60" zoomScaleNormal="60" workbookViewId="0">
      <pane ySplit="7" topLeftCell="A35" activePane="bottomLeft" state="frozen"/>
      <selection activeCell="A3" sqref="A3:AB3"/>
      <selection pane="bottomLeft" activeCell="AB24" sqref="AB24"/>
    </sheetView>
  </sheetViews>
  <sheetFormatPr defaultRowHeight="15" x14ac:dyDescent="0.25"/>
  <cols>
    <col min="1" max="1" width="6.33203125" style="1049" customWidth="1"/>
    <col min="2" max="2" width="35.1640625" style="1049" customWidth="1"/>
    <col min="3" max="3" width="9.33203125" style="1049"/>
    <col min="4" max="4" width="14.83203125" style="1049" customWidth="1"/>
    <col min="5" max="5" width="16.5" style="1049" customWidth="1"/>
    <col min="6" max="6" width="28" style="1049" customWidth="1"/>
    <col min="7" max="7" width="13.1640625" style="1049" customWidth="1"/>
    <col min="8" max="8" width="14.83203125" style="1049" customWidth="1"/>
    <col min="9" max="9" width="17.5" style="1049" customWidth="1"/>
    <col min="10" max="10" width="13.33203125" style="1049" customWidth="1"/>
    <col min="11" max="11" width="18.33203125" style="1049" customWidth="1"/>
    <col min="12" max="12" width="15.83203125" style="1049" customWidth="1"/>
    <col min="13" max="13" width="21" style="1049" customWidth="1"/>
    <col min="14" max="14" width="16.83203125" style="1049" customWidth="1"/>
    <col min="15" max="15" width="14.6640625" style="1049" customWidth="1"/>
    <col min="16" max="16" width="16.1640625" style="1049" customWidth="1"/>
    <col min="17" max="17" width="18.1640625" style="1049" customWidth="1"/>
    <col min="18" max="18" width="60.33203125" style="1049" customWidth="1"/>
    <col min="19" max="19" width="17.83203125" style="1049" customWidth="1"/>
    <col min="20" max="20" width="14" style="1049" bestFit="1" customWidth="1"/>
    <col min="21" max="21" width="14.6640625" style="1049" bestFit="1" customWidth="1"/>
    <col min="22" max="22" width="17" style="1049" customWidth="1"/>
    <col min="23" max="23" width="14.5" style="1049" bestFit="1" customWidth="1"/>
    <col min="24" max="24" width="17.83203125" style="1049" customWidth="1"/>
    <col min="25" max="16384" width="9.33203125" style="1049"/>
  </cols>
  <sheetData>
    <row r="1" spans="1:24" x14ac:dyDescent="0.25">
      <c r="X1" s="1050" t="s">
        <v>717</v>
      </c>
    </row>
    <row r="2" spans="1:24" x14ac:dyDescent="0.25">
      <c r="X2" s="1050" t="s">
        <v>718</v>
      </c>
    </row>
    <row r="3" spans="1:24" x14ac:dyDescent="0.25">
      <c r="X3" s="1050" t="s">
        <v>719</v>
      </c>
    </row>
    <row r="4" spans="1:24" x14ac:dyDescent="0.25">
      <c r="X4" s="1050" t="s">
        <v>720</v>
      </c>
    </row>
    <row r="5" spans="1:24" x14ac:dyDescent="0.25">
      <c r="X5" s="1050" t="s">
        <v>721</v>
      </c>
    </row>
    <row r="6" spans="1:24" x14ac:dyDescent="0.25">
      <c r="X6" s="1050" t="s">
        <v>722</v>
      </c>
    </row>
    <row r="7" spans="1:24" x14ac:dyDescent="0.25">
      <c r="X7" s="1050" t="s">
        <v>723</v>
      </c>
    </row>
    <row r="8" spans="1:24" x14ac:dyDescent="0.25">
      <c r="X8" s="1050" t="s">
        <v>459</v>
      </c>
    </row>
    <row r="9" spans="1:24" x14ac:dyDescent="0.25">
      <c r="X9" s="1050" t="s">
        <v>460</v>
      </c>
    </row>
    <row r="11" spans="1:24" ht="15.75" x14ac:dyDescent="0.25">
      <c r="A11" s="2693" t="s">
        <v>1348</v>
      </c>
      <c r="B11" s="2693"/>
      <c r="C11" s="2693"/>
      <c r="D11" s="2693"/>
      <c r="E11" s="2693"/>
      <c r="F11" s="2693"/>
      <c r="G11" s="2693"/>
      <c r="H11" s="2693"/>
      <c r="I11" s="2693"/>
      <c r="J11" s="2693"/>
      <c r="K11" s="2693"/>
      <c r="L11" s="2693"/>
      <c r="M11" s="2693"/>
      <c r="N11" s="2693"/>
      <c r="O11" s="2693"/>
      <c r="P11" s="2693"/>
      <c r="Q11" s="2693"/>
      <c r="R11" s="2693"/>
      <c r="S11" s="2693"/>
      <c r="T11" s="2693"/>
      <c r="U11" s="2693"/>
      <c r="V11" s="2693"/>
      <c r="W11" s="2693"/>
      <c r="X11" s="2693"/>
    </row>
    <row r="12" spans="1:24" ht="15.75" x14ac:dyDescent="0.25">
      <c r="A12" s="2692" t="s">
        <v>1349</v>
      </c>
      <c r="B12" s="2692"/>
      <c r="C12" s="2692"/>
      <c r="D12" s="2692"/>
      <c r="E12" s="2692"/>
      <c r="F12" s="2692"/>
      <c r="G12" s="2692"/>
      <c r="H12" s="2692"/>
      <c r="I12" s="2692"/>
      <c r="J12" s="2692"/>
      <c r="K12" s="2692"/>
      <c r="L12" s="2692"/>
      <c r="M12" s="2692"/>
      <c r="N12" s="2692"/>
      <c r="O12" s="2692"/>
      <c r="P12" s="2692"/>
      <c r="Q12" s="2692"/>
      <c r="R12" s="2692"/>
      <c r="S12" s="2692"/>
      <c r="T12" s="2692"/>
      <c r="U12" s="2692"/>
      <c r="V12" s="2692"/>
      <c r="W12" s="2692"/>
      <c r="X12" s="2692"/>
    </row>
    <row r="14" spans="1:24" x14ac:dyDescent="0.25">
      <c r="A14" s="2691" t="s">
        <v>1213</v>
      </c>
      <c r="B14" s="2691"/>
      <c r="C14" s="2691"/>
      <c r="D14" s="2691"/>
      <c r="E14" s="2691"/>
      <c r="F14" s="2691"/>
      <c r="G14" s="2691"/>
      <c r="H14" s="2691"/>
      <c r="I14" s="2691"/>
      <c r="J14" s="2691"/>
      <c r="K14" s="2691"/>
      <c r="L14" s="2691"/>
      <c r="M14" s="2691"/>
      <c r="N14" s="2691"/>
      <c r="O14" s="2691"/>
      <c r="P14" s="2691"/>
      <c r="Q14" s="2691"/>
      <c r="R14" s="2691"/>
      <c r="S14" s="2691"/>
      <c r="T14" s="2691"/>
      <c r="U14" s="2691"/>
      <c r="V14" s="2691"/>
      <c r="W14" s="2691"/>
      <c r="X14" s="2691"/>
    </row>
    <row r="15" spans="1:24" x14ac:dyDescent="0.25">
      <c r="A15" s="2691" t="s">
        <v>1253</v>
      </c>
      <c r="B15" s="2691"/>
      <c r="C15" s="2691"/>
      <c r="D15" s="2691"/>
      <c r="E15" s="2691"/>
      <c r="F15" s="2691"/>
      <c r="G15" s="2691"/>
      <c r="H15" s="2691"/>
      <c r="I15" s="2691"/>
      <c r="J15" s="2691"/>
      <c r="K15" s="2691"/>
      <c r="L15" s="2691"/>
      <c r="M15" s="2691"/>
      <c r="N15" s="2691"/>
      <c r="O15" s="2691"/>
      <c r="P15" s="2691"/>
      <c r="Q15" s="2691"/>
      <c r="R15" s="2691"/>
      <c r="S15" s="2691"/>
      <c r="T15" s="2691"/>
      <c r="U15" s="2691"/>
      <c r="V15" s="2691"/>
      <c r="W15" s="2691"/>
      <c r="X15" s="2691"/>
    </row>
    <row r="16" spans="1:24" ht="15.75" thickBot="1" x14ac:dyDescent="0.3">
      <c r="X16" s="1139">
        <v>43829</v>
      </c>
    </row>
    <row r="17" spans="1:24" ht="30" customHeight="1" x14ac:dyDescent="0.25">
      <c r="A17" s="2688" t="s">
        <v>319</v>
      </c>
      <c r="B17" s="2689" t="s">
        <v>248</v>
      </c>
      <c r="C17" s="2690" t="s">
        <v>249</v>
      </c>
      <c r="D17" s="2688" t="s">
        <v>724</v>
      </c>
      <c r="E17" s="2689"/>
      <c r="F17" s="2689"/>
      <c r="G17" s="2697"/>
      <c r="H17" s="2688" t="s">
        <v>474</v>
      </c>
      <c r="I17" s="2689"/>
      <c r="J17" s="2689"/>
      <c r="K17" s="2690"/>
      <c r="L17" s="2698" t="s">
        <v>725</v>
      </c>
      <c r="M17" s="2689"/>
      <c r="N17" s="2697"/>
      <c r="O17" s="2688" t="s">
        <v>232</v>
      </c>
      <c r="P17" s="2689"/>
      <c r="Q17" s="2689"/>
      <c r="R17" s="2690"/>
      <c r="S17" s="2698" t="s">
        <v>233</v>
      </c>
      <c r="T17" s="2689"/>
      <c r="U17" s="2697"/>
      <c r="V17" s="2688" t="s">
        <v>234</v>
      </c>
      <c r="W17" s="2689"/>
      <c r="X17" s="2690"/>
    </row>
    <row r="18" spans="1:24" ht="75" x14ac:dyDescent="0.25">
      <c r="A18" s="2694"/>
      <c r="B18" s="2695"/>
      <c r="C18" s="2696"/>
      <c r="D18" s="1051" t="s">
        <v>726</v>
      </c>
      <c r="E18" s="1052" t="s">
        <v>340</v>
      </c>
      <c r="F18" s="1052" t="s">
        <v>483</v>
      </c>
      <c r="G18" s="1053" t="s">
        <v>484</v>
      </c>
      <c r="H18" s="1051" t="s">
        <v>727</v>
      </c>
      <c r="I18" s="1052" t="s">
        <v>340</v>
      </c>
      <c r="J18" s="1052" t="s">
        <v>483</v>
      </c>
      <c r="K18" s="1054" t="s">
        <v>484</v>
      </c>
      <c r="L18" s="1055" t="s">
        <v>250</v>
      </c>
      <c r="M18" s="1052" t="s">
        <v>483</v>
      </c>
      <c r="N18" s="1053" t="s">
        <v>484</v>
      </c>
      <c r="O18" s="1051" t="s">
        <v>340</v>
      </c>
      <c r="P18" s="1052" t="s">
        <v>483</v>
      </c>
      <c r="Q18" s="1052" t="s">
        <v>484</v>
      </c>
      <c r="R18" s="1054" t="s">
        <v>182</v>
      </c>
      <c r="S18" s="1055" t="s">
        <v>340</v>
      </c>
      <c r="T18" s="1052" t="s">
        <v>728</v>
      </c>
      <c r="U18" s="1053" t="s">
        <v>484</v>
      </c>
      <c r="V18" s="1051" t="s">
        <v>340</v>
      </c>
      <c r="W18" s="1052" t="s">
        <v>483</v>
      </c>
      <c r="X18" s="1054" t="s">
        <v>484</v>
      </c>
    </row>
    <row r="19" spans="1:24" x14ac:dyDescent="0.25">
      <c r="A19" s="1051">
        <v>1</v>
      </c>
      <c r="B19" s="1052">
        <v>2</v>
      </c>
      <c r="C19" s="1054">
        <v>3</v>
      </c>
      <c r="D19" s="1051">
        <v>4</v>
      </c>
      <c r="E19" s="1052">
        <v>5</v>
      </c>
      <c r="F19" s="1052">
        <v>6</v>
      </c>
      <c r="G19" s="1053">
        <v>7</v>
      </c>
      <c r="H19" s="1051">
        <v>8</v>
      </c>
      <c r="I19" s="1052">
        <v>9</v>
      </c>
      <c r="J19" s="1052">
        <v>10</v>
      </c>
      <c r="K19" s="1054">
        <v>11</v>
      </c>
      <c r="L19" s="1055">
        <v>12</v>
      </c>
      <c r="M19" s="1052">
        <v>13</v>
      </c>
      <c r="N19" s="1053">
        <v>14</v>
      </c>
      <c r="O19" s="1051">
        <v>15</v>
      </c>
      <c r="P19" s="1052">
        <v>16</v>
      </c>
      <c r="Q19" s="1052">
        <v>17</v>
      </c>
      <c r="R19" s="1054">
        <v>18</v>
      </c>
      <c r="S19" s="1055">
        <v>19</v>
      </c>
      <c r="T19" s="1056">
        <v>20</v>
      </c>
      <c r="U19" s="1053">
        <v>21</v>
      </c>
      <c r="V19" s="1051">
        <v>22</v>
      </c>
      <c r="W19" s="1052">
        <v>23</v>
      </c>
      <c r="X19" s="1054">
        <v>24</v>
      </c>
    </row>
    <row r="20" spans="1:24" s="1102" customFormat="1" ht="90" x14ac:dyDescent="0.25">
      <c r="A20" s="1095">
        <v>1</v>
      </c>
      <c r="B20" s="1077" t="s">
        <v>731</v>
      </c>
      <c r="C20" s="1096" t="s">
        <v>344</v>
      </c>
      <c r="D20" s="1097">
        <f>G20</f>
        <v>14.9</v>
      </c>
      <c r="E20" s="1098">
        <v>1</v>
      </c>
      <c r="F20" s="1098">
        <v>12584.8</v>
      </c>
      <c r="G20" s="1099">
        <f>E20*F20*1.18/1000</f>
        <v>14.9</v>
      </c>
      <c r="H20" s="1079"/>
      <c r="I20" s="1098"/>
      <c r="J20" s="1098"/>
      <c r="K20" s="1099"/>
      <c r="L20" s="1097"/>
      <c r="M20" s="1098"/>
      <c r="N20" s="1099"/>
      <c r="O20" s="1107">
        <v>17</v>
      </c>
      <c r="P20" s="1108">
        <v>1083.3</v>
      </c>
      <c r="Q20" s="1110">
        <f>O20*P20*1.2/1000</f>
        <v>22.1</v>
      </c>
      <c r="R20" s="1921" t="s">
        <v>1212</v>
      </c>
      <c r="S20" s="1107">
        <v>5</v>
      </c>
      <c r="T20" s="1108">
        <v>1083.3</v>
      </c>
      <c r="U20" s="1109">
        <f t="shared" ref="U20:U22" si="0">S20*T20*1.2/1000</f>
        <v>6.5</v>
      </c>
      <c r="V20" s="1107">
        <v>5</v>
      </c>
      <c r="W20" s="1108">
        <v>1083.3</v>
      </c>
      <c r="X20" s="1109">
        <f t="shared" ref="X20:X22" si="1">V20*W20*1.2/1000</f>
        <v>6.5</v>
      </c>
    </row>
    <row r="21" spans="1:24" s="1102" customFormat="1" ht="75" x14ac:dyDescent="0.25">
      <c r="A21" s="1095">
        <v>2</v>
      </c>
      <c r="B21" s="1103" t="s">
        <v>1353</v>
      </c>
      <c r="C21" s="1096" t="s">
        <v>344</v>
      </c>
      <c r="D21" s="1097"/>
      <c r="E21" s="1098"/>
      <c r="F21" s="1098"/>
      <c r="G21" s="1099"/>
      <c r="H21" s="1097">
        <v>5.6</v>
      </c>
      <c r="I21" s="1100">
        <v>4</v>
      </c>
      <c r="J21" s="1098">
        <v>1186.4000000000001</v>
      </c>
      <c r="K21" s="1099">
        <f>I21*J21*1.18/1000</f>
        <v>5.6</v>
      </c>
      <c r="L21" s="1097">
        <v>5</v>
      </c>
      <c r="M21" s="1098">
        <v>933.3</v>
      </c>
      <c r="N21" s="1099">
        <f>L21*M21*1.2/1000</f>
        <v>5.6</v>
      </c>
      <c r="O21" s="1107">
        <v>10</v>
      </c>
      <c r="P21" s="1108">
        <v>1083.3</v>
      </c>
      <c r="Q21" s="1110">
        <f t="shared" ref="Q21:Q22" si="2">O21*P21*1.2/1000</f>
        <v>13</v>
      </c>
      <c r="R21" s="1921" t="s">
        <v>732</v>
      </c>
      <c r="S21" s="1107">
        <v>5</v>
      </c>
      <c r="T21" s="1108">
        <v>1083.3</v>
      </c>
      <c r="U21" s="1109">
        <f t="shared" si="0"/>
        <v>6.5</v>
      </c>
      <c r="V21" s="1107">
        <v>5</v>
      </c>
      <c r="W21" s="1108">
        <v>1083.3</v>
      </c>
      <c r="X21" s="1109">
        <f t="shared" si="1"/>
        <v>6.5</v>
      </c>
    </row>
    <row r="22" spans="1:24" s="1102" customFormat="1" ht="90" x14ac:dyDescent="0.25">
      <c r="A22" s="1095">
        <v>3</v>
      </c>
      <c r="B22" s="1103" t="s">
        <v>1354</v>
      </c>
      <c r="C22" s="1096" t="s">
        <v>344</v>
      </c>
      <c r="D22" s="1097">
        <f>G22</f>
        <v>17.5</v>
      </c>
      <c r="E22" s="1098">
        <v>25</v>
      </c>
      <c r="F22" s="1098">
        <v>591.70000000000005</v>
      </c>
      <c r="G22" s="1099">
        <f>E22*F22*1.18/1000</f>
        <v>17.5</v>
      </c>
      <c r="H22" s="1097">
        <v>4.9000000000000004</v>
      </c>
      <c r="I22" s="1100">
        <v>7</v>
      </c>
      <c r="J22" s="1098">
        <v>596.9</v>
      </c>
      <c r="K22" s="1099">
        <f>I22*J22*1.18/1000</f>
        <v>4.9000000000000004</v>
      </c>
      <c r="L22" s="1097">
        <v>8</v>
      </c>
      <c r="M22" s="1098">
        <v>510.4</v>
      </c>
      <c r="N22" s="1099">
        <f>L22*M22*1.2/1000</f>
        <v>4.9000000000000004</v>
      </c>
      <c r="O22" s="1107">
        <v>20</v>
      </c>
      <c r="P22" s="1108">
        <v>533.29999999999995</v>
      </c>
      <c r="Q22" s="1110">
        <f t="shared" si="2"/>
        <v>12.8</v>
      </c>
      <c r="R22" s="1921" t="s">
        <v>1355</v>
      </c>
      <c r="S22" s="1107">
        <v>5</v>
      </c>
      <c r="T22" s="1108">
        <v>533.29999999999995</v>
      </c>
      <c r="U22" s="1109">
        <f t="shared" si="0"/>
        <v>3.2</v>
      </c>
      <c r="V22" s="1107">
        <v>5</v>
      </c>
      <c r="W22" s="1108">
        <v>533.29999999999995</v>
      </c>
      <c r="X22" s="1109">
        <f t="shared" si="1"/>
        <v>3.2</v>
      </c>
    </row>
    <row r="23" spans="1:24" s="1102" customFormat="1" ht="75" x14ac:dyDescent="0.25">
      <c r="A23" s="1095">
        <v>4</v>
      </c>
      <c r="B23" s="1103" t="s">
        <v>1356</v>
      </c>
      <c r="C23" s="1096" t="s">
        <v>1357</v>
      </c>
      <c r="D23" s="1097"/>
      <c r="E23" s="1098"/>
      <c r="F23" s="1098"/>
      <c r="G23" s="1099"/>
      <c r="H23" s="1097"/>
      <c r="I23" s="1100"/>
      <c r="J23" s="1098"/>
      <c r="K23" s="1099"/>
      <c r="L23" s="1097"/>
      <c r="M23" s="1098"/>
      <c r="N23" s="1099"/>
      <c r="O23" s="1107"/>
      <c r="P23" s="1108"/>
      <c r="Q23" s="1110"/>
      <c r="R23" s="1921" t="s">
        <v>1358</v>
      </c>
      <c r="S23" s="1107"/>
      <c r="T23" s="1108"/>
      <c r="U23" s="1109"/>
      <c r="V23" s="1107"/>
      <c r="W23" s="1108"/>
      <c r="X23" s="1109"/>
    </row>
    <row r="24" spans="1:24" s="1102" customFormat="1" ht="147.75" customHeight="1" x14ac:dyDescent="0.25">
      <c r="A24" s="1095">
        <v>5</v>
      </c>
      <c r="B24" s="1103" t="s">
        <v>1359</v>
      </c>
      <c r="C24" s="1096" t="s">
        <v>729</v>
      </c>
      <c r="D24" s="1079">
        <f>G24</f>
        <v>2.4</v>
      </c>
      <c r="E24" s="1080">
        <v>62</v>
      </c>
      <c r="F24" s="1080">
        <v>32.6</v>
      </c>
      <c r="G24" s="1081">
        <f>E24*F24*1.18/1000</f>
        <v>2.4</v>
      </c>
      <c r="H24" s="1097">
        <v>8.6999999999999993</v>
      </c>
      <c r="I24" s="1100">
        <v>225</v>
      </c>
      <c r="J24" s="1098">
        <v>32.6</v>
      </c>
      <c r="K24" s="1099">
        <f t="shared" ref="K24:K26" si="3">I24*J24*1.18/1000</f>
        <v>8.6999999999999993</v>
      </c>
      <c r="L24" s="1079">
        <v>212</v>
      </c>
      <c r="M24" s="1080">
        <v>34.200000000000003</v>
      </c>
      <c r="N24" s="1081">
        <f>L24*M24*1.2/1000</f>
        <v>8.6999999999999993</v>
      </c>
      <c r="O24" s="1922">
        <v>212</v>
      </c>
      <c r="P24" s="1923">
        <v>34.200000000000003</v>
      </c>
      <c r="Q24" s="1923">
        <f>O24*P24*1.2/1000</f>
        <v>8.6999999999999993</v>
      </c>
      <c r="R24" s="1924" t="s">
        <v>1360</v>
      </c>
      <c r="S24" s="1925">
        <v>212</v>
      </c>
      <c r="T24" s="1923">
        <f>P24</f>
        <v>34.200000000000003</v>
      </c>
      <c r="U24" s="1926">
        <f>S24*T24*1.2/1000</f>
        <v>8.6999999999999993</v>
      </c>
      <c r="V24" s="1922">
        <v>212</v>
      </c>
      <c r="W24" s="1923">
        <f>P24</f>
        <v>34.200000000000003</v>
      </c>
      <c r="X24" s="1927">
        <f>V24*W24*1.2/1000</f>
        <v>8.6999999999999993</v>
      </c>
    </row>
    <row r="25" spans="1:24" s="1112" customFormat="1" ht="55.5" customHeight="1" x14ac:dyDescent="0.25">
      <c r="A25" s="1095">
        <v>6</v>
      </c>
      <c r="B25" s="1103" t="s">
        <v>1321</v>
      </c>
      <c r="C25" s="1105" t="s">
        <v>309</v>
      </c>
      <c r="D25" s="1097">
        <f>G25</f>
        <v>16.2</v>
      </c>
      <c r="E25" s="1106">
        <v>54</v>
      </c>
      <c r="F25" s="1080">
        <f>299.09/1.18</f>
        <v>253.5</v>
      </c>
      <c r="G25" s="1081">
        <f t="shared" ref="G25:G26" si="4">E25*F25*1.18/1000</f>
        <v>16.2</v>
      </c>
      <c r="H25" s="1097">
        <v>16.2</v>
      </c>
      <c r="I25" s="1100">
        <v>54</v>
      </c>
      <c r="J25" s="1098">
        <v>253.5</v>
      </c>
      <c r="K25" s="1099">
        <f t="shared" si="3"/>
        <v>16.2</v>
      </c>
      <c r="L25" s="1107"/>
      <c r="M25" s="1108"/>
      <c r="N25" s="1109"/>
      <c r="O25" s="1107"/>
      <c r="P25" s="1108"/>
      <c r="Q25" s="1110"/>
      <c r="R25" s="1921" t="s">
        <v>730</v>
      </c>
      <c r="S25" s="1107"/>
      <c r="T25" s="1108"/>
      <c r="U25" s="1109"/>
      <c r="V25" s="1107"/>
      <c r="W25" s="1108"/>
      <c r="X25" s="1109"/>
    </row>
    <row r="26" spans="1:24" s="1102" customFormat="1" ht="120" x14ac:dyDescent="0.25">
      <c r="A26" s="1095">
        <v>7</v>
      </c>
      <c r="B26" s="1103" t="s">
        <v>1361</v>
      </c>
      <c r="C26" s="1096" t="s">
        <v>1362</v>
      </c>
      <c r="D26" s="1097">
        <v>69.7</v>
      </c>
      <c r="E26" s="1098">
        <v>1</v>
      </c>
      <c r="F26" s="1098">
        <v>59041</v>
      </c>
      <c r="G26" s="1099">
        <f t="shared" si="4"/>
        <v>69.7</v>
      </c>
      <c r="H26" s="1097">
        <v>100</v>
      </c>
      <c r="I26" s="1100">
        <v>1</v>
      </c>
      <c r="J26" s="1098">
        <v>84745.8</v>
      </c>
      <c r="K26" s="1099">
        <f t="shared" si="3"/>
        <v>100</v>
      </c>
      <c r="L26" s="1097">
        <v>1</v>
      </c>
      <c r="M26" s="1098">
        <v>83333.3</v>
      </c>
      <c r="N26" s="1099">
        <f t="shared" ref="N26:N27" si="5">L26*M26*1.2/1000</f>
        <v>100</v>
      </c>
      <c r="O26" s="1107">
        <v>1</v>
      </c>
      <c r="P26" s="1108">
        <v>83333.3</v>
      </c>
      <c r="Q26" s="1110">
        <f>O26*P26*1.2/1000</f>
        <v>100</v>
      </c>
      <c r="R26" s="1921" t="s">
        <v>1363</v>
      </c>
      <c r="S26" s="1107">
        <v>1</v>
      </c>
      <c r="T26" s="1108">
        <v>83333.3</v>
      </c>
      <c r="U26" s="1109">
        <f>S26*T26*1.2/1000</f>
        <v>100</v>
      </c>
      <c r="V26" s="1107">
        <v>1</v>
      </c>
      <c r="W26" s="1108">
        <v>83333.3</v>
      </c>
      <c r="X26" s="1109">
        <f>V26*W26*1.2/1000</f>
        <v>100</v>
      </c>
    </row>
    <row r="27" spans="1:24" s="1102" customFormat="1" ht="55.5" customHeight="1" x14ac:dyDescent="0.25">
      <c r="A27" s="1095">
        <v>8</v>
      </c>
      <c r="B27" s="1103" t="s">
        <v>1364</v>
      </c>
      <c r="C27" s="1096" t="s">
        <v>257</v>
      </c>
      <c r="D27" s="1097">
        <v>0</v>
      </c>
      <c r="E27" s="1098"/>
      <c r="F27" s="1098"/>
      <c r="G27" s="1099"/>
      <c r="H27" s="1097">
        <v>30</v>
      </c>
      <c r="I27" s="1100">
        <v>1</v>
      </c>
      <c r="J27" s="1098">
        <v>25423.7</v>
      </c>
      <c r="K27" s="1099">
        <f>I27*J27*1.18/1000</f>
        <v>30</v>
      </c>
      <c r="L27" s="1097">
        <v>1</v>
      </c>
      <c r="M27" s="1098">
        <v>25000</v>
      </c>
      <c r="N27" s="1099">
        <f t="shared" si="5"/>
        <v>30</v>
      </c>
      <c r="O27" s="1107"/>
      <c r="P27" s="1108"/>
      <c r="Q27" s="1110"/>
      <c r="R27" s="1921"/>
      <c r="S27" s="1107"/>
      <c r="T27" s="1108"/>
      <c r="U27" s="1109"/>
      <c r="V27" s="1107"/>
      <c r="W27" s="1108"/>
      <c r="X27" s="1109"/>
    </row>
    <row r="28" spans="1:24" s="1102" customFormat="1" ht="55.5" customHeight="1" x14ac:dyDescent="0.25">
      <c r="A28" s="1095">
        <v>9</v>
      </c>
      <c r="B28" s="1103" t="s">
        <v>1365</v>
      </c>
      <c r="C28" s="1096" t="s">
        <v>257</v>
      </c>
      <c r="D28" s="1097">
        <v>0</v>
      </c>
      <c r="E28" s="1098"/>
      <c r="F28" s="1098"/>
      <c r="G28" s="1099"/>
      <c r="H28" s="1097"/>
      <c r="I28" s="1100"/>
      <c r="J28" s="1098"/>
      <c r="K28" s="1099"/>
      <c r="L28" s="1097"/>
      <c r="M28" s="1098"/>
      <c r="N28" s="1099"/>
      <c r="O28" s="1107">
        <v>1</v>
      </c>
      <c r="P28" s="1108">
        <v>35000</v>
      </c>
      <c r="Q28" s="1110">
        <f>O28*P28*1.2/1000</f>
        <v>42</v>
      </c>
      <c r="R28" s="1921" t="s">
        <v>1366</v>
      </c>
      <c r="S28" s="1107"/>
      <c r="T28" s="1108"/>
      <c r="U28" s="1109"/>
      <c r="V28" s="1107"/>
      <c r="W28" s="1108"/>
      <c r="X28" s="1109"/>
    </row>
    <row r="29" spans="1:24" s="1102" customFormat="1" ht="55.5" customHeight="1" x14ac:dyDescent="0.25">
      <c r="A29" s="1095">
        <v>10</v>
      </c>
      <c r="B29" s="1103" t="s">
        <v>1367</v>
      </c>
      <c r="C29" s="1096" t="s">
        <v>257</v>
      </c>
      <c r="D29" s="1097">
        <v>0</v>
      </c>
      <c r="E29" s="1098"/>
      <c r="F29" s="1098"/>
      <c r="G29" s="1099"/>
      <c r="H29" s="1097"/>
      <c r="I29" s="1100"/>
      <c r="J29" s="1098"/>
      <c r="K29" s="1099"/>
      <c r="L29" s="1097"/>
      <c r="M29" s="1098"/>
      <c r="N29" s="1099"/>
      <c r="O29" s="1107"/>
      <c r="P29" s="1108"/>
      <c r="Q29" s="1110"/>
      <c r="R29" s="1921"/>
      <c r="S29" s="1107"/>
      <c r="T29" s="1108"/>
      <c r="U29" s="1109"/>
      <c r="V29" s="1107">
        <v>1</v>
      </c>
      <c r="W29" s="1108">
        <v>90000</v>
      </c>
      <c r="X29" s="1109">
        <v>73.7</v>
      </c>
    </row>
    <row r="30" spans="1:24" s="1102" customFormat="1" ht="55.5" customHeight="1" x14ac:dyDescent="0.25">
      <c r="A30" s="1095">
        <v>11</v>
      </c>
      <c r="B30" s="1103" t="s">
        <v>1368</v>
      </c>
      <c r="C30" s="1096" t="s">
        <v>257</v>
      </c>
      <c r="D30" s="1097">
        <v>0</v>
      </c>
      <c r="E30" s="1098"/>
      <c r="F30" s="1098"/>
      <c r="G30" s="1099"/>
      <c r="H30" s="1097"/>
      <c r="I30" s="1100"/>
      <c r="J30" s="1098"/>
      <c r="K30" s="1099"/>
      <c r="L30" s="1097"/>
      <c r="M30" s="1098"/>
      <c r="N30" s="1099"/>
      <c r="O30" s="1107"/>
      <c r="P30" s="1108"/>
      <c r="Q30" s="1110"/>
      <c r="R30" s="1921"/>
      <c r="S30" s="1107">
        <v>1</v>
      </c>
      <c r="T30" s="1108">
        <v>83333.3</v>
      </c>
      <c r="U30" s="1109">
        <v>73.7</v>
      </c>
      <c r="V30" s="1107"/>
      <c r="W30" s="1108"/>
      <c r="X30" s="1109"/>
    </row>
    <row r="31" spans="1:24" s="1102" customFormat="1" ht="134.25" customHeight="1" x14ac:dyDescent="0.25">
      <c r="A31" s="1095">
        <v>12</v>
      </c>
      <c r="B31" s="1103" t="s">
        <v>1369</v>
      </c>
      <c r="C31" s="1096" t="s">
        <v>257</v>
      </c>
      <c r="D31" s="1097">
        <v>1.9</v>
      </c>
      <c r="E31" s="1098">
        <v>1</v>
      </c>
      <c r="F31" s="1098">
        <v>1617</v>
      </c>
      <c r="G31" s="1099">
        <f>E31*F31*1.18/1000</f>
        <v>1.9</v>
      </c>
      <c r="H31" s="1097"/>
      <c r="I31" s="1100"/>
      <c r="J31" s="1098"/>
      <c r="K31" s="1099"/>
      <c r="L31" s="1097"/>
      <c r="M31" s="1098"/>
      <c r="N31" s="1099"/>
      <c r="O31" s="1107"/>
      <c r="P31" s="1108"/>
      <c r="Q31" s="1110"/>
      <c r="R31" s="1921" t="s">
        <v>1370</v>
      </c>
      <c r="S31" s="1107"/>
      <c r="T31" s="1108"/>
      <c r="U31" s="1109"/>
      <c r="V31" s="1107"/>
      <c r="W31" s="1108"/>
      <c r="X31" s="1109"/>
    </row>
    <row r="32" spans="1:24" s="1102" customFormat="1" ht="129.75" customHeight="1" x14ac:dyDescent="0.25">
      <c r="A32" s="1095">
        <v>13</v>
      </c>
      <c r="B32" s="1103" t="s">
        <v>1371</v>
      </c>
      <c r="C32" s="1096" t="s">
        <v>344</v>
      </c>
      <c r="D32" s="1097">
        <v>0</v>
      </c>
      <c r="E32" s="1098"/>
      <c r="F32" s="1098"/>
      <c r="G32" s="1099"/>
      <c r="H32" s="1097">
        <v>20</v>
      </c>
      <c r="I32" s="1100">
        <v>2</v>
      </c>
      <c r="J32" s="1098">
        <v>8474.6</v>
      </c>
      <c r="K32" s="1099">
        <f t="shared" ref="K32:K33" si="6">I32*J32*1.18/1000</f>
        <v>20</v>
      </c>
      <c r="L32" s="1097">
        <v>1</v>
      </c>
      <c r="M32" s="1098">
        <v>16666.7</v>
      </c>
      <c r="N32" s="1099">
        <f t="shared" ref="N32:N33" si="7">L32*M32*1.2/1000</f>
        <v>20</v>
      </c>
      <c r="O32" s="1107"/>
      <c r="P32" s="1108"/>
      <c r="Q32" s="1110"/>
      <c r="R32" s="1921" t="s">
        <v>1372</v>
      </c>
      <c r="S32" s="1107"/>
      <c r="T32" s="1108"/>
      <c r="U32" s="1109"/>
      <c r="V32" s="1107"/>
      <c r="W32" s="1108"/>
      <c r="X32" s="1109"/>
    </row>
    <row r="33" spans="1:24" s="1102" customFormat="1" ht="55.5" customHeight="1" x14ac:dyDescent="0.25">
      <c r="A33" s="1095">
        <v>14</v>
      </c>
      <c r="B33" s="1103" t="s">
        <v>1373</v>
      </c>
      <c r="C33" s="1096" t="s">
        <v>257</v>
      </c>
      <c r="D33" s="1098">
        <v>115.3</v>
      </c>
      <c r="E33" s="1098">
        <v>1</v>
      </c>
      <c r="F33" s="1098">
        <v>97674.1</v>
      </c>
      <c r="G33" s="1099">
        <f>E33*F33*1.18/1000</f>
        <v>115.3</v>
      </c>
      <c r="H33" s="1097">
        <v>120</v>
      </c>
      <c r="I33" s="1100">
        <v>1</v>
      </c>
      <c r="J33" s="1098">
        <v>101694.9</v>
      </c>
      <c r="K33" s="1099">
        <f t="shared" si="6"/>
        <v>120</v>
      </c>
      <c r="L33" s="1097">
        <v>1</v>
      </c>
      <c r="M33" s="1098">
        <v>100000</v>
      </c>
      <c r="N33" s="1099">
        <f t="shared" si="7"/>
        <v>120</v>
      </c>
      <c r="O33" s="1107"/>
      <c r="P33" s="1108"/>
      <c r="Q33" s="1110"/>
      <c r="R33" s="1921"/>
      <c r="S33" s="1107"/>
      <c r="T33" s="1108"/>
      <c r="U33" s="1109"/>
      <c r="V33" s="1107"/>
      <c r="W33" s="1108"/>
      <c r="X33" s="1109"/>
    </row>
    <row r="34" spans="1:24" s="1102" customFormat="1" ht="110.25" customHeight="1" x14ac:dyDescent="0.25">
      <c r="A34" s="1095">
        <v>15</v>
      </c>
      <c r="B34" s="1103" t="s">
        <v>1374</v>
      </c>
      <c r="C34" s="1096" t="s">
        <v>1375</v>
      </c>
      <c r="D34" s="1097"/>
      <c r="E34" s="1098"/>
      <c r="F34" s="1098"/>
      <c r="G34" s="1099"/>
      <c r="H34" s="1097"/>
      <c r="I34" s="1100"/>
      <c r="J34" s="1098"/>
      <c r="K34" s="1099"/>
      <c r="L34" s="1097"/>
      <c r="M34" s="1098"/>
      <c r="N34" s="1099"/>
      <c r="O34" s="1107">
        <v>109</v>
      </c>
      <c r="P34" s="1108">
        <v>665.1</v>
      </c>
      <c r="Q34" s="1110">
        <f>O34*P34*1.2/1000</f>
        <v>87</v>
      </c>
      <c r="R34" s="1921" t="s">
        <v>1376</v>
      </c>
      <c r="S34" s="1107">
        <v>109</v>
      </c>
      <c r="T34" s="1108">
        <v>665.1</v>
      </c>
      <c r="U34" s="1109">
        <f>S34*T34*1.2/1000</f>
        <v>87</v>
      </c>
      <c r="V34" s="1107">
        <v>109</v>
      </c>
      <c r="W34" s="1108">
        <v>665.1</v>
      </c>
      <c r="X34" s="1109">
        <f>V34*W34*1.2/1000</f>
        <v>87</v>
      </c>
    </row>
    <row r="35" spans="1:24" s="1102" customFormat="1" ht="55.5" customHeight="1" x14ac:dyDescent="0.25">
      <c r="A35" s="1095">
        <v>16</v>
      </c>
      <c r="B35" s="1103" t="s">
        <v>1377</v>
      </c>
      <c r="C35" s="1096" t="s">
        <v>257</v>
      </c>
      <c r="D35" s="1097">
        <v>60</v>
      </c>
      <c r="E35" s="1098">
        <v>1</v>
      </c>
      <c r="F35" s="1098">
        <v>50847.5</v>
      </c>
      <c r="G35" s="1099">
        <f>E35*F35*1.18/1000</f>
        <v>60</v>
      </c>
      <c r="H35" s="1097"/>
      <c r="I35" s="1098"/>
      <c r="J35" s="1098"/>
      <c r="K35" s="1099"/>
      <c r="L35" s="1097"/>
      <c r="M35" s="1098"/>
      <c r="N35" s="1099"/>
      <c r="O35" s="1107"/>
      <c r="P35" s="1108"/>
      <c r="Q35" s="1110"/>
      <c r="R35" s="1921"/>
      <c r="S35" s="1107"/>
      <c r="T35" s="1108"/>
      <c r="U35" s="1109"/>
      <c r="V35" s="1107"/>
      <c r="W35" s="1108"/>
      <c r="X35" s="1109"/>
    </row>
    <row r="36" spans="1:24" ht="55.5" customHeight="1" x14ac:dyDescent="0.25">
      <c r="A36" s="1088"/>
      <c r="B36" s="1089" t="s">
        <v>345</v>
      </c>
      <c r="C36" s="1090"/>
      <c r="D36" s="1091">
        <f>SUM(D20:D35)</f>
        <v>297.89999999999998</v>
      </c>
      <c r="E36" s="1092"/>
      <c r="F36" s="1092"/>
      <c r="G36" s="1093">
        <f>SUM(G20:G35)</f>
        <v>297.89999999999998</v>
      </c>
      <c r="H36" s="1091">
        <f>SUM(H20:H35)</f>
        <v>305.39999999999998</v>
      </c>
      <c r="I36" s="1092"/>
      <c r="J36" s="1092"/>
      <c r="K36" s="1094">
        <f>SUM(K20:K35)</f>
        <v>305.39999999999998</v>
      </c>
      <c r="L36" s="1113"/>
      <c r="M36" s="1092"/>
      <c r="N36" s="1093">
        <f>SUM(N20:N35)</f>
        <v>289.2</v>
      </c>
      <c r="O36" s="1091"/>
      <c r="P36" s="1092"/>
      <c r="Q36" s="1092">
        <f>SUM(Q20:Q35)</f>
        <v>285.60000000000002</v>
      </c>
      <c r="R36" s="1090"/>
      <c r="S36" s="1113"/>
      <c r="T36" s="1092"/>
      <c r="U36" s="1093">
        <f>SUM(U20:U35)</f>
        <v>285.60000000000002</v>
      </c>
      <c r="V36" s="1091"/>
      <c r="W36" s="1092"/>
      <c r="X36" s="1094">
        <f>SUM(X20:X35)</f>
        <v>285.60000000000002</v>
      </c>
    </row>
    <row r="37" spans="1:24" x14ac:dyDescent="0.25">
      <c r="A37" s="1051"/>
      <c r="B37" s="1114" t="s">
        <v>486</v>
      </c>
      <c r="C37" s="1054"/>
      <c r="D37" s="1115"/>
      <c r="E37" s="1052"/>
      <c r="F37" s="1116"/>
      <c r="G37" s="1117"/>
      <c r="H37" s="1115"/>
      <c r="I37" s="1052"/>
      <c r="J37" s="1116"/>
      <c r="K37" s="1118"/>
      <c r="L37" s="1055"/>
      <c r="M37" s="1116"/>
      <c r="N37" s="1117"/>
      <c r="O37" s="1051"/>
      <c r="P37" s="1116"/>
      <c r="Q37" s="1116"/>
      <c r="R37" s="1054"/>
      <c r="S37" s="1119"/>
      <c r="T37" s="1120"/>
      <c r="U37" s="1121"/>
      <c r="V37" s="1122"/>
      <c r="W37" s="1120"/>
      <c r="X37" s="1123"/>
    </row>
    <row r="38" spans="1:24" x14ac:dyDescent="0.25">
      <c r="A38" s="1051"/>
      <c r="B38" s="1114" t="s">
        <v>488</v>
      </c>
      <c r="C38" s="1054"/>
      <c r="D38" s="1115"/>
      <c r="E38" s="1052"/>
      <c r="F38" s="1116"/>
      <c r="G38" s="1117"/>
      <c r="H38" s="1115"/>
      <c r="I38" s="1052"/>
      <c r="J38" s="1116"/>
      <c r="K38" s="1118"/>
      <c r="L38" s="1055"/>
      <c r="M38" s="1116"/>
      <c r="N38" s="1117"/>
      <c r="O38" s="1051"/>
      <c r="P38" s="1116"/>
      <c r="Q38" s="1116"/>
      <c r="R38" s="1054"/>
      <c r="S38" s="1119"/>
      <c r="T38" s="1120"/>
      <c r="U38" s="1121"/>
      <c r="V38" s="1122"/>
      <c r="W38" s="1120"/>
      <c r="X38" s="1123"/>
    </row>
    <row r="39" spans="1:24" ht="15.75" thickBot="1" x14ac:dyDescent="0.3">
      <c r="A39" s="1124"/>
      <c r="B39" s="1125" t="s">
        <v>490</v>
      </c>
      <c r="C39" s="1126"/>
      <c r="D39" s="1127"/>
      <c r="E39" s="1128"/>
      <c r="F39" s="1129"/>
      <c r="G39" s="1130"/>
      <c r="H39" s="1127"/>
      <c r="I39" s="1128"/>
      <c r="J39" s="1129"/>
      <c r="K39" s="1131"/>
      <c r="L39" s="1132"/>
      <c r="M39" s="1129"/>
      <c r="N39" s="1130"/>
      <c r="O39" s="1124"/>
      <c r="P39" s="1129"/>
      <c r="Q39" s="1129"/>
      <c r="R39" s="1126"/>
      <c r="S39" s="1133"/>
      <c r="T39" s="1134"/>
      <c r="U39" s="1135"/>
      <c r="V39" s="1136"/>
      <c r="W39" s="1134"/>
      <c r="X39" s="1137"/>
    </row>
    <row r="42" spans="1:24" x14ac:dyDescent="0.25">
      <c r="N42" s="1928" t="s">
        <v>1384</v>
      </c>
      <c r="O42" s="1929">
        <v>2020</v>
      </c>
      <c r="P42" s="1929">
        <v>2021</v>
      </c>
      <c r="Q42" s="1929">
        <v>2022</v>
      </c>
    </row>
    <row r="43" spans="1:24" x14ac:dyDescent="0.25">
      <c r="N43" s="1928" t="s">
        <v>1616</v>
      </c>
      <c r="O43" s="1930">
        <f>Q36</f>
        <v>285.60000000000002</v>
      </c>
      <c r="P43" s="1930">
        <f>U36</f>
        <v>285.60000000000002</v>
      </c>
      <c r="Q43" s="1930">
        <f>X36</f>
        <v>285.60000000000002</v>
      </c>
    </row>
    <row r="44" spans="1:24" x14ac:dyDescent="0.25">
      <c r="N44" s="1928" t="s">
        <v>1617</v>
      </c>
      <c r="O44" s="1930">
        <f>'б-т Стим-е 954 (01.01.20)'!S33</f>
        <v>104.4</v>
      </c>
      <c r="P44" s="1930">
        <f>'б-т Стим-е 954 (01.01.20)'!X33</f>
        <v>104.4</v>
      </c>
      <c r="Q44" s="1930">
        <f>'б-т Стим-е 954 (01.01.20)'!Y33</f>
        <v>104.4</v>
      </c>
    </row>
    <row r="45" spans="1:24" x14ac:dyDescent="0.25">
      <c r="N45" s="1928" t="s">
        <v>97</v>
      </c>
      <c r="O45" s="1930">
        <f>SUM(O43:O44)</f>
        <v>390</v>
      </c>
      <c r="P45" s="1930">
        <f t="shared" ref="P45:Q45" si="8">SUM(P43:P44)</f>
        <v>390</v>
      </c>
      <c r="Q45" s="1930">
        <f t="shared" si="8"/>
        <v>390</v>
      </c>
    </row>
    <row r="48" spans="1:24" x14ac:dyDescent="0.25">
      <c r="B48" s="1049" t="s">
        <v>733</v>
      </c>
    </row>
    <row r="49" spans="2:24" x14ac:dyDescent="0.25">
      <c r="B49" s="1049" t="str">
        <f>[18]КДШИ!B46</f>
        <v>Колесникова Оксана  Владимировна (2840): в части ДопКР 953, ДопКР 954 (размещение ТБО, утилизация ртутьсодержащих отходов)</v>
      </c>
    </row>
    <row r="50" spans="2:24" x14ac:dyDescent="0.25">
      <c r="B50" s="1049" t="str">
        <f>[18]КДШИ!B47</f>
        <v>Касьяненко Анастасия Юрьевна (2824): в части ДопКР 951, ДопКР 954 (кроме размещение ТБО, утилизация ртутьсодержащих отходов)</v>
      </c>
    </row>
    <row r="51" spans="2:24" x14ac:dyDescent="0.25">
      <c r="Q51" s="1920">
        <f>285.6-Q36</f>
        <v>0</v>
      </c>
      <c r="U51" s="1049">
        <f>285.6-U36</f>
        <v>0</v>
      </c>
      <c r="X51" s="1049">
        <f>285.6-X36</f>
        <v>0</v>
      </c>
    </row>
  </sheetData>
  <mergeCells count="13">
    <mergeCell ref="V17:X17"/>
    <mergeCell ref="A14:X14"/>
    <mergeCell ref="A15:X15"/>
    <mergeCell ref="A11:X11"/>
    <mergeCell ref="A12:X12"/>
    <mergeCell ref="A17:A18"/>
    <mergeCell ref="B17:B18"/>
    <mergeCell ref="C17:C18"/>
    <mergeCell ref="D17:G17"/>
    <mergeCell ref="H17:K17"/>
    <mergeCell ref="L17:N17"/>
    <mergeCell ref="O17:R17"/>
    <mergeCell ref="S17:U17"/>
  </mergeCells>
  <pageMargins left="0.70866141732283472" right="0.70866141732283472" top="0.74803149606299213" bottom="0.74803149606299213" header="0.31496062992125984" footer="0.31496062992125984"/>
  <pageSetup paperSize="9" scale="32"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C000"/>
    <pageSetUpPr fitToPage="1"/>
  </sheetPr>
  <dimension ref="A1:TZ61"/>
  <sheetViews>
    <sheetView showZeros="0" view="pageBreakPreview" zoomScale="60" zoomScaleNormal="60" workbookViewId="0">
      <pane ySplit="10" topLeftCell="A11" activePane="bottomLeft" state="frozen"/>
      <selection activeCell="A3" sqref="A3:AB3"/>
      <selection pane="bottomLeft" activeCell="Z14" sqref="Z14:Z19"/>
    </sheetView>
  </sheetViews>
  <sheetFormatPr defaultColWidth="10.6640625" defaultRowHeight="15.75" x14ac:dyDescent="0.25"/>
  <cols>
    <col min="1" max="1" width="7.33203125" style="1192" customWidth="1"/>
    <col min="2" max="2" width="17.6640625" style="1575" customWidth="1"/>
    <col min="3" max="3" width="42" style="1218" customWidth="1"/>
    <col min="4" max="4" width="17" style="1222" hidden="1" customWidth="1"/>
    <col min="5" max="5" width="19.5" style="1579" hidden="1" customWidth="1"/>
    <col min="6" max="15" width="19.5" style="1222" hidden="1" customWidth="1"/>
    <col min="16" max="18" width="19.5" style="1222" customWidth="1"/>
    <col min="19" max="19" width="24.1640625" style="1222" customWidth="1"/>
    <col min="20" max="21" width="19.5" style="1222" customWidth="1"/>
    <col min="22" max="22" width="14.83203125" style="1222" customWidth="1"/>
    <col min="23" max="23" width="17.33203125" style="1222" customWidth="1"/>
    <col min="24" max="24" width="15.33203125" style="1222" customWidth="1"/>
    <col min="25" max="25" width="17" style="1222" customWidth="1"/>
    <col min="26" max="26" width="58.5" style="1192" customWidth="1"/>
    <col min="27" max="27" width="10.6640625" style="1218" customWidth="1"/>
    <col min="28" max="29" width="10.6640625" style="1192"/>
    <col min="30" max="30" width="13.5" style="1192" customWidth="1"/>
    <col min="31" max="34" width="10.6640625" style="1192" customWidth="1"/>
    <col min="35" max="252" width="10.6640625" style="1192"/>
    <col min="253" max="253" width="7.33203125" style="1192" customWidth="1"/>
    <col min="254" max="254" width="14.1640625" style="1192" customWidth="1"/>
    <col min="255" max="255" width="40.83203125" style="1192" customWidth="1"/>
    <col min="256" max="256" width="10.1640625" style="1192" customWidth="1"/>
    <col min="257" max="257" width="24.1640625" style="1192" customWidth="1"/>
    <col min="258" max="259" width="13.1640625" style="1192" customWidth="1"/>
    <col min="260" max="260" width="14.5" style="1192" customWidth="1"/>
    <col min="261" max="261" width="10.1640625" style="1192" customWidth="1"/>
    <col min="262" max="262" width="13.1640625" style="1192" customWidth="1"/>
    <col min="263" max="263" width="14.5" style="1192" customWidth="1"/>
    <col min="264" max="264" width="13.1640625" style="1192" customWidth="1"/>
    <col min="265" max="265" width="12.6640625" style="1192" customWidth="1"/>
    <col min="266" max="266" width="10" style="1192" bestFit="1" customWidth="1"/>
    <col min="267" max="267" width="23.1640625" style="1192" bestFit="1" customWidth="1"/>
    <col min="268" max="269" width="11.5" style="1192" bestFit="1" customWidth="1"/>
    <col min="270" max="270" width="12.33203125" style="1192" bestFit="1" customWidth="1"/>
    <col min="271" max="271" width="15.83203125" style="1192" bestFit="1" customWidth="1"/>
    <col min="272" max="272" width="13" style="1192" bestFit="1" customWidth="1"/>
    <col min="273" max="273" width="14.33203125" style="1192" bestFit="1" customWidth="1"/>
    <col min="274" max="275" width="10.6640625" style="1192" customWidth="1"/>
    <col min="276" max="276" width="17.83203125" style="1192" bestFit="1" customWidth="1"/>
    <col min="277" max="279" width="10.6640625" style="1192" customWidth="1"/>
    <col min="280" max="285" width="10.6640625" style="1192"/>
    <col min="286" max="286" width="7.33203125" style="1192" customWidth="1"/>
    <col min="287" max="290" width="10.6640625" style="1192" customWidth="1"/>
    <col min="291" max="508" width="10.6640625" style="1192"/>
    <col min="509" max="509" width="7.33203125" style="1192" customWidth="1"/>
    <col min="510" max="510" width="14.1640625" style="1192" customWidth="1"/>
    <col min="511" max="511" width="40.83203125" style="1192" customWidth="1"/>
    <col min="512" max="512" width="10.1640625" style="1192" customWidth="1"/>
    <col min="513" max="513" width="24.1640625" style="1192" customWidth="1"/>
    <col min="514" max="515" width="13.1640625" style="1192" customWidth="1"/>
    <col min="516" max="516" width="14.5" style="1192" customWidth="1"/>
    <col min="517" max="517" width="10.1640625" style="1192" customWidth="1"/>
    <col min="518" max="518" width="13.1640625" style="1192" customWidth="1"/>
    <col min="519" max="519" width="14.5" style="1192" customWidth="1"/>
    <col min="520" max="520" width="13.1640625" style="1192" customWidth="1"/>
    <col min="521" max="521" width="12.6640625" style="1192" customWidth="1"/>
    <col min="522" max="522" width="10" style="1192" bestFit="1" customWidth="1"/>
    <col min="523" max="523" width="23.1640625" style="1192" bestFit="1" customWidth="1"/>
    <col min="524" max="525" width="11.5" style="1192" bestFit="1" customWidth="1"/>
    <col min="526" max="526" width="12.33203125" style="1192" bestFit="1" customWidth="1"/>
    <col min="527" max="527" width="15.83203125" style="1192" bestFit="1" customWidth="1"/>
    <col min="528" max="528" width="13" style="1192" bestFit="1" customWidth="1"/>
    <col min="529" max="529" width="14.33203125" style="1192" bestFit="1" customWidth="1"/>
    <col min="530" max="531" width="10.6640625" style="1192" customWidth="1"/>
    <col min="532" max="532" width="17.83203125" style="1192" bestFit="1" customWidth="1"/>
    <col min="533" max="535" width="10.6640625" style="1192" customWidth="1"/>
    <col min="536" max="541" width="10.6640625" style="1192"/>
    <col min="542" max="542" width="7.33203125" style="1192" customWidth="1"/>
    <col min="543" max="546" width="10.6640625" style="1192" customWidth="1"/>
    <col min="547" max="16384" width="10.6640625" style="1192"/>
  </cols>
  <sheetData>
    <row r="1" spans="1:29" s="1184" customFormat="1" x14ac:dyDescent="0.25">
      <c r="B1" s="1500"/>
      <c r="C1" s="1185"/>
      <c r="D1" s="1190"/>
      <c r="E1" s="1501"/>
      <c r="F1" s="1190"/>
      <c r="G1" s="1190"/>
      <c r="H1" s="1190"/>
      <c r="I1" s="1502"/>
      <c r="J1" s="1190"/>
      <c r="K1" s="1502"/>
      <c r="L1" s="1502"/>
      <c r="M1" s="1502"/>
      <c r="N1" s="1190"/>
      <c r="O1" s="1502"/>
      <c r="P1" s="1502"/>
      <c r="Q1" s="1502"/>
      <c r="R1" s="1190"/>
      <c r="S1" s="1190"/>
      <c r="T1" s="1190"/>
      <c r="U1" s="1502"/>
      <c r="V1" s="1190"/>
      <c r="W1" s="1190"/>
      <c r="X1" s="1190"/>
      <c r="Y1" s="1190"/>
      <c r="AA1" s="1185"/>
    </row>
    <row r="2" spans="1:29" s="1184" customFormat="1" x14ac:dyDescent="0.25">
      <c r="A2" s="2546" t="s">
        <v>1615</v>
      </c>
      <c r="B2" s="2546"/>
      <c r="C2" s="2546"/>
      <c r="D2" s="2546"/>
      <c r="E2" s="2546"/>
      <c r="F2" s="2546"/>
      <c r="G2" s="2546"/>
      <c r="H2" s="2546"/>
      <c r="I2" s="2546"/>
      <c r="J2" s="2546"/>
      <c r="K2" s="2546"/>
      <c r="L2" s="2546"/>
      <c r="M2" s="2546"/>
      <c r="N2" s="2546"/>
      <c r="O2" s="2546"/>
      <c r="P2" s="2546"/>
      <c r="Q2" s="2546"/>
      <c r="R2" s="2546"/>
      <c r="S2" s="2546"/>
      <c r="T2" s="2546"/>
      <c r="U2" s="2546"/>
      <c r="V2" s="2546"/>
      <c r="W2" s="2546"/>
      <c r="X2" s="2546"/>
      <c r="Y2" s="2546"/>
      <c r="Z2" s="2546"/>
      <c r="AA2" s="1185"/>
    </row>
    <row r="3" spans="1:29" s="1184" customFormat="1" x14ac:dyDescent="0.25">
      <c r="A3" s="2546" t="s">
        <v>1253</v>
      </c>
      <c r="B3" s="2546"/>
      <c r="C3" s="2546"/>
      <c r="D3" s="2546"/>
      <c r="E3" s="2546"/>
      <c r="F3" s="2546"/>
      <c r="G3" s="2546"/>
      <c r="H3" s="2546"/>
      <c r="I3" s="2546"/>
      <c r="J3" s="2546"/>
      <c r="K3" s="2546"/>
      <c r="L3" s="2546"/>
      <c r="M3" s="2546"/>
      <c r="N3" s="2546"/>
      <c r="O3" s="2546"/>
      <c r="P3" s="2546"/>
      <c r="Q3" s="2546"/>
      <c r="R3" s="2546"/>
      <c r="S3" s="2546"/>
      <c r="T3" s="2546"/>
      <c r="U3" s="2546"/>
      <c r="V3" s="2546"/>
      <c r="W3" s="2546"/>
      <c r="X3" s="2546"/>
      <c r="Y3" s="2546"/>
      <c r="Z3" s="2546"/>
      <c r="AA3" s="1185"/>
    </row>
    <row r="4" spans="1:29" s="1184" customFormat="1" x14ac:dyDescent="0.25">
      <c r="B4" s="1500"/>
      <c r="C4" s="1185"/>
      <c r="D4" s="1190"/>
      <c r="E4" s="1501"/>
      <c r="F4" s="1190"/>
      <c r="G4" s="1190"/>
      <c r="H4" s="1190"/>
      <c r="I4" s="1502"/>
      <c r="J4" s="1190"/>
      <c r="K4" s="1502"/>
      <c r="L4" s="1502"/>
      <c r="M4" s="1502"/>
      <c r="N4" s="1190"/>
      <c r="O4" s="1502"/>
      <c r="P4" s="1502"/>
      <c r="Q4" s="1502"/>
      <c r="R4" s="1190"/>
      <c r="S4" s="1190"/>
      <c r="T4" s="1190"/>
      <c r="U4" s="1502"/>
      <c r="V4" s="1190"/>
      <c r="W4" s="1190"/>
      <c r="X4" s="1190"/>
      <c r="Y4" s="1190"/>
      <c r="Z4" s="1582">
        <v>43829</v>
      </c>
      <c r="AA4" s="1185"/>
    </row>
    <row r="5" spans="1:29" x14ac:dyDescent="0.25">
      <c r="A5" s="2560" t="s">
        <v>78</v>
      </c>
      <c r="B5" s="2574" t="s">
        <v>789</v>
      </c>
      <c r="C5" s="2560" t="s">
        <v>416</v>
      </c>
      <c r="D5" s="2577" t="s">
        <v>370</v>
      </c>
      <c r="E5" s="2578"/>
      <c r="F5" s="2578"/>
      <c r="G5" s="2579"/>
      <c r="H5" s="2549" t="s">
        <v>790</v>
      </c>
      <c r="I5" s="2550"/>
      <c r="J5" s="2550"/>
      <c r="K5" s="2550"/>
      <c r="L5" s="2550"/>
      <c r="M5" s="2550"/>
      <c r="N5" s="2550"/>
      <c r="O5" s="2558"/>
      <c r="P5" s="2557" t="s">
        <v>791</v>
      </c>
      <c r="Q5" s="2557"/>
      <c r="R5" s="2557"/>
      <c r="S5" s="2557"/>
      <c r="T5" s="2557"/>
      <c r="U5" s="2557"/>
      <c r="V5" s="2554" t="s">
        <v>737</v>
      </c>
      <c r="W5" s="2554"/>
      <c r="X5" s="2556" t="s">
        <v>180</v>
      </c>
      <c r="Y5" s="2556" t="s">
        <v>181</v>
      </c>
      <c r="Z5" s="2557" t="s">
        <v>792</v>
      </c>
    </row>
    <row r="6" spans="1:29" x14ac:dyDescent="0.25">
      <c r="A6" s="2560"/>
      <c r="B6" s="2575"/>
      <c r="C6" s="2560"/>
      <c r="D6" s="2580"/>
      <c r="E6" s="2581"/>
      <c r="F6" s="2581"/>
      <c r="G6" s="2582"/>
      <c r="H6" s="2549" t="s">
        <v>793</v>
      </c>
      <c r="I6" s="2550"/>
      <c r="J6" s="2550"/>
      <c r="K6" s="2558"/>
      <c r="L6" s="2549" t="s">
        <v>794</v>
      </c>
      <c r="M6" s="2550"/>
      <c r="N6" s="2550"/>
      <c r="O6" s="2558"/>
      <c r="P6" s="2557" t="s">
        <v>357</v>
      </c>
      <c r="Q6" s="2557"/>
      <c r="R6" s="2557"/>
      <c r="S6" s="2557"/>
      <c r="T6" s="2557"/>
      <c r="U6" s="2557"/>
      <c r="V6" s="2554"/>
      <c r="W6" s="2554"/>
      <c r="X6" s="2556"/>
      <c r="Y6" s="2556"/>
      <c r="Z6" s="2557"/>
    </row>
    <row r="7" spans="1:29" x14ac:dyDescent="0.25">
      <c r="A7" s="2560"/>
      <c r="B7" s="2575"/>
      <c r="C7" s="2560"/>
      <c r="D7" s="2560" t="s">
        <v>358</v>
      </c>
      <c r="E7" s="2583" t="s">
        <v>795</v>
      </c>
      <c r="F7" s="2559" t="s">
        <v>796</v>
      </c>
      <c r="G7" s="2559"/>
      <c r="H7" s="2560" t="s">
        <v>358</v>
      </c>
      <c r="I7" s="2571" t="s">
        <v>795</v>
      </c>
      <c r="J7" s="2559" t="s">
        <v>796</v>
      </c>
      <c r="K7" s="2559"/>
      <c r="L7" s="2560" t="s">
        <v>358</v>
      </c>
      <c r="M7" s="2571" t="s">
        <v>795</v>
      </c>
      <c r="N7" s="2559" t="s">
        <v>796</v>
      </c>
      <c r="O7" s="2559"/>
      <c r="P7" s="2560" t="s">
        <v>358</v>
      </c>
      <c r="Q7" s="2571" t="s">
        <v>795</v>
      </c>
      <c r="R7" s="2559" t="s">
        <v>796</v>
      </c>
      <c r="S7" s="2559"/>
      <c r="T7" s="2559"/>
      <c r="U7" s="2559"/>
      <c r="V7" s="2564" t="s">
        <v>797</v>
      </c>
      <c r="W7" s="2564" t="s">
        <v>798</v>
      </c>
      <c r="X7" s="2554" t="s">
        <v>527</v>
      </c>
      <c r="Y7" s="2554"/>
      <c r="Z7" s="2557"/>
      <c r="AC7" s="1193"/>
    </row>
    <row r="8" spans="1:29" x14ac:dyDescent="0.25">
      <c r="A8" s="2560"/>
      <c r="B8" s="2575"/>
      <c r="C8" s="2560"/>
      <c r="D8" s="2560"/>
      <c r="E8" s="2583"/>
      <c r="F8" s="770"/>
      <c r="G8" s="770"/>
      <c r="H8" s="2560"/>
      <c r="I8" s="2572"/>
      <c r="J8" s="770"/>
      <c r="K8" s="770"/>
      <c r="L8" s="2560"/>
      <c r="M8" s="2572"/>
      <c r="N8" s="770"/>
      <c r="O8" s="770"/>
      <c r="P8" s="2560"/>
      <c r="Q8" s="2572"/>
      <c r="R8" s="2565" t="s">
        <v>799</v>
      </c>
      <c r="S8" s="2567" t="s">
        <v>800</v>
      </c>
      <c r="T8" s="2568"/>
      <c r="U8" s="2569" t="s">
        <v>801</v>
      </c>
      <c r="V8" s="2564"/>
      <c r="W8" s="2564"/>
      <c r="X8" s="1503"/>
      <c r="Y8" s="1503"/>
      <c r="Z8" s="2557"/>
      <c r="AC8" s="1193"/>
    </row>
    <row r="9" spans="1:29" ht="75" x14ac:dyDescent="0.25">
      <c r="A9" s="2560"/>
      <c r="B9" s="2576"/>
      <c r="C9" s="2560"/>
      <c r="D9" s="2560"/>
      <c r="E9" s="2583"/>
      <c r="F9" s="1504" t="s">
        <v>802</v>
      </c>
      <c r="G9" s="1195" t="s">
        <v>801</v>
      </c>
      <c r="H9" s="2560"/>
      <c r="I9" s="2573"/>
      <c r="J9" s="1504" t="s">
        <v>802</v>
      </c>
      <c r="K9" s="1195" t="s">
        <v>801</v>
      </c>
      <c r="L9" s="2560"/>
      <c r="M9" s="2573"/>
      <c r="N9" s="1504" t="s">
        <v>802</v>
      </c>
      <c r="O9" s="1195" t="s">
        <v>801</v>
      </c>
      <c r="P9" s="2560"/>
      <c r="Q9" s="2573"/>
      <c r="R9" s="2566"/>
      <c r="S9" s="1504" t="s">
        <v>803</v>
      </c>
      <c r="T9" s="1504" t="s">
        <v>528</v>
      </c>
      <c r="U9" s="2570"/>
      <c r="V9" s="2564"/>
      <c r="W9" s="2564"/>
      <c r="X9" s="2555" t="s">
        <v>236</v>
      </c>
      <c r="Y9" s="2555"/>
      <c r="Z9" s="2557"/>
    </row>
    <row r="10" spans="1:29" s="1199" customFormat="1" ht="16.5" x14ac:dyDescent="0.25">
      <c r="A10" s="1196">
        <v>1</v>
      </c>
      <c r="B10" s="1196">
        <v>2</v>
      </c>
      <c r="C10" s="1196">
        <v>3</v>
      </c>
      <c r="D10" s="1196">
        <v>4</v>
      </c>
      <c r="E10" s="1505">
        <v>5</v>
      </c>
      <c r="F10" s="1506">
        <v>6</v>
      </c>
      <c r="G10" s="1196">
        <v>7</v>
      </c>
      <c r="H10" s="1196">
        <v>8</v>
      </c>
      <c r="I10" s="1196">
        <v>9</v>
      </c>
      <c r="J10" s="1506">
        <v>10</v>
      </c>
      <c r="K10" s="1196">
        <v>11</v>
      </c>
      <c r="L10" s="1196">
        <v>12</v>
      </c>
      <c r="M10" s="1196">
        <v>13</v>
      </c>
      <c r="N10" s="1506">
        <v>14</v>
      </c>
      <c r="O10" s="1196">
        <v>15</v>
      </c>
      <c r="P10" s="1196">
        <v>16</v>
      </c>
      <c r="Q10" s="1196">
        <v>17</v>
      </c>
      <c r="R10" s="1507">
        <v>18</v>
      </c>
      <c r="S10" s="1508" t="s">
        <v>804</v>
      </c>
      <c r="T10" s="1508" t="s">
        <v>805</v>
      </c>
      <c r="U10" s="1509">
        <v>19</v>
      </c>
      <c r="V10" s="1196">
        <v>20</v>
      </c>
      <c r="W10" s="1196">
        <v>21</v>
      </c>
      <c r="X10" s="1506">
        <v>22</v>
      </c>
      <c r="Y10" s="1506">
        <v>23</v>
      </c>
      <c r="Z10" s="1196">
        <v>24</v>
      </c>
      <c r="AA10" s="1218"/>
    </row>
    <row r="11" spans="1:29" ht="23.25" customHeight="1" x14ac:dyDescent="0.25">
      <c r="A11" s="2547" t="s">
        <v>1253</v>
      </c>
      <c r="B11" s="2548"/>
      <c r="C11" s="2548"/>
      <c r="D11" s="2548"/>
      <c r="E11" s="2548"/>
      <c r="F11" s="2548"/>
      <c r="G11" s="2548"/>
      <c r="H11" s="2548"/>
      <c r="I11" s="2548"/>
      <c r="J11" s="2548"/>
      <c r="K11" s="2548"/>
      <c r="L11" s="2548"/>
      <c r="M11" s="2548"/>
      <c r="N11" s="2548"/>
      <c r="O11" s="2548"/>
      <c r="P11" s="2548"/>
      <c r="Q11" s="2548"/>
      <c r="R11" s="2548"/>
      <c r="S11" s="2548"/>
      <c r="T11" s="2548"/>
      <c r="U11" s="2548"/>
      <c r="V11" s="2548"/>
      <c r="W11" s="2548"/>
      <c r="X11" s="2548"/>
      <c r="Y11" s="2548"/>
      <c r="Z11" s="1510"/>
      <c r="AA11" s="1185" t="s">
        <v>1562</v>
      </c>
    </row>
    <row r="12" spans="1:29" ht="15.75" customHeight="1" x14ac:dyDescent="0.25">
      <c r="A12" s="2549" t="s">
        <v>806</v>
      </c>
      <c r="B12" s="2550"/>
      <c r="C12" s="2550"/>
      <c r="D12" s="2550"/>
      <c r="E12" s="2550"/>
      <c r="F12" s="2550"/>
      <c r="G12" s="2550"/>
      <c r="H12" s="2550"/>
      <c r="I12" s="2550"/>
      <c r="J12" s="2550"/>
      <c r="K12" s="2550"/>
      <c r="L12" s="2550"/>
      <c r="M12" s="2550"/>
      <c r="N12" s="2550"/>
      <c r="O12" s="2550"/>
      <c r="P12" s="2550"/>
      <c r="Q12" s="2550"/>
      <c r="R12" s="2550"/>
      <c r="S12" s="2550"/>
      <c r="T12" s="2550"/>
      <c r="U12" s="2550"/>
      <c r="V12" s="2550"/>
      <c r="W12" s="2550"/>
      <c r="X12" s="2550"/>
      <c r="Y12" s="2550"/>
      <c r="Z12" s="1511"/>
      <c r="AA12" s="1185" t="s">
        <v>1562</v>
      </c>
    </row>
    <row r="13" spans="1:29" s="1517" customFormat="1" ht="63" x14ac:dyDescent="0.25">
      <c r="A13" s="1512">
        <v>1</v>
      </c>
      <c r="B13" s="1512"/>
      <c r="C13" s="1513" t="s">
        <v>1397</v>
      </c>
      <c r="D13" s="1514"/>
      <c r="E13" s="1514"/>
      <c r="F13" s="1515">
        <f>F14+F18+F23</f>
        <v>30.1</v>
      </c>
      <c r="G13" s="1515"/>
      <c r="H13" s="1515"/>
      <c r="I13" s="1515"/>
      <c r="J13" s="1515">
        <f>J14+J18</f>
        <v>213.6</v>
      </c>
      <c r="K13" s="1515">
        <f>K14+K18</f>
        <v>30</v>
      </c>
      <c r="L13" s="1515"/>
      <c r="M13" s="1515"/>
      <c r="N13" s="1515">
        <f>N14+N18</f>
        <v>213.6</v>
      </c>
      <c r="O13" s="1515">
        <f>O14+O18</f>
        <v>30</v>
      </c>
      <c r="P13" s="1515"/>
      <c r="Q13" s="1515"/>
      <c r="R13" s="1515">
        <f>R14+R18+R24</f>
        <v>213.6</v>
      </c>
      <c r="S13" s="1515">
        <f t="shared" ref="S13:S27" si="0">R13</f>
        <v>213.6</v>
      </c>
      <c r="T13" s="1515"/>
      <c r="U13" s="1515">
        <f>U14+U18</f>
        <v>30</v>
      </c>
      <c r="V13" s="1516">
        <f t="shared" ref="V13:V27" si="1">R13-J13</f>
        <v>0</v>
      </c>
      <c r="W13" s="1516">
        <f t="shared" ref="W13:W27" si="2">IFERROR((R13)/J13*100,0)</f>
        <v>100</v>
      </c>
      <c r="X13" s="1512">
        <f>X14+X18+X24</f>
        <v>213.6</v>
      </c>
      <c r="Y13" s="1512">
        <f>Y14+Y18+Y24</f>
        <v>213.6</v>
      </c>
      <c r="Z13" s="1512"/>
      <c r="AA13" s="1185" t="s">
        <v>1562</v>
      </c>
    </row>
    <row r="14" spans="1:29" s="1525" customFormat="1" x14ac:dyDescent="0.25">
      <c r="A14" s="1518"/>
      <c r="B14" s="1518">
        <v>963</v>
      </c>
      <c r="C14" s="1519" t="s">
        <v>765</v>
      </c>
      <c r="D14" s="1520"/>
      <c r="E14" s="1520"/>
      <c r="F14" s="1521">
        <f>SUM(F15:F16)</f>
        <v>0</v>
      </c>
      <c r="G14" s="1521"/>
      <c r="H14" s="1521"/>
      <c r="I14" s="1521"/>
      <c r="J14" s="1521">
        <f>SUM(J15:J16)</f>
        <v>208</v>
      </c>
      <c r="K14" s="1521">
        <f>SUM(K15:K16)</f>
        <v>30</v>
      </c>
      <c r="L14" s="1521"/>
      <c r="M14" s="1521"/>
      <c r="N14" s="1521">
        <f>SUM(N15:N16)</f>
        <v>208</v>
      </c>
      <c r="O14" s="1521">
        <f>SUM(O15:O16)</f>
        <v>30</v>
      </c>
      <c r="P14" s="1522"/>
      <c r="Q14" s="1522"/>
      <c r="R14" s="1522">
        <f>SUM(R15:R16)</f>
        <v>0</v>
      </c>
      <c r="S14" s="1522">
        <f t="shared" si="0"/>
        <v>0</v>
      </c>
      <c r="T14" s="1522"/>
      <c r="U14" s="1522">
        <f>SUM(U15:U17)</f>
        <v>20</v>
      </c>
      <c r="V14" s="1523">
        <f t="shared" si="1"/>
        <v>-208</v>
      </c>
      <c r="W14" s="1524">
        <f t="shared" si="2"/>
        <v>0</v>
      </c>
      <c r="X14" s="1518"/>
      <c r="Y14" s="1518"/>
      <c r="Z14" s="2551"/>
      <c r="AA14" s="1185" t="s">
        <v>1562</v>
      </c>
    </row>
    <row r="15" spans="1:29" s="1184" customFormat="1" x14ac:dyDescent="0.25">
      <c r="A15" s="1526"/>
      <c r="B15" s="1526"/>
      <c r="C15" s="1527" t="s">
        <v>1563</v>
      </c>
      <c r="D15" s="1528"/>
      <c r="E15" s="1529"/>
      <c r="F15" s="1530">
        <f>D15*E15/1000</f>
        <v>0</v>
      </c>
      <c r="G15" s="1530"/>
      <c r="H15" s="1528">
        <v>800</v>
      </c>
      <c r="I15" s="1530">
        <v>35</v>
      </c>
      <c r="J15" s="1530">
        <f>H15*I15/1000</f>
        <v>28</v>
      </c>
      <c r="K15" s="1530"/>
      <c r="L15" s="1528">
        <v>800</v>
      </c>
      <c r="M15" s="1530">
        <v>35</v>
      </c>
      <c r="N15" s="1530">
        <f>L15*M15/1000</f>
        <v>28</v>
      </c>
      <c r="O15" s="1530"/>
      <c r="P15" s="1526"/>
      <c r="Q15" s="1531"/>
      <c r="R15" s="1531">
        <f>P15*Q15/1000</f>
        <v>0</v>
      </c>
      <c r="S15" s="1531">
        <f t="shared" si="0"/>
        <v>0</v>
      </c>
      <c r="T15" s="1531"/>
      <c r="U15" s="1531"/>
      <c r="V15" s="1523">
        <f t="shared" si="1"/>
        <v>-28</v>
      </c>
      <c r="W15" s="1532">
        <f t="shared" si="2"/>
        <v>0</v>
      </c>
      <c r="X15" s="1526"/>
      <c r="Y15" s="1526"/>
      <c r="Z15" s="2552"/>
      <c r="AA15" s="1185" t="s">
        <v>1562</v>
      </c>
    </row>
    <row r="16" spans="1:29" s="1184" customFormat="1" ht="31.5" x14ac:dyDescent="0.25">
      <c r="A16" s="1526"/>
      <c r="B16" s="1526"/>
      <c r="C16" s="1527" t="s">
        <v>1564</v>
      </c>
      <c r="D16" s="1528"/>
      <c r="E16" s="1529"/>
      <c r="F16" s="1530">
        <f>D16*E16/1000</f>
        <v>0</v>
      </c>
      <c r="G16" s="1530"/>
      <c r="H16" s="1530">
        <v>150</v>
      </c>
      <c r="I16" s="1530">
        <v>400</v>
      </c>
      <c r="J16" s="1530">
        <f>H16*I16/1000/2+150</f>
        <v>180</v>
      </c>
      <c r="K16" s="1530">
        <f>H16*I16/1000/2</f>
        <v>30</v>
      </c>
      <c r="L16" s="1530">
        <v>150</v>
      </c>
      <c r="M16" s="1530">
        <v>400</v>
      </c>
      <c r="N16" s="1530">
        <f>L16*M16/1000/2+150</f>
        <v>180</v>
      </c>
      <c r="O16" s="1530">
        <f>L16*M16/1000/2</f>
        <v>30</v>
      </c>
      <c r="P16" s="1531"/>
      <c r="Q16" s="1531"/>
      <c r="R16" s="1531"/>
      <c r="S16" s="1531">
        <f t="shared" si="0"/>
        <v>0</v>
      </c>
      <c r="T16" s="1531"/>
      <c r="U16" s="1531">
        <f>P16*Q16/1000/2</f>
        <v>0</v>
      </c>
      <c r="V16" s="1523">
        <f t="shared" si="1"/>
        <v>-180</v>
      </c>
      <c r="W16" s="1532">
        <f t="shared" si="2"/>
        <v>0</v>
      </c>
      <c r="X16" s="1526"/>
      <c r="Y16" s="1526"/>
      <c r="Z16" s="2552"/>
      <c r="AA16" s="1185" t="s">
        <v>1562</v>
      </c>
    </row>
    <row r="17" spans="1:546" s="1184" customFormat="1" x14ac:dyDescent="0.25">
      <c r="A17" s="1526"/>
      <c r="B17" s="1526"/>
      <c r="C17" s="1527" t="s">
        <v>1565</v>
      </c>
      <c r="D17" s="1528"/>
      <c r="E17" s="1529"/>
      <c r="F17" s="1530"/>
      <c r="G17" s="1530"/>
      <c r="H17" s="1530"/>
      <c r="I17" s="1530"/>
      <c r="J17" s="1530"/>
      <c r="K17" s="1530"/>
      <c r="L17" s="1530"/>
      <c r="M17" s="1530"/>
      <c r="N17" s="1530"/>
      <c r="O17" s="1530"/>
      <c r="P17" s="1533">
        <v>1</v>
      </c>
      <c r="Q17" s="1534">
        <v>20000</v>
      </c>
      <c r="R17" s="1531"/>
      <c r="S17" s="1531">
        <f t="shared" si="0"/>
        <v>0</v>
      </c>
      <c r="T17" s="1531"/>
      <c r="U17" s="1523">
        <f>P17*Q17/1000</f>
        <v>20</v>
      </c>
      <c r="V17" s="1523">
        <f t="shared" si="1"/>
        <v>0</v>
      </c>
      <c r="W17" s="1532">
        <f t="shared" si="2"/>
        <v>0</v>
      </c>
      <c r="X17" s="1526"/>
      <c r="Y17" s="1526"/>
      <c r="Z17" s="2552"/>
      <c r="AA17" s="1185" t="s">
        <v>1562</v>
      </c>
    </row>
    <row r="18" spans="1:546" s="1525" customFormat="1" x14ac:dyDescent="0.25">
      <c r="A18" s="1518"/>
      <c r="B18" s="1518">
        <v>981</v>
      </c>
      <c r="C18" s="1519" t="s">
        <v>766</v>
      </c>
      <c r="D18" s="1520"/>
      <c r="E18" s="1520"/>
      <c r="F18" s="1521">
        <f>F19</f>
        <v>3.8</v>
      </c>
      <c r="G18" s="1521"/>
      <c r="H18" s="1520"/>
      <c r="I18" s="1521"/>
      <c r="J18" s="1521">
        <f>J19</f>
        <v>5.6</v>
      </c>
      <c r="K18" s="1521">
        <f>K19</f>
        <v>0</v>
      </c>
      <c r="L18" s="1520"/>
      <c r="M18" s="1521"/>
      <c r="N18" s="1521">
        <f>N19</f>
        <v>5.6</v>
      </c>
      <c r="O18" s="1521">
        <f>O19</f>
        <v>0</v>
      </c>
      <c r="P18" s="1535"/>
      <c r="Q18" s="1522"/>
      <c r="R18" s="1522">
        <f>SUM(R19:R22)</f>
        <v>184.1</v>
      </c>
      <c r="S18" s="1522">
        <f t="shared" si="0"/>
        <v>184.1</v>
      </c>
      <c r="T18" s="1522"/>
      <c r="U18" s="1522">
        <f>SUM(U19:U22)</f>
        <v>10</v>
      </c>
      <c r="V18" s="1523">
        <f t="shared" si="1"/>
        <v>178.5</v>
      </c>
      <c r="W18" s="1524">
        <f t="shared" si="2"/>
        <v>3287.5</v>
      </c>
      <c r="X18" s="1518">
        <f>SUM(X19:X22)</f>
        <v>184.1</v>
      </c>
      <c r="Y18" s="1518">
        <f>SUM(Y19:Y22)</f>
        <v>184.1</v>
      </c>
      <c r="Z18" s="2552"/>
      <c r="AA18" s="1185" t="s">
        <v>1562</v>
      </c>
    </row>
    <row r="19" spans="1:546" s="1184" customFormat="1" x14ac:dyDescent="0.25">
      <c r="A19" s="1526"/>
      <c r="B19" s="1533"/>
      <c r="C19" s="1527" t="s">
        <v>1566</v>
      </c>
      <c r="D19" s="1528">
        <v>69</v>
      </c>
      <c r="E19" s="1529">
        <v>54.9</v>
      </c>
      <c r="F19" s="1530">
        <f>D19*E19/1000</f>
        <v>3.8</v>
      </c>
      <c r="G19" s="1530"/>
      <c r="H19" s="1528">
        <v>80</v>
      </c>
      <c r="I19" s="1530">
        <v>70</v>
      </c>
      <c r="J19" s="1530">
        <f>H19*I19/1000</f>
        <v>5.6</v>
      </c>
      <c r="K19" s="1530"/>
      <c r="L19" s="1528">
        <v>80</v>
      </c>
      <c r="M19" s="1530">
        <v>70</v>
      </c>
      <c r="N19" s="1530">
        <f>L19*M19/1000</f>
        <v>5.6</v>
      </c>
      <c r="O19" s="1530"/>
      <c r="P19" s="1526">
        <v>1</v>
      </c>
      <c r="Q19" s="1531">
        <v>10000</v>
      </c>
      <c r="R19" s="1531"/>
      <c r="S19" s="1531">
        <f t="shared" si="0"/>
        <v>0</v>
      </c>
      <c r="T19" s="1531"/>
      <c r="U19" s="1531">
        <f>P19*Q19/1000</f>
        <v>10</v>
      </c>
      <c r="V19" s="1523">
        <f t="shared" si="1"/>
        <v>-5.6</v>
      </c>
      <c r="W19" s="1532">
        <f t="shared" si="2"/>
        <v>0</v>
      </c>
      <c r="X19" s="1526"/>
      <c r="Y19" s="1526"/>
      <c r="Z19" s="2553"/>
      <c r="AA19" s="1185" t="s">
        <v>1562</v>
      </c>
    </row>
    <row r="20" spans="1:546" s="1184" customFormat="1" x14ac:dyDescent="0.25">
      <c r="A20" s="1526"/>
      <c r="B20" s="1533"/>
      <c r="C20" s="1527" t="s">
        <v>1198</v>
      </c>
      <c r="D20" s="1528"/>
      <c r="E20" s="1529"/>
      <c r="F20" s="1530"/>
      <c r="G20" s="1530"/>
      <c r="H20" s="1530"/>
      <c r="I20" s="1530"/>
      <c r="J20" s="1530">
        <v>0</v>
      </c>
      <c r="K20" s="1530"/>
      <c r="L20" s="1530"/>
      <c r="M20" s="1530"/>
      <c r="N20" s="1530">
        <v>0</v>
      </c>
      <c r="O20" s="1530"/>
      <c r="P20" s="1531">
        <v>50</v>
      </c>
      <c r="Q20" s="1536">
        <v>150</v>
      </c>
      <c r="R20" s="1531">
        <f>P20*Q20/1000</f>
        <v>7.5</v>
      </c>
      <c r="S20" s="1531">
        <f t="shared" si="0"/>
        <v>7.5</v>
      </c>
      <c r="T20" s="1531"/>
      <c r="U20" s="1531"/>
      <c r="V20" s="1523">
        <f t="shared" si="1"/>
        <v>7.5</v>
      </c>
      <c r="W20" s="1532">
        <f t="shared" si="2"/>
        <v>0</v>
      </c>
      <c r="X20" s="1526">
        <v>7.5</v>
      </c>
      <c r="Y20" s="1526">
        <v>7.5</v>
      </c>
      <c r="Z20" s="1526"/>
      <c r="AA20" s="1185" t="s">
        <v>1562</v>
      </c>
    </row>
    <row r="21" spans="1:546" s="1184" customFormat="1" x14ac:dyDescent="0.25">
      <c r="A21" s="1526"/>
      <c r="B21" s="1533"/>
      <c r="C21" s="1527" t="s">
        <v>1567</v>
      </c>
      <c r="D21" s="1528"/>
      <c r="E21" s="1529"/>
      <c r="F21" s="1530"/>
      <c r="G21" s="1530"/>
      <c r="H21" s="1530"/>
      <c r="I21" s="1530"/>
      <c r="J21" s="1530">
        <v>0</v>
      </c>
      <c r="K21" s="1530">
        <v>0</v>
      </c>
      <c r="L21" s="1530"/>
      <c r="M21" s="1530"/>
      <c r="N21" s="1530">
        <v>0</v>
      </c>
      <c r="O21" s="1530">
        <v>0</v>
      </c>
      <c r="P21" s="1531">
        <v>70</v>
      </c>
      <c r="Q21" s="1536">
        <v>928</v>
      </c>
      <c r="R21" s="1531">
        <f>P21*Q21/1000</f>
        <v>65</v>
      </c>
      <c r="S21" s="1531">
        <f t="shared" si="0"/>
        <v>65</v>
      </c>
      <c r="T21" s="1531"/>
      <c r="U21" s="1531">
        <v>0</v>
      </c>
      <c r="V21" s="1523">
        <f t="shared" si="1"/>
        <v>65</v>
      </c>
      <c r="W21" s="1532">
        <f t="shared" si="2"/>
        <v>0</v>
      </c>
      <c r="X21" s="1526">
        <v>65</v>
      </c>
      <c r="Y21" s="1526">
        <v>65</v>
      </c>
      <c r="Z21" s="1526"/>
      <c r="AA21" s="1185" t="s">
        <v>1562</v>
      </c>
    </row>
    <row r="22" spans="1:546" s="1184" customFormat="1" ht="31.5" x14ac:dyDescent="0.25">
      <c r="A22" s="1526"/>
      <c r="B22" s="1533"/>
      <c r="C22" s="1527" t="s">
        <v>1568</v>
      </c>
      <c r="D22" s="1528"/>
      <c r="E22" s="1529"/>
      <c r="F22" s="1530"/>
      <c r="G22" s="1530"/>
      <c r="H22" s="1530"/>
      <c r="I22" s="1530"/>
      <c r="J22" s="1530"/>
      <c r="K22" s="1530"/>
      <c r="L22" s="1530"/>
      <c r="M22" s="1530"/>
      <c r="N22" s="1530"/>
      <c r="O22" s="1530"/>
      <c r="P22" s="1526">
        <v>1</v>
      </c>
      <c r="Q22" s="1536">
        <v>111640</v>
      </c>
      <c r="R22" s="1531">
        <f>P22*Q22/1000</f>
        <v>111.6</v>
      </c>
      <c r="S22" s="1531">
        <f t="shared" si="0"/>
        <v>111.6</v>
      </c>
      <c r="T22" s="1531"/>
      <c r="U22" s="1531">
        <v>0</v>
      </c>
      <c r="V22" s="1523">
        <f t="shared" si="1"/>
        <v>111.6</v>
      </c>
      <c r="W22" s="1532">
        <f t="shared" si="2"/>
        <v>0</v>
      </c>
      <c r="X22" s="1526">
        <v>111.6</v>
      </c>
      <c r="Y22" s="1526">
        <v>111.6</v>
      </c>
      <c r="Z22" s="1526"/>
      <c r="AA22" s="1185" t="s">
        <v>1562</v>
      </c>
    </row>
    <row r="23" spans="1:546" s="1525" customFormat="1" x14ac:dyDescent="0.25">
      <c r="A23" s="1518"/>
      <c r="B23" s="1537">
        <v>921</v>
      </c>
      <c r="C23" s="1519" t="s">
        <v>1569</v>
      </c>
      <c r="D23" s="1538">
        <v>175</v>
      </c>
      <c r="E23" s="1520">
        <v>150</v>
      </c>
      <c r="F23" s="1521">
        <f>D23*E23/1000</f>
        <v>26.3</v>
      </c>
      <c r="G23" s="1521"/>
      <c r="H23" s="1521"/>
      <c r="I23" s="1521"/>
      <c r="J23" s="1521"/>
      <c r="K23" s="1521"/>
      <c r="L23" s="1521"/>
      <c r="M23" s="1521"/>
      <c r="N23" s="1521"/>
      <c r="O23" s="1521"/>
      <c r="P23" s="1518"/>
      <c r="Q23" s="1535"/>
      <c r="R23" s="1522"/>
      <c r="S23" s="1522">
        <f t="shared" si="0"/>
        <v>0</v>
      </c>
      <c r="T23" s="1522"/>
      <c r="U23" s="1522"/>
      <c r="V23" s="1539">
        <f t="shared" si="1"/>
        <v>0</v>
      </c>
      <c r="W23" s="1524">
        <f t="shared" si="2"/>
        <v>0</v>
      </c>
      <c r="X23" s="1518"/>
      <c r="Y23" s="1518"/>
      <c r="Z23" s="1518"/>
      <c r="AA23" s="1185" t="s">
        <v>1562</v>
      </c>
    </row>
    <row r="24" spans="1:546" s="1184" customFormat="1" ht="47.25" x14ac:dyDescent="0.25">
      <c r="A24" s="1526"/>
      <c r="B24" s="1518">
        <v>966</v>
      </c>
      <c r="C24" s="1540" t="s">
        <v>1570</v>
      </c>
      <c r="D24" s="1528"/>
      <c r="E24" s="1529"/>
      <c r="F24" s="1530"/>
      <c r="G24" s="1530"/>
      <c r="H24" s="1530"/>
      <c r="I24" s="1530"/>
      <c r="J24" s="1530"/>
      <c r="K24" s="1530"/>
      <c r="L24" s="1530"/>
      <c r="M24" s="1530"/>
      <c r="N24" s="1530"/>
      <c r="O24" s="1530"/>
      <c r="P24" s="1537">
        <v>1</v>
      </c>
      <c r="Q24" s="1541">
        <v>29500</v>
      </c>
      <c r="R24" s="1522">
        <f>P24*Q24/1000</f>
        <v>29.5</v>
      </c>
      <c r="S24" s="1522">
        <f t="shared" si="0"/>
        <v>29.5</v>
      </c>
      <c r="T24" s="1522"/>
      <c r="U24" s="1539"/>
      <c r="V24" s="1523">
        <f t="shared" si="1"/>
        <v>29.5</v>
      </c>
      <c r="W24" s="1524">
        <f t="shared" si="2"/>
        <v>0</v>
      </c>
      <c r="X24" s="1518">
        <v>29.5</v>
      </c>
      <c r="Y24" s="1518">
        <v>29.5</v>
      </c>
      <c r="Z24" s="1526"/>
      <c r="AA24" s="1185" t="s">
        <v>1562</v>
      </c>
    </row>
    <row r="25" spans="1:546" s="1517" customFormat="1" x14ac:dyDescent="0.25">
      <c r="A25" s="1512">
        <v>2</v>
      </c>
      <c r="B25" s="1542"/>
      <c r="C25" s="1513" t="s">
        <v>1571</v>
      </c>
      <c r="D25" s="1543"/>
      <c r="E25" s="1544"/>
      <c r="F25" s="1545"/>
      <c r="G25" s="1545"/>
      <c r="H25" s="1545"/>
      <c r="I25" s="1545"/>
      <c r="J25" s="1545">
        <f>J26</f>
        <v>263.5</v>
      </c>
      <c r="K25" s="1545"/>
      <c r="L25" s="1545"/>
      <c r="M25" s="1545"/>
      <c r="N25" s="1545">
        <f>N26</f>
        <v>263.5</v>
      </c>
      <c r="O25" s="1545"/>
      <c r="P25" s="1515"/>
      <c r="Q25" s="1515"/>
      <c r="R25" s="1515">
        <f>SUM(R26:R27)</f>
        <v>263.5</v>
      </c>
      <c r="S25" s="1515">
        <f t="shared" si="0"/>
        <v>263.5</v>
      </c>
      <c r="T25" s="1515"/>
      <c r="U25" s="1515"/>
      <c r="V25" s="1516">
        <f t="shared" si="1"/>
        <v>0</v>
      </c>
      <c r="W25" s="1516">
        <f t="shared" si="2"/>
        <v>100</v>
      </c>
      <c r="X25" s="1512">
        <f>SUM(X26:X27)</f>
        <v>263.5</v>
      </c>
      <c r="Y25" s="1512">
        <f>SUM(Y26:Y27)</f>
        <v>263.5</v>
      </c>
      <c r="Z25" s="1512"/>
      <c r="AA25" s="1185" t="s">
        <v>1562</v>
      </c>
    </row>
    <row r="26" spans="1:546" s="1184" customFormat="1" ht="63" x14ac:dyDescent="0.25">
      <c r="A26" s="1526"/>
      <c r="B26" s="1533">
        <v>966</v>
      </c>
      <c r="C26" s="1546" t="s">
        <v>1572</v>
      </c>
      <c r="D26" s="1528"/>
      <c r="E26" s="1529"/>
      <c r="F26" s="1530"/>
      <c r="G26" s="1530"/>
      <c r="H26" s="1530"/>
      <c r="I26" s="1530"/>
      <c r="J26" s="1530">
        <v>263.5</v>
      </c>
      <c r="K26" s="1530"/>
      <c r="L26" s="1530"/>
      <c r="M26" s="1530"/>
      <c r="N26" s="1530">
        <v>263.5</v>
      </c>
      <c r="O26" s="1530"/>
      <c r="P26" s="1531">
        <v>3</v>
      </c>
      <c r="Q26" s="1531">
        <v>53033</v>
      </c>
      <c r="R26" s="1531">
        <f>P26*Q26/1000</f>
        <v>159.1</v>
      </c>
      <c r="S26" s="1531">
        <f t="shared" si="0"/>
        <v>159.1</v>
      </c>
      <c r="T26" s="1531"/>
      <c r="U26" s="1531"/>
      <c r="V26" s="1523">
        <f t="shared" si="1"/>
        <v>-104.4</v>
      </c>
      <c r="W26" s="1532">
        <f t="shared" si="2"/>
        <v>60.4</v>
      </c>
      <c r="X26" s="1526">
        <v>159.1</v>
      </c>
      <c r="Y26" s="1526">
        <v>159.1</v>
      </c>
      <c r="Z26" s="1526"/>
      <c r="AA26" s="1185" t="s">
        <v>1562</v>
      </c>
    </row>
    <row r="27" spans="1:546" s="1184" customFormat="1" ht="31.5" x14ac:dyDescent="0.25">
      <c r="A27" s="1526"/>
      <c r="B27" s="1533">
        <v>954</v>
      </c>
      <c r="C27" s="1527" t="s">
        <v>1573</v>
      </c>
      <c r="D27" s="1528"/>
      <c r="E27" s="1529"/>
      <c r="F27" s="1530"/>
      <c r="G27" s="1530"/>
      <c r="H27" s="1530"/>
      <c r="I27" s="1530"/>
      <c r="J27" s="1530"/>
      <c r="K27" s="1530"/>
      <c r="L27" s="1530"/>
      <c r="M27" s="1530"/>
      <c r="N27" s="1530"/>
      <c r="O27" s="1530"/>
      <c r="P27" s="1531">
        <v>3</v>
      </c>
      <c r="Q27" s="1531">
        <v>34800</v>
      </c>
      <c r="R27" s="1531">
        <f>P27*Q27/1000</f>
        <v>104.4</v>
      </c>
      <c r="S27" s="1531">
        <f t="shared" si="0"/>
        <v>104.4</v>
      </c>
      <c r="T27" s="1531"/>
      <c r="U27" s="1531"/>
      <c r="V27" s="1523">
        <f t="shared" si="1"/>
        <v>104.4</v>
      </c>
      <c r="W27" s="1532">
        <f t="shared" si="2"/>
        <v>0</v>
      </c>
      <c r="X27" s="1526">
        <v>104.4</v>
      </c>
      <c r="Y27" s="1526">
        <v>104.4</v>
      </c>
      <c r="Z27" s="1526"/>
      <c r="AA27" s="1185" t="s">
        <v>1562</v>
      </c>
    </row>
    <row r="28" spans="1:546" s="1184" customFormat="1" x14ac:dyDescent="0.25">
      <c r="A28" s="1547"/>
      <c r="B28" s="1548"/>
      <c r="C28" s="1549"/>
      <c r="D28" s="1550"/>
      <c r="E28" s="1551"/>
      <c r="F28" s="1552"/>
      <c r="G28" s="1552"/>
      <c r="H28" s="1552"/>
      <c r="I28" s="1552"/>
      <c r="J28" s="1552"/>
      <c r="K28" s="1552"/>
      <c r="L28" s="1552"/>
      <c r="M28" s="1552"/>
      <c r="N28" s="1552"/>
      <c r="O28" s="1552"/>
      <c r="P28" s="1553"/>
      <c r="Q28" s="1553"/>
      <c r="R28" s="1553"/>
      <c r="S28" s="1553"/>
      <c r="T28" s="1553"/>
      <c r="U28" s="1553"/>
      <c r="V28" s="1188"/>
      <c r="W28" s="1554"/>
      <c r="X28" s="1547"/>
      <c r="Y28" s="1547"/>
      <c r="Z28" s="1547"/>
      <c r="AA28" s="1185"/>
    </row>
    <row r="29" spans="1:546" s="1561" customFormat="1" ht="18.75" x14ac:dyDescent="0.3">
      <c r="B29" s="1562"/>
      <c r="C29" s="1563"/>
      <c r="D29" s="1564"/>
      <c r="E29" s="1565"/>
      <c r="F29" s="2561">
        <v>2018</v>
      </c>
      <c r="G29" s="2561"/>
      <c r="H29" s="1564"/>
      <c r="I29" s="1564"/>
      <c r="J29" s="2561" t="s">
        <v>807</v>
      </c>
      <c r="K29" s="2561"/>
      <c r="L29" s="1564"/>
      <c r="M29" s="1564"/>
      <c r="N29" s="2562" t="s">
        <v>808</v>
      </c>
      <c r="O29" s="2562"/>
      <c r="P29" s="1564"/>
      <c r="Q29" s="1564"/>
      <c r="R29" s="2699">
        <v>2020</v>
      </c>
      <c r="S29" s="2699"/>
      <c r="T29" s="2699"/>
      <c r="U29" s="2699"/>
      <c r="V29" s="1564"/>
      <c r="W29" s="1564"/>
      <c r="X29" s="1566">
        <v>2021</v>
      </c>
      <c r="Y29" s="1566">
        <v>2022</v>
      </c>
      <c r="AA29" s="1567"/>
    </row>
    <row r="30" spans="1:546" s="1184" customFormat="1" x14ac:dyDescent="0.25">
      <c r="B30" s="1533">
        <v>1</v>
      </c>
      <c r="C30" s="1568">
        <v>1</v>
      </c>
      <c r="D30" s="1569">
        <v>1</v>
      </c>
      <c r="E30" s="1570">
        <v>1</v>
      </c>
      <c r="F30" s="1523" t="s">
        <v>371</v>
      </c>
      <c r="G30" s="1523" t="s">
        <v>809</v>
      </c>
      <c r="H30" s="1569">
        <v>1</v>
      </c>
      <c r="I30" s="1569">
        <v>1</v>
      </c>
      <c r="J30" s="1523" t="s">
        <v>371</v>
      </c>
      <c r="K30" s="1523" t="s">
        <v>809</v>
      </c>
      <c r="L30" s="1569">
        <v>1</v>
      </c>
      <c r="M30" s="1569">
        <v>1</v>
      </c>
      <c r="N30" s="1523" t="s">
        <v>371</v>
      </c>
      <c r="O30" s="1523" t="s">
        <v>809</v>
      </c>
      <c r="P30" s="1569">
        <v>1</v>
      </c>
      <c r="Q30" s="1569">
        <v>1</v>
      </c>
      <c r="R30" s="1523" t="s">
        <v>371</v>
      </c>
      <c r="S30" s="1523"/>
      <c r="T30" s="1523"/>
      <c r="U30" s="1523" t="s">
        <v>809</v>
      </c>
      <c r="V30" s="1569">
        <v>1</v>
      </c>
      <c r="W30" s="1569">
        <v>1</v>
      </c>
      <c r="X30" s="1523">
        <v>1</v>
      </c>
      <c r="Y30" s="1523">
        <v>1</v>
      </c>
      <c r="AA30" s="1185"/>
    </row>
    <row r="31" spans="1:546" s="1571" customFormat="1" x14ac:dyDescent="0.25">
      <c r="B31" s="1542"/>
      <c r="C31" s="1542" t="s">
        <v>1574</v>
      </c>
      <c r="D31" s="1516"/>
      <c r="E31" s="1572"/>
      <c r="F31" s="1516">
        <f>F32+F33+F34+F35+F36</f>
        <v>30.1</v>
      </c>
      <c r="G31" s="1516">
        <f t="shared" ref="G31:Y31" si="3">G32+G33+G34+G35+G36</f>
        <v>0</v>
      </c>
      <c r="H31" s="1516">
        <f t="shared" si="3"/>
        <v>0</v>
      </c>
      <c r="I31" s="1516">
        <f t="shared" si="3"/>
        <v>0</v>
      </c>
      <c r="J31" s="1516">
        <f t="shared" si="3"/>
        <v>477.1</v>
      </c>
      <c r="K31" s="1516">
        <f t="shared" si="3"/>
        <v>30</v>
      </c>
      <c r="L31" s="1516">
        <f t="shared" si="3"/>
        <v>0</v>
      </c>
      <c r="M31" s="1516">
        <f t="shared" si="3"/>
        <v>0</v>
      </c>
      <c r="N31" s="1516">
        <f t="shared" si="3"/>
        <v>477.1</v>
      </c>
      <c r="O31" s="1516">
        <f t="shared" si="3"/>
        <v>30</v>
      </c>
      <c r="P31" s="1516"/>
      <c r="Q31" s="1516"/>
      <c r="R31" s="1516">
        <f t="shared" si="3"/>
        <v>477.1</v>
      </c>
      <c r="S31" s="1516">
        <f t="shared" si="3"/>
        <v>477.1</v>
      </c>
      <c r="T31" s="1516">
        <f t="shared" si="3"/>
        <v>0</v>
      </c>
      <c r="U31" s="1516">
        <f t="shared" si="3"/>
        <v>30</v>
      </c>
      <c r="V31" s="1516"/>
      <c r="W31" s="1516"/>
      <c r="X31" s="1516">
        <f t="shared" si="3"/>
        <v>477.1</v>
      </c>
      <c r="Y31" s="1516">
        <f t="shared" si="3"/>
        <v>477.1</v>
      </c>
      <c r="AE31" s="1192"/>
      <c r="AF31" s="1192"/>
      <c r="AG31" s="1192"/>
      <c r="AH31" s="1192"/>
      <c r="JN31" s="1192"/>
      <c r="JO31" s="1192"/>
      <c r="JQ31" s="1192"/>
      <c r="JR31" s="1192"/>
      <c r="JS31" s="1192"/>
      <c r="KA31" s="1192"/>
      <c r="KB31" s="1192"/>
      <c r="KC31" s="1192"/>
      <c r="KD31" s="1192"/>
      <c r="TJ31" s="1192"/>
      <c r="TK31" s="1192"/>
      <c r="TM31" s="1192"/>
      <c r="TN31" s="1192"/>
      <c r="TO31" s="1192"/>
      <c r="TW31" s="1192"/>
      <c r="TX31" s="1192"/>
      <c r="TY31" s="1192"/>
      <c r="TZ31" s="1192"/>
    </row>
    <row r="32" spans="1:546" s="1500" customFormat="1" x14ac:dyDescent="0.25">
      <c r="B32" s="1533">
        <v>921</v>
      </c>
      <c r="C32" s="1533"/>
      <c r="D32" s="1523"/>
      <c r="E32" s="1534"/>
      <c r="F32" s="1523">
        <f t="shared" ref="F32:O32" si="4">F23</f>
        <v>26.3</v>
      </c>
      <c r="G32" s="1523">
        <f t="shared" si="4"/>
        <v>0</v>
      </c>
      <c r="H32" s="1523">
        <f t="shared" si="4"/>
        <v>0</v>
      </c>
      <c r="I32" s="1523">
        <f t="shared" si="4"/>
        <v>0</v>
      </c>
      <c r="J32" s="1523">
        <f t="shared" si="4"/>
        <v>0</v>
      </c>
      <c r="K32" s="1523">
        <f t="shared" si="4"/>
        <v>0</v>
      </c>
      <c r="L32" s="1523">
        <f t="shared" si="4"/>
        <v>0</v>
      </c>
      <c r="M32" s="1523">
        <f t="shared" si="4"/>
        <v>0</v>
      </c>
      <c r="N32" s="1523">
        <f t="shared" si="4"/>
        <v>0</v>
      </c>
      <c r="O32" s="1523">
        <f t="shared" si="4"/>
        <v>0</v>
      </c>
      <c r="P32" s="1523"/>
      <c r="Q32" s="1523"/>
      <c r="R32" s="1523">
        <f>R23</f>
        <v>0</v>
      </c>
      <c r="S32" s="1523">
        <f>S23</f>
        <v>0</v>
      </c>
      <c r="T32" s="1523">
        <f>T23</f>
        <v>0</v>
      </c>
      <c r="U32" s="1523">
        <f>U23</f>
        <v>0</v>
      </c>
      <c r="V32" s="1523"/>
      <c r="W32" s="1523"/>
      <c r="X32" s="1523">
        <f>X23</f>
        <v>0</v>
      </c>
      <c r="Y32" s="1523">
        <f>Y23</f>
        <v>0</v>
      </c>
      <c r="Z32" s="1571"/>
      <c r="AE32" s="1184"/>
      <c r="AF32" s="1184"/>
      <c r="AG32" s="1184"/>
      <c r="AH32" s="1184"/>
      <c r="JN32" s="1184"/>
      <c r="JO32" s="1184"/>
      <c r="JQ32" s="1184"/>
      <c r="JR32" s="1184"/>
      <c r="JS32" s="1184"/>
      <c r="KA32" s="1184"/>
      <c r="KB32" s="1184"/>
      <c r="KC32" s="1184"/>
      <c r="KD32" s="1184"/>
      <c r="TJ32" s="1184"/>
      <c r="TK32" s="1184"/>
      <c r="TM32" s="1184"/>
      <c r="TN32" s="1184"/>
      <c r="TO32" s="1184"/>
      <c r="TW32" s="1184"/>
      <c r="TX32" s="1184"/>
      <c r="TY32" s="1184"/>
      <c r="TZ32" s="1184"/>
    </row>
    <row r="33" spans="2:546" s="1500" customFormat="1" x14ac:dyDescent="0.25">
      <c r="B33" s="1533">
        <v>954</v>
      </c>
      <c r="C33" s="1533"/>
      <c r="D33" s="1523"/>
      <c r="E33" s="1534"/>
      <c r="F33" s="1523">
        <f t="shared" ref="F33:O33" si="5">F27</f>
        <v>0</v>
      </c>
      <c r="G33" s="1523">
        <f t="shared" si="5"/>
        <v>0</v>
      </c>
      <c r="H33" s="1523">
        <f t="shared" si="5"/>
        <v>0</v>
      </c>
      <c r="I33" s="1523">
        <f t="shared" si="5"/>
        <v>0</v>
      </c>
      <c r="J33" s="1523">
        <f t="shared" si="5"/>
        <v>0</v>
      </c>
      <c r="K33" s="1523">
        <f t="shared" si="5"/>
        <v>0</v>
      </c>
      <c r="L33" s="1523">
        <f t="shared" si="5"/>
        <v>0</v>
      </c>
      <c r="M33" s="1523">
        <f t="shared" si="5"/>
        <v>0</v>
      </c>
      <c r="N33" s="1523">
        <f t="shared" si="5"/>
        <v>0</v>
      </c>
      <c r="O33" s="1523">
        <f t="shared" si="5"/>
        <v>0</v>
      </c>
      <c r="P33" s="1523"/>
      <c r="Q33" s="1523"/>
      <c r="R33" s="1523">
        <f>R27</f>
        <v>104.4</v>
      </c>
      <c r="S33" s="1523">
        <f>S27</f>
        <v>104.4</v>
      </c>
      <c r="T33" s="1523">
        <f>T27</f>
        <v>0</v>
      </c>
      <c r="U33" s="1523">
        <f>U27</f>
        <v>0</v>
      </c>
      <c r="V33" s="1523"/>
      <c r="W33" s="1523"/>
      <c r="X33" s="1523">
        <f>X27</f>
        <v>104.4</v>
      </c>
      <c r="Y33" s="1523">
        <f>Y27</f>
        <v>104.4</v>
      </c>
      <c r="Z33" s="1571"/>
      <c r="AE33" s="1184"/>
      <c r="AF33" s="1184"/>
      <c r="AG33" s="1184"/>
      <c r="AH33" s="1184"/>
      <c r="JN33" s="1184"/>
      <c r="JO33" s="1184"/>
      <c r="JQ33" s="1184"/>
      <c r="JR33" s="1184"/>
      <c r="JS33" s="1184"/>
      <c r="KA33" s="1184"/>
      <c r="KB33" s="1184"/>
      <c r="KC33" s="1184"/>
      <c r="KD33" s="1184"/>
      <c r="TJ33" s="1184"/>
      <c r="TK33" s="1184"/>
      <c r="TM33" s="1184"/>
      <c r="TN33" s="1184"/>
      <c r="TO33" s="1184"/>
      <c r="TW33" s="1184"/>
      <c r="TX33" s="1184"/>
      <c r="TY33" s="1184"/>
      <c r="TZ33" s="1184"/>
    </row>
    <row r="34" spans="2:546" s="1184" customFormat="1" x14ac:dyDescent="0.25">
      <c r="B34" s="1533">
        <v>963</v>
      </c>
      <c r="C34" s="1568"/>
      <c r="D34" s="1573"/>
      <c r="E34" s="1574"/>
      <c r="F34" s="1523">
        <f t="shared" ref="F34:O34" si="6">F14</f>
        <v>0</v>
      </c>
      <c r="G34" s="1523">
        <f t="shared" si="6"/>
        <v>0</v>
      </c>
      <c r="H34" s="1523">
        <f t="shared" si="6"/>
        <v>0</v>
      </c>
      <c r="I34" s="1523">
        <f t="shared" si="6"/>
        <v>0</v>
      </c>
      <c r="J34" s="1523">
        <f t="shared" si="6"/>
        <v>208</v>
      </c>
      <c r="K34" s="1523">
        <f t="shared" si="6"/>
        <v>30</v>
      </c>
      <c r="L34" s="1523">
        <f t="shared" si="6"/>
        <v>0</v>
      </c>
      <c r="M34" s="1523">
        <f t="shared" si="6"/>
        <v>0</v>
      </c>
      <c r="N34" s="1523">
        <f t="shared" si="6"/>
        <v>208</v>
      </c>
      <c r="O34" s="1523">
        <f t="shared" si="6"/>
        <v>30</v>
      </c>
      <c r="P34" s="1523"/>
      <c r="Q34" s="1523"/>
      <c r="R34" s="1523">
        <f>R14</f>
        <v>0</v>
      </c>
      <c r="S34" s="1523">
        <f>S14</f>
        <v>0</v>
      </c>
      <c r="T34" s="1523">
        <f>T14</f>
        <v>0</v>
      </c>
      <c r="U34" s="1523">
        <f>U14</f>
        <v>20</v>
      </c>
      <c r="V34" s="1523"/>
      <c r="W34" s="1523"/>
      <c r="X34" s="1523">
        <f>X14</f>
        <v>0</v>
      </c>
      <c r="Y34" s="1523">
        <f>Y14</f>
        <v>0</v>
      </c>
      <c r="AA34" s="1185"/>
    </row>
    <row r="35" spans="2:546" s="1184" customFormat="1" x14ac:dyDescent="0.25">
      <c r="B35" s="1533">
        <v>966</v>
      </c>
      <c r="C35" s="1568"/>
      <c r="D35" s="1573"/>
      <c r="E35" s="1574"/>
      <c r="F35" s="1523">
        <f t="shared" ref="F35:O35" si="7">F24+F26</f>
        <v>0</v>
      </c>
      <c r="G35" s="1523">
        <f t="shared" si="7"/>
        <v>0</v>
      </c>
      <c r="H35" s="1523">
        <f t="shared" si="7"/>
        <v>0</v>
      </c>
      <c r="I35" s="1523">
        <f t="shared" si="7"/>
        <v>0</v>
      </c>
      <c r="J35" s="1523">
        <f t="shared" si="7"/>
        <v>263.5</v>
      </c>
      <c r="K35" s="1523">
        <f t="shared" si="7"/>
        <v>0</v>
      </c>
      <c r="L35" s="1523">
        <f t="shared" si="7"/>
        <v>0</v>
      </c>
      <c r="M35" s="1523">
        <f t="shared" si="7"/>
        <v>0</v>
      </c>
      <c r="N35" s="1523">
        <f t="shared" si="7"/>
        <v>263.5</v>
      </c>
      <c r="O35" s="1523">
        <f t="shared" si="7"/>
        <v>0</v>
      </c>
      <c r="P35" s="1523"/>
      <c r="Q35" s="1523"/>
      <c r="R35" s="1523">
        <f>R24+R26</f>
        <v>188.6</v>
      </c>
      <c r="S35" s="1523">
        <f>S24+S26</f>
        <v>188.6</v>
      </c>
      <c r="T35" s="1523">
        <f>T24+T26</f>
        <v>0</v>
      </c>
      <c r="U35" s="1523">
        <f>U24+U26</f>
        <v>0</v>
      </c>
      <c r="V35" s="1523"/>
      <c r="W35" s="1523"/>
      <c r="X35" s="1523">
        <f>X24+X26</f>
        <v>188.6</v>
      </c>
      <c r="Y35" s="1523">
        <f>Y24+Y26</f>
        <v>188.6</v>
      </c>
      <c r="AA35" s="1185"/>
    </row>
    <row r="36" spans="2:546" s="1184" customFormat="1" x14ac:dyDescent="0.25">
      <c r="B36" s="1533">
        <v>981</v>
      </c>
      <c r="C36" s="1568"/>
      <c r="D36" s="1573"/>
      <c r="E36" s="1574"/>
      <c r="F36" s="1523">
        <f t="shared" ref="F36:O36" si="8">F18</f>
        <v>3.8</v>
      </c>
      <c r="G36" s="1523">
        <f t="shared" si="8"/>
        <v>0</v>
      </c>
      <c r="H36" s="1523">
        <f t="shared" si="8"/>
        <v>0</v>
      </c>
      <c r="I36" s="1523">
        <f t="shared" si="8"/>
        <v>0</v>
      </c>
      <c r="J36" s="1523">
        <f t="shared" si="8"/>
        <v>5.6</v>
      </c>
      <c r="K36" s="1523">
        <f t="shared" si="8"/>
        <v>0</v>
      </c>
      <c r="L36" s="1523">
        <f t="shared" si="8"/>
        <v>0</v>
      </c>
      <c r="M36" s="1523">
        <f t="shared" si="8"/>
        <v>0</v>
      </c>
      <c r="N36" s="1523">
        <f t="shared" si="8"/>
        <v>5.6</v>
      </c>
      <c r="O36" s="1523">
        <f t="shared" si="8"/>
        <v>0</v>
      </c>
      <c r="P36" s="1523"/>
      <c r="Q36" s="1523"/>
      <c r="R36" s="1523">
        <f>R18</f>
        <v>184.1</v>
      </c>
      <c r="S36" s="1523">
        <f>S18</f>
        <v>184.1</v>
      </c>
      <c r="T36" s="1523">
        <f>T18</f>
        <v>0</v>
      </c>
      <c r="U36" s="1523">
        <f>U18</f>
        <v>10</v>
      </c>
      <c r="V36" s="1523"/>
      <c r="W36" s="1523"/>
      <c r="X36" s="1523">
        <f>X18</f>
        <v>184.1</v>
      </c>
      <c r="Y36" s="1523">
        <f>Y18</f>
        <v>184.1</v>
      </c>
      <c r="AA36" s="1185"/>
    </row>
    <row r="37" spans="2:546" x14ac:dyDescent="0.25">
      <c r="D37" s="1576"/>
      <c r="E37" s="1577"/>
      <c r="F37" s="1220"/>
      <c r="G37" s="1220"/>
      <c r="H37" s="1220"/>
      <c r="I37" s="1220"/>
      <c r="J37" s="1220"/>
      <c r="K37" s="1220"/>
      <c r="L37" s="1220"/>
      <c r="M37" s="1220"/>
      <c r="N37" s="1220"/>
      <c r="O37" s="1220"/>
      <c r="P37" s="1220"/>
      <c r="Q37" s="1220"/>
      <c r="R37" s="1220"/>
      <c r="S37" s="1220"/>
      <c r="T37" s="1220"/>
      <c r="U37" s="1220"/>
      <c r="V37" s="1220"/>
      <c r="W37" s="1220"/>
      <c r="X37" s="1220"/>
      <c r="Y37" s="1220"/>
    </row>
    <row r="38" spans="2:546" s="1184" customFormat="1" hidden="1" x14ac:dyDescent="0.25">
      <c r="B38" s="1533">
        <v>912</v>
      </c>
      <c r="C38" s="1568"/>
      <c r="D38" s="1569"/>
      <c r="E38" s="1570"/>
      <c r="F38" s="1578" t="e">
        <f>#REF!+#REF!+#REF!</f>
        <v>#REF!</v>
      </c>
      <c r="G38" s="1578" t="e">
        <f>#REF!+#REF!+#REF!</f>
        <v>#REF!</v>
      </c>
      <c r="H38" s="1578" t="e">
        <f>#REF!+#REF!+#REF!</f>
        <v>#REF!</v>
      </c>
      <c r="I38" s="1578" t="e">
        <f>#REF!+#REF!+#REF!</f>
        <v>#REF!</v>
      </c>
      <c r="J38" s="1578" t="e">
        <f>#REF!+#REF!+#REF!</f>
        <v>#REF!</v>
      </c>
      <c r="K38" s="1578" t="e">
        <f>#REF!+#REF!+#REF!</f>
        <v>#REF!</v>
      </c>
      <c r="L38" s="1578" t="e">
        <f>#REF!+#REF!+#REF!</f>
        <v>#REF!</v>
      </c>
      <c r="M38" s="1578" t="e">
        <f>#REF!+#REF!+#REF!</f>
        <v>#REF!</v>
      </c>
      <c r="N38" s="1578" t="e">
        <f>#REF!+#REF!+#REF!</f>
        <v>#REF!</v>
      </c>
      <c r="O38" s="1578" t="e">
        <f>#REF!+#REF!+#REF!</f>
        <v>#REF!</v>
      </c>
      <c r="P38" s="1578" t="e">
        <f>#REF!+#REF!+#REF!</f>
        <v>#REF!</v>
      </c>
      <c r="Q38" s="1578" t="e">
        <f>#REF!+#REF!+#REF!</f>
        <v>#REF!</v>
      </c>
      <c r="R38" s="1578" t="e">
        <f>#REF!+#REF!+#REF!</f>
        <v>#REF!</v>
      </c>
      <c r="S38" s="1578"/>
      <c r="T38" s="1578"/>
      <c r="U38" s="1578" t="e">
        <f>#REF!+#REF!+#REF!</f>
        <v>#REF!</v>
      </c>
      <c r="V38" s="1578" t="e">
        <f>#REF!+#REF!+#REF!</f>
        <v>#REF!</v>
      </c>
      <c r="W38" s="1578" t="e">
        <f>#REF!+#REF!+#REF!</f>
        <v>#REF!</v>
      </c>
      <c r="X38" s="1578" t="e">
        <f>#REF!+#REF!+#REF!</f>
        <v>#REF!</v>
      </c>
      <c r="Y38" s="1578" t="e">
        <f>#REF!+#REF!+#REF!</f>
        <v>#REF!</v>
      </c>
      <c r="AA38" s="1185"/>
    </row>
    <row r="39" spans="2:546" s="1184" customFormat="1" hidden="1" x14ac:dyDescent="0.25">
      <c r="B39" s="1533">
        <v>921</v>
      </c>
      <c r="C39" s="1568"/>
      <c r="D39" s="1569"/>
      <c r="E39" s="1570"/>
      <c r="F39" s="1578" t="e">
        <f>F32+#REF!+#REF!+#REF!</f>
        <v>#REF!</v>
      </c>
      <c r="G39" s="1578" t="e">
        <f>G32+#REF!+#REF!+#REF!</f>
        <v>#REF!</v>
      </c>
      <c r="H39" s="1578" t="e">
        <f>H32+#REF!+#REF!+#REF!</f>
        <v>#REF!</v>
      </c>
      <c r="I39" s="1578" t="e">
        <f>I32+#REF!+#REF!+#REF!</f>
        <v>#REF!</v>
      </c>
      <c r="J39" s="1578" t="e">
        <f>J32+#REF!+#REF!+#REF!</f>
        <v>#REF!</v>
      </c>
      <c r="K39" s="1578" t="e">
        <f>K32+#REF!+#REF!+#REF!</f>
        <v>#REF!</v>
      </c>
      <c r="L39" s="1578" t="e">
        <f>L32+#REF!+#REF!+#REF!</f>
        <v>#REF!</v>
      </c>
      <c r="M39" s="1578" t="e">
        <f>M32+#REF!+#REF!+#REF!</f>
        <v>#REF!</v>
      </c>
      <c r="N39" s="1578" t="e">
        <f>N32+#REF!+#REF!+#REF!</f>
        <v>#REF!</v>
      </c>
      <c r="O39" s="1578" t="e">
        <f>O32+#REF!+#REF!+#REF!</f>
        <v>#REF!</v>
      </c>
      <c r="P39" s="1578" t="e">
        <f>P32+#REF!+#REF!+#REF!</f>
        <v>#REF!</v>
      </c>
      <c r="Q39" s="1578" t="e">
        <f>Q32+#REF!+#REF!+#REF!</f>
        <v>#REF!</v>
      </c>
      <c r="R39" s="1578" t="e">
        <f>R32+#REF!+#REF!+#REF!</f>
        <v>#REF!</v>
      </c>
      <c r="S39" s="1578"/>
      <c r="T39" s="1578"/>
      <c r="U39" s="1578" t="e">
        <f>U32+#REF!+#REF!+#REF!</f>
        <v>#REF!</v>
      </c>
      <c r="V39" s="1578" t="e">
        <f>V32+#REF!+#REF!+#REF!</f>
        <v>#REF!</v>
      </c>
      <c r="W39" s="1578" t="e">
        <f>W32+#REF!+#REF!+#REF!</f>
        <v>#REF!</v>
      </c>
      <c r="X39" s="1578" t="e">
        <f>X32+#REF!+#REF!+#REF!</f>
        <v>#REF!</v>
      </c>
      <c r="Y39" s="1578" t="e">
        <f>Y32+#REF!+#REF!+#REF!</f>
        <v>#REF!</v>
      </c>
      <c r="AA39" s="1185"/>
    </row>
    <row r="40" spans="2:546" s="1184" customFormat="1" hidden="1" x14ac:dyDescent="0.25">
      <c r="B40" s="1533">
        <v>922</v>
      </c>
      <c r="C40" s="1568"/>
      <c r="D40" s="1569"/>
      <c r="E40" s="1570"/>
      <c r="F40" s="1578" t="e">
        <f>#REF!+#REF!+#REF!+#REF!</f>
        <v>#REF!</v>
      </c>
      <c r="G40" s="1578" t="e">
        <f>#REF!+#REF!+#REF!+#REF!</f>
        <v>#REF!</v>
      </c>
      <c r="H40" s="1578" t="e">
        <f>#REF!+#REF!+#REF!+#REF!</f>
        <v>#REF!</v>
      </c>
      <c r="I40" s="1578" t="e">
        <f>#REF!+#REF!+#REF!+#REF!</f>
        <v>#REF!</v>
      </c>
      <c r="J40" s="1578" t="e">
        <f>#REF!+#REF!+#REF!+#REF!</f>
        <v>#REF!</v>
      </c>
      <c r="K40" s="1578" t="e">
        <f>#REF!+#REF!+#REF!+#REF!</f>
        <v>#REF!</v>
      </c>
      <c r="L40" s="1578" t="e">
        <f>#REF!+#REF!+#REF!+#REF!</f>
        <v>#REF!</v>
      </c>
      <c r="M40" s="1578" t="e">
        <f>#REF!+#REF!+#REF!+#REF!</f>
        <v>#REF!</v>
      </c>
      <c r="N40" s="1578" t="e">
        <f>#REF!+#REF!+#REF!+#REF!</f>
        <v>#REF!</v>
      </c>
      <c r="O40" s="1578" t="e">
        <f>#REF!+#REF!+#REF!+#REF!</f>
        <v>#REF!</v>
      </c>
      <c r="P40" s="1578" t="e">
        <f>#REF!+#REF!+#REF!+#REF!</f>
        <v>#REF!</v>
      </c>
      <c r="Q40" s="1578" t="e">
        <f>#REF!+#REF!+#REF!+#REF!</f>
        <v>#REF!</v>
      </c>
      <c r="R40" s="1578" t="e">
        <f>#REF!+#REF!+#REF!+#REF!</f>
        <v>#REF!</v>
      </c>
      <c r="S40" s="1578"/>
      <c r="T40" s="1578"/>
      <c r="U40" s="1578" t="e">
        <f>#REF!+#REF!+#REF!+#REF!</f>
        <v>#REF!</v>
      </c>
      <c r="V40" s="1578" t="e">
        <f>#REF!+#REF!+#REF!+#REF!</f>
        <v>#REF!</v>
      </c>
      <c r="W40" s="1578" t="e">
        <f>#REF!+#REF!+#REF!+#REF!</f>
        <v>#REF!</v>
      </c>
      <c r="X40" s="1578" t="e">
        <f>#REF!+#REF!+#REF!+#REF!</f>
        <v>#REF!</v>
      </c>
      <c r="Y40" s="1578" t="e">
        <f>#REF!+#REF!+#REF!+#REF!</f>
        <v>#REF!</v>
      </c>
      <c r="AA40" s="1185"/>
    </row>
    <row r="41" spans="2:546" s="1184" customFormat="1" hidden="1" x14ac:dyDescent="0.25">
      <c r="B41" s="1533">
        <v>925</v>
      </c>
      <c r="C41" s="1568"/>
      <c r="D41" s="1569"/>
      <c r="E41" s="1570"/>
      <c r="F41" s="1578" t="e">
        <f>#REF!</f>
        <v>#REF!</v>
      </c>
      <c r="G41" s="1578" t="e">
        <f>#REF!</f>
        <v>#REF!</v>
      </c>
      <c r="H41" s="1578" t="e">
        <f>#REF!</f>
        <v>#REF!</v>
      </c>
      <c r="I41" s="1578" t="e">
        <f>#REF!</f>
        <v>#REF!</v>
      </c>
      <c r="J41" s="1578" t="e">
        <f>#REF!</f>
        <v>#REF!</v>
      </c>
      <c r="K41" s="1578" t="e">
        <f>#REF!</f>
        <v>#REF!</v>
      </c>
      <c r="L41" s="1578" t="e">
        <f>#REF!</f>
        <v>#REF!</v>
      </c>
      <c r="M41" s="1578" t="e">
        <f>#REF!</f>
        <v>#REF!</v>
      </c>
      <c r="N41" s="1578" t="e">
        <f>#REF!</f>
        <v>#REF!</v>
      </c>
      <c r="O41" s="1578" t="e">
        <f>#REF!</f>
        <v>#REF!</v>
      </c>
      <c r="P41" s="1578" t="e">
        <f>#REF!</f>
        <v>#REF!</v>
      </c>
      <c r="Q41" s="1578" t="e">
        <f>#REF!</f>
        <v>#REF!</v>
      </c>
      <c r="R41" s="1578" t="e">
        <f>#REF!</f>
        <v>#REF!</v>
      </c>
      <c r="S41" s="1578"/>
      <c r="T41" s="1578"/>
      <c r="U41" s="1578" t="e">
        <f>#REF!</f>
        <v>#REF!</v>
      </c>
      <c r="V41" s="1578" t="e">
        <f>#REF!</f>
        <v>#REF!</v>
      </c>
      <c r="W41" s="1578" t="e">
        <f>#REF!</f>
        <v>#REF!</v>
      </c>
      <c r="X41" s="1578" t="e">
        <f>#REF!</f>
        <v>#REF!</v>
      </c>
      <c r="Y41" s="1578" t="e">
        <f>#REF!</f>
        <v>#REF!</v>
      </c>
      <c r="AA41" s="1185"/>
    </row>
    <row r="42" spans="2:546" s="1184" customFormat="1" hidden="1" x14ac:dyDescent="0.25">
      <c r="B42" s="1533">
        <v>926</v>
      </c>
      <c r="C42" s="1568"/>
      <c r="D42" s="1569"/>
      <c r="E42" s="1570"/>
      <c r="F42" s="1578" t="e">
        <f>#REF!</f>
        <v>#REF!</v>
      </c>
      <c r="G42" s="1578" t="e">
        <f>#REF!</f>
        <v>#REF!</v>
      </c>
      <c r="H42" s="1578" t="e">
        <f>#REF!</f>
        <v>#REF!</v>
      </c>
      <c r="I42" s="1578" t="e">
        <f>#REF!</f>
        <v>#REF!</v>
      </c>
      <c r="J42" s="1578" t="e">
        <f>#REF!</f>
        <v>#REF!</v>
      </c>
      <c r="K42" s="1578" t="e">
        <f>#REF!</f>
        <v>#REF!</v>
      </c>
      <c r="L42" s="1578" t="e">
        <f>#REF!</f>
        <v>#REF!</v>
      </c>
      <c r="M42" s="1578" t="e">
        <f>#REF!</f>
        <v>#REF!</v>
      </c>
      <c r="N42" s="1578" t="e">
        <f>#REF!</f>
        <v>#REF!</v>
      </c>
      <c r="O42" s="1578" t="e">
        <f>#REF!</f>
        <v>#REF!</v>
      </c>
      <c r="P42" s="1578" t="e">
        <f>#REF!</f>
        <v>#REF!</v>
      </c>
      <c r="Q42" s="1578" t="e">
        <f>#REF!</f>
        <v>#REF!</v>
      </c>
      <c r="R42" s="1578" t="e">
        <f>#REF!</f>
        <v>#REF!</v>
      </c>
      <c r="S42" s="1578"/>
      <c r="T42" s="1578"/>
      <c r="U42" s="1578" t="e">
        <f>#REF!</f>
        <v>#REF!</v>
      </c>
      <c r="V42" s="1578" t="e">
        <f>#REF!</f>
        <v>#REF!</v>
      </c>
      <c r="W42" s="1578" t="e">
        <f>#REF!</f>
        <v>#REF!</v>
      </c>
      <c r="X42" s="1578" t="e">
        <f>#REF!</f>
        <v>#REF!</v>
      </c>
      <c r="Y42" s="1578" t="e">
        <f>#REF!</f>
        <v>#REF!</v>
      </c>
      <c r="AA42" s="1185"/>
    </row>
    <row r="43" spans="2:546" s="1184" customFormat="1" hidden="1" x14ac:dyDescent="0.25">
      <c r="B43" s="1533">
        <v>951</v>
      </c>
      <c r="C43" s="1568"/>
      <c r="D43" s="1569"/>
      <c r="E43" s="1570"/>
      <c r="F43" s="1578" t="e">
        <f>#REF!</f>
        <v>#REF!</v>
      </c>
      <c r="G43" s="1578" t="e">
        <f>#REF!</f>
        <v>#REF!</v>
      </c>
      <c r="H43" s="1578" t="e">
        <f>#REF!</f>
        <v>#REF!</v>
      </c>
      <c r="I43" s="1578" t="e">
        <f>#REF!</f>
        <v>#REF!</v>
      </c>
      <c r="J43" s="1578" t="e">
        <f>#REF!</f>
        <v>#REF!</v>
      </c>
      <c r="K43" s="1578" t="e">
        <f>#REF!</f>
        <v>#REF!</v>
      </c>
      <c r="L43" s="1578" t="e">
        <f>#REF!</f>
        <v>#REF!</v>
      </c>
      <c r="M43" s="1578" t="e">
        <f>#REF!</f>
        <v>#REF!</v>
      </c>
      <c r="N43" s="1578" t="e">
        <f>#REF!</f>
        <v>#REF!</v>
      </c>
      <c r="O43" s="1578" t="e">
        <f>#REF!</f>
        <v>#REF!</v>
      </c>
      <c r="P43" s="1578" t="e">
        <f>#REF!</f>
        <v>#REF!</v>
      </c>
      <c r="Q43" s="1578" t="e">
        <f>#REF!</f>
        <v>#REF!</v>
      </c>
      <c r="R43" s="1578" t="e">
        <f>#REF!</f>
        <v>#REF!</v>
      </c>
      <c r="S43" s="1578"/>
      <c r="T43" s="1578"/>
      <c r="U43" s="1578" t="e">
        <f>#REF!</f>
        <v>#REF!</v>
      </c>
      <c r="V43" s="1578" t="e">
        <f>#REF!</f>
        <v>#REF!</v>
      </c>
      <c r="W43" s="1578" t="e">
        <f>#REF!</f>
        <v>#REF!</v>
      </c>
      <c r="X43" s="1578" t="e">
        <f>#REF!</f>
        <v>#REF!</v>
      </c>
      <c r="Y43" s="1578" t="e">
        <f>#REF!</f>
        <v>#REF!</v>
      </c>
      <c r="AA43" s="1185"/>
    </row>
    <row r="44" spans="2:546" s="1184" customFormat="1" hidden="1" x14ac:dyDescent="0.25">
      <c r="B44" s="1533">
        <v>952</v>
      </c>
      <c r="C44" s="1568"/>
      <c r="D44" s="1569"/>
      <c r="E44" s="1570"/>
      <c r="F44" s="1578" t="e">
        <f>#REF!+#REF!+#REF!</f>
        <v>#REF!</v>
      </c>
      <c r="G44" s="1578" t="e">
        <f>#REF!+#REF!+#REF!</f>
        <v>#REF!</v>
      </c>
      <c r="H44" s="1578" t="e">
        <f>#REF!+#REF!+#REF!</f>
        <v>#REF!</v>
      </c>
      <c r="I44" s="1578" t="e">
        <f>#REF!+#REF!+#REF!</f>
        <v>#REF!</v>
      </c>
      <c r="J44" s="1578" t="e">
        <f>#REF!+#REF!+#REF!</f>
        <v>#REF!</v>
      </c>
      <c r="K44" s="1578" t="e">
        <f>#REF!+#REF!+#REF!</f>
        <v>#REF!</v>
      </c>
      <c r="L44" s="1578" t="e">
        <f>#REF!+#REF!+#REF!</f>
        <v>#REF!</v>
      </c>
      <c r="M44" s="1578" t="e">
        <f>#REF!+#REF!+#REF!</f>
        <v>#REF!</v>
      </c>
      <c r="N44" s="1578" t="e">
        <f>#REF!+#REF!+#REF!</f>
        <v>#REF!</v>
      </c>
      <c r="O44" s="1578" t="e">
        <f>#REF!+#REF!+#REF!</f>
        <v>#REF!</v>
      </c>
      <c r="P44" s="1578" t="e">
        <f>#REF!+#REF!+#REF!</f>
        <v>#REF!</v>
      </c>
      <c r="Q44" s="1578" t="e">
        <f>#REF!+#REF!+#REF!</f>
        <v>#REF!</v>
      </c>
      <c r="R44" s="1578" t="e">
        <f>#REF!+#REF!+#REF!</f>
        <v>#REF!</v>
      </c>
      <c r="S44" s="1578"/>
      <c r="T44" s="1578"/>
      <c r="U44" s="1578" t="e">
        <f>#REF!+#REF!+#REF!</f>
        <v>#REF!</v>
      </c>
      <c r="V44" s="1578" t="e">
        <f>#REF!+#REF!+#REF!</f>
        <v>#REF!</v>
      </c>
      <c r="W44" s="1578" t="e">
        <f>#REF!+#REF!+#REF!</f>
        <v>#REF!</v>
      </c>
      <c r="X44" s="1578" t="e">
        <f>#REF!+#REF!+#REF!</f>
        <v>#REF!</v>
      </c>
      <c r="Y44" s="1578" t="e">
        <f>#REF!+#REF!+#REF!</f>
        <v>#REF!</v>
      </c>
      <c r="AA44" s="1185"/>
    </row>
    <row r="45" spans="2:546" s="1184" customFormat="1" hidden="1" x14ac:dyDescent="0.25">
      <c r="B45" s="1533">
        <v>953</v>
      </c>
      <c r="C45" s="1568"/>
      <c r="D45" s="1569"/>
      <c r="E45" s="1570"/>
      <c r="F45" s="1578" t="e">
        <f>#REF!+#REF!</f>
        <v>#REF!</v>
      </c>
      <c r="G45" s="1578" t="e">
        <f>#REF!+#REF!</f>
        <v>#REF!</v>
      </c>
      <c r="H45" s="1578" t="e">
        <f>#REF!+#REF!</f>
        <v>#REF!</v>
      </c>
      <c r="I45" s="1578" t="e">
        <f>#REF!+#REF!</f>
        <v>#REF!</v>
      </c>
      <c r="J45" s="1578" t="e">
        <f>#REF!+#REF!</f>
        <v>#REF!</v>
      </c>
      <c r="K45" s="1578" t="e">
        <f>#REF!+#REF!</f>
        <v>#REF!</v>
      </c>
      <c r="L45" s="1578" t="e">
        <f>#REF!+#REF!</f>
        <v>#REF!</v>
      </c>
      <c r="M45" s="1578" t="e">
        <f>#REF!+#REF!</f>
        <v>#REF!</v>
      </c>
      <c r="N45" s="1578" t="e">
        <f>#REF!+#REF!</f>
        <v>#REF!</v>
      </c>
      <c r="O45" s="1578" t="e">
        <f>#REF!+#REF!</f>
        <v>#REF!</v>
      </c>
      <c r="P45" s="1578" t="e">
        <f>#REF!+#REF!</f>
        <v>#REF!</v>
      </c>
      <c r="Q45" s="1578" t="e">
        <f>#REF!+#REF!</f>
        <v>#REF!</v>
      </c>
      <c r="R45" s="1578" t="e">
        <f>#REF!+#REF!</f>
        <v>#REF!</v>
      </c>
      <c r="S45" s="1578"/>
      <c r="T45" s="1578"/>
      <c r="U45" s="1578" t="e">
        <f>#REF!+#REF!</f>
        <v>#REF!</v>
      </c>
      <c r="V45" s="1578" t="e">
        <f>#REF!+#REF!</f>
        <v>#REF!</v>
      </c>
      <c r="W45" s="1578" t="e">
        <f>#REF!+#REF!</f>
        <v>#REF!</v>
      </c>
      <c r="X45" s="1578" t="e">
        <f>#REF!+#REF!</f>
        <v>#REF!</v>
      </c>
      <c r="Y45" s="1578" t="e">
        <f>#REF!+#REF!</f>
        <v>#REF!</v>
      </c>
      <c r="AA45" s="1185"/>
    </row>
    <row r="46" spans="2:546" s="1184" customFormat="1" hidden="1" x14ac:dyDescent="0.25">
      <c r="B46" s="1533">
        <v>954</v>
      </c>
      <c r="C46" s="1568"/>
      <c r="D46" s="1569"/>
      <c r="E46" s="1570"/>
      <c r="F46" s="1578" t="e">
        <f>#REF!+#REF!+#REF!+#REF!+#REF!+#REF!+#REF!</f>
        <v>#REF!</v>
      </c>
      <c r="G46" s="1578" t="e">
        <f>#REF!+#REF!+#REF!+#REF!+#REF!+#REF!+#REF!</f>
        <v>#REF!</v>
      </c>
      <c r="H46" s="1578" t="e">
        <f>#REF!+#REF!+#REF!+#REF!+#REF!+#REF!+#REF!</f>
        <v>#REF!</v>
      </c>
      <c r="I46" s="1578" t="e">
        <f>#REF!+#REF!+#REF!+#REF!+#REF!+#REF!+#REF!</f>
        <v>#REF!</v>
      </c>
      <c r="J46" s="1578" t="e">
        <f>#REF!+#REF!+#REF!+#REF!+#REF!+#REF!+#REF!</f>
        <v>#REF!</v>
      </c>
      <c r="K46" s="1578" t="e">
        <f>#REF!+#REF!+#REF!+#REF!+#REF!+#REF!+#REF!</f>
        <v>#REF!</v>
      </c>
      <c r="L46" s="1578" t="e">
        <f>#REF!+#REF!+#REF!+#REF!+#REF!+#REF!+#REF!</f>
        <v>#REF!</v>
      </c>
      <c r="M46" s="1578" t="e">
        <f>#REF!+#REF!+#REF!+#REF!+#REF!+#REF!+#REF!</f>
        <v>#REF!</v>
      </c>
      <c r="N46" s="1578" t="e">
        <f>#REF!+#REF!+#REF!+#REF!+#REF!+#REF!+#REF!</f>
        <v>#REF!</v>
      </c>
      <c r="O46" s="1578" t="e">
        <f>#REF!+#REF!+#REF!+#REF!+#REF!+#REF!+#REF!</f>
        <v>#REF!</v>
      </c>
      <c r="P46" s="1578" t="e">
        <f>#REF!+#REF!+#REF!+#REF!+#REF!+#REF!+#REF!</f>
        <v>#REF!</v>
      </c>
      <c r="Q46" s="1578" t="e">
        <f>#REF!+#REF!+#REF!+#REF!+#REF!+#REF!+#REF!</f>
        <v>#REF!</v>
      </c>
      <c r="R46" s="1578" t="e">
        <f>#REF!+#REF!+#REF!+#REF!+#REF!+#REF!+#REF!+R33</f>
        <v>#REF!</v>
      </c>
      <c r="S46" s="1578"/>
      <c r="T46" s="1578"/>
      <c r="U46" s="1578" t="e">
        <f>#REF!+#REF!+#REF!+#REF!+#REF!+#REF!+#REF!</f>
        <v>#REF!</v>
      </c>
      <c r="V46" s="1578" t="e">
        <f>#REF!+#REF!+#REF!+#REF!+#REF!+#REF!+#REF!</f>
        <v>#REF!</v>
      </c>
      <c r="W46" s="1578" t="e">
        <f>#REF!+#REF!+#REF!+#REF!+#REF!+#REF!+#REF!</f>
        <v>#REF!</v>
      </c>
      <c r="X46" s="1578" t="e">
        <f>#REF!+#REF!+#REF!+#REF!+#REF!+#REF!+#REF!+X33</f>
        <v>#REF!</v>
      </c>
      <c r="Y46" s="1578" t="e">
        <f>#REF!+#REF!+#REF!+#REF!+#REF!+#REF!+#REF!+Y33</f>
        <v>#REF!</v>
      </c>
      <c r="AA46" s="1185"/>
    </row>
    <row r="47" spans="2:546" s="1184" customFormat="1" hidden="1" x14ac:dyDescent="0.25">
      <c r="B47" s="1533">
        <v>955</v>
      </c>
      <c r="C47" s="1568"/>
      <c r="D47" s="1569"/>
      <c r="E47" s="1570"/>
      <c r="F47" s="1578" t="e">
        <f>F33+#REF!+#REF!+#REF!+#REF!+#REF!+#REF!</f>
        <v>#REF!</v>
      </c>
      <c r="G47" s="1578" t="e">
        <f>G33+#REF!+#REF!+#REF!+#REF!+#REF!+#REF!</f>
        <v>#REF!</v>
      </c>
      <c r="H47" s="1578" t="e">
        <f>H33+#REF!+#REF!+#REF!+#REF!+#REF!+#REF!</f>
        <v>#REF!</v>
      </c>
      <c r="I47" s="1578" t="e">
        <f>I33+#REF!+#REF!+#REF!+#REF!+#REF!+#REF!</f>
        <v>#REF!</v>
      </c>
      <c r="J47" s="1578" t="e">
        <f>J33+#REF!+#REF!+#REF!+#REF!+#REF!+#REF!</f>
        <v>#REF!</v>
      </c>
      <c r="K47" s="1578" t="e">
        <f>K33+#REF!+#REF!+#REF!+#REF!+#REF!+#REF!</f>
        <v>#REF!</v>
      </c>
      <c r="L47" s="1578" t="e">
        <f>L33+#REF!+#REF!+#REF!+#REF!+#REF!+#REF!</f>
        <v>#REF!</v>
      </c>
      <c r="M47" s="1578" t="e">
        <f>M33+#REF!+#REF!+#REF!+#REF!+#REF!+#REF!</f>
        <v>#REF!</v>
      </c>
      <c r="N47" s="1578" t="e">
        <f>N33+#REF!+#REF!+#REF!+#REF!+#REF!+#REF!</f>
        <v>#REF!</v>
      </c>
      <c r="O47" s="1578" t="e">
        <f>O33+#REF!+#REF!+#REF!+#REF!+#REF!+#REF!</f>
        <v>#REF!</v>
      </c>
      <c r="P47" s="1578" t="e">
        <f>P33+#REF!+#REF!+#REF!+#REF!+#REF!+#REF!</f>
        <v>#REF!</v>
      </c>
      <c r="Q47" s="1578" t="e">
        <f>Q33+#REF!+#REF!+#REF!+#REF!+#REF!+#REF!</f>
        <v>#REF!</v>
      </c>
      <c r="R47" s="1578" t="e">
        <f>R33+#REF!+#REF!+#REF!+#REF!+#REF!+#REF!</f>
        <v>#REF!</v>
      </c>
      <c r="S47" s="1578"/>
      <c r="T47" s="1578"/>
      <c r="U47" s="1578" t="e">
        <f>U33+#REF!+#REF!+#REF!+#REF!+#REF!+#REF!</f>
        <v>#REF!</v>
      </c>
      <c r="V47" s="1578" t="e">
        <f>V33+#REF!+#REF!+#REF!+#REF!+#REF!+#REF!</f>
        <v>#REF!</v>
      </c>
      <c r="W47" s="1578" t="e">
        <f>W33+#REF!+#REF!+#REF!+#REF!+#REF!+#REF!</f>
        <v>#REF!</v>
      </c>
      <c r="X47" s="1578" t="e">
        <f>#REF!+#REF!+#REF!+#REF!+#REF!+#REF!</f>
        <v>#REF!</v>
      </c>
      <c r="Y47" s="1578" t="e">
        <f>#REF!+#REF!+#REF!+#REF!+#REF!+#REF!</f>
        <v>#REF!</v>
      </c>
      <c r="AA47" s="1185"/>
    </row>
    <row r="48" spans="2:546" s="1184" customFormat="1" hidden="1" x14ac:dyDescent="0.25">
      <c r="B48" s="1533">
        <v>958</v>
      </c>
      <c r="C48" s="1568"/>
      <c r="D48" s="1569"/>
      <c r="E48" s="1570"/>
      <c r="F48" s="1578" t="e">
        <f>#REF!</f>
        <v>#REF!</v>
      </c>
      <c r="G48" s="1578" t="e">
        <f>#REF!</f>
        <v>#REF!</v>
      </c>
      <c r="H48" s="1578" t="e">
        <f>#REF!</f>
        <v>#REF!</v>
      </c>
      <c r="I48" s="1578" t="e">
        <f>#REF!</f>
        <v>#REF!</v>
      </c>
      <c r="J48" s="1578" t="e">
        <f>#REF!</f>
        <v>#REF!</v>
      </c>
      <c r="K48" s="1578" t="e">
        <f>#REF!</f>
        <v>#REF!</v>
      </c>
      <c r="L48" s="1578" t="e">
        <f>#REF!</f>
        <v>#REF!</v>
      </c>
      <c r="M48" s="1578" t="e">
        <f>#REF!</f>
        <v>#REF!</v>
      </c>
      <c r="N48" s="1578" t="e">
        <f>#REF!</f>
        <v>#REF!</v>
      </c>
      <c r="O48" s="1578" t="e">
        <f>#REF!</f>
        <v>#REF!</v>
      </c>
      <c r="P48" s="1578" t="e">
        <f>#REF!</f>
        <v>#REF!</v>
      </c>
      <c r="Q48" s="1578" t="e">
        <f>#REF!</f>
        <v>#REF!</v>
      </c>
      <c r="R48" s="1578" t="e">
        <f>#REF!</f>
        <v>#REF!</v>
      </c>
      <c r="S48" s="1578"/>
      <c r="T48" s="1578"/>
      <c r="U48" s="1578" t="e">
        <f>#REF!</f>
        <v>#REF!</v>
      </c>
      <c r="V48" s="1578" t="e">
        <f>#REF!</f>
        <v>#REF!</v>
      </c>
      <c r="W48" s="1578" t="e">
        <f>#REF!</f>
        <v>#REF!</v>
      </c>
      <c r="X48" s="1578" t="e">
        <f>#REF!</f>
        <v>#REF!</v>
      </c>
      <c r="Y48" s="1578" t="e">
        <f>#REF!</f>
        <v>#REF!</v>
      </c>
      <c r="AA48" s="1185"/>
    </row>
    <row r="49" spans="2:27" s="1184" customFormat="1" hidden="1" x14ac:dyDescent="0.25">
      <c r="B49" s="1533">
        <v>963</v>
      </c>
      <c r="C49" s="1568"/>
      <c r="D49" s="1569"/>
      <c r="E49" s="1570"/>
      <c r="F49" s="1578" t="e">
        <f>#REF!+#REF!+F34+#REF!+#REF!+#REF!+#REF!+#REF!+#REF!+#REF!+#REF!+#REF!+#REF!</f>
        <v>#REF!</v>
      </c>
      <c r="G49" s="1578" t="e">
        <f>#REF!+#REF!+G34+#REF!+#REF!+#REF!+#REF!+#REF!+#REF!+#REF!+#REF!+#REF!+#REF!</f>
        <v>#REF!</v>
      </c>
      <c r="H49" s="1578" t="e">
        <f>#REF!+#REF!+H34+#REF!+#REF!+#REF!+#REF!+#REF!+#REF!+#REF!+#REF!+#REF!+#REF!</f>
        <v>#REF!</v>
      </c>
      <c r="I49" s="1578" t="e">
        <f>#REF!+#REF!+I34+#REF!+#REF!+#REF!+#REF!+#REF!+#REF!+#REF!+#REF!+#REF!+#REF!</f>
        <v>#REF!</v>
      </c>
      <c r="J49" s="1578" t="e">
        <f>#REF!+#REF!+J34+#REF!+#REF!+#REF!+#REF!+#REF!+#REF!+#REF!+#REF!+#REF!+#REF!</f>
        <v>#REF!</v>
      </c>
      <c r="K49" s="1578" t="e">
        <f>#REF!+#REF!+K34+#REF!+#REF!+#REF!+#REF!+#REF!+#REF!+#REF!+#REF!+#REF!+#REF!</f>
        <v>#REF!</v>
      </c>
      <c r="L49" s="1578" t="e">
        <f>#REF!+#REF!+L34+#REF!+#REF!+#REF!+#REF!+#REF!+#REF!+#REF!+#REF!+#REF!+#REF!</f>
        <v>#REF!</v>
      </c>
      <c r="M49" s="1578" t="e">
        <f>#REF!+#REF!+M34+#REF!+#REF!+#REF!+#REF!+#REF!+#REF!+#REF!+#REF!+#REF!+#REF!</f>
        <v>#REF!</v>
      </c>
      <c r="N49" s="1578" t="e">
        <f>#REF!+#REF!+N34+#REF!+#REF!+#REF!+#REF!+#REF!+#REF!+#REF!+#REF!+#REF!+#REF!</f>
        <v>#REF!</v>
      </c>
      <c r="O49" s="1578" t="e">
        <f>#REF!+#REF!+O34+#REF!+#REF!+#REF!+#REF!+#REF!+#REF!+#REF!+#REF!+#REF!+#REF!</f>
        <v>#REF!</v>
      </c>
      <c r="P49" s="1578" t="e">
        <f>#REF!+#REF!+P34+#REF!+#REF!+#REF!+#REF!+#REF!+#REF!+#REF!+#REF!+#REF!+#REF!</f>
        <v>#REF!</v>
      </c>
      <c r="Q49" s="1578" t="e">
        <f>#REF!+#REF!+Q34+#REF!+#REF!+#REF!+#REF!+#REF!+#REF!+#REF!+#REF!+#REF!+#REF!</f>
        <v>#REF!</v>
      </c>
      <c r="R49" s="1578" t="e">
        <f>#REF!+#REF!+R34+#REF!+#REF!+#REF!+#REF!+#REF!+#REF!+#REF!+#REF!+#REF!+#REF!</f>
        <v>#REF!</v>
      </c>
      <c r="S49" s="1578"/>
      <c r="T49" s="1578"/>
      <c r="U49" s="1578" t="e">
        <f>#REF!+#REF!+U34+#REF!+#REF!+#REF!+#REF!+#REF!+#REF!+#REF!+#REF!+#REF!+#REF!</f>
        <v>#REF!</v>
      </c>
      <c r="V49" s="1578" t="e">
        <f>#REF!+#REF!+V34+#REF!+#REF!+#REF!+#REF!+#REF!+#REF!+#REF!+#REF!+#REF!+#REF!</f>
        <v>#REF!</v>
      </c>
      <c r="W49" s="1578" t="e">
        <f>#REF!+#REF!+W34+#REF!+#REF!+#REF!+#REF!+#REF!+#REF!+#REF!+#REF!+#REF!+#REF!</f>
        <v>#REF!</v>
      </c>
      <c r="X49" s="1578" t="e">
        <f>#REF!+#REF!+X34+#REF!+#REF!+#REF!+#REF!+#REF!+#REF!+#REF!+#REF!+#REF!+#REF!</f>
        <v>#REF!</v>
      </c>
      <c r="Y49" s="1578" t="e">
        <f>#REF!+#REF!+Y34+#REF!+#REF!+#REF!+#REF!+#REF!+#REF!+#REF!+#REF!+#REF!+#REF!</f>
        <v>#REF!</v>
      </c>
      <c r="AA49" s="1185"/>
    </row>
    <row r="50" spans="2:27" s="1184" customFormat="1" hidden="1" x14ac:dyDescent="0.25">
      <c r="B50" s="1533">
        <v>966</v>
      </c>
      <c r="C50" s="1568"/>
      <c r="D50" s="1569"/>
      <c r="E50" s="1570"/>
      <c r="F50" s="1578" t="e">
        <f>F35+#REF!+#REF!+#REF!+#REF!+#REF!+#REF!</f>
        <v>#REF!</v>
      </c>
      <c r="G50" s="1578" t="e">
        <f>G35+#REF!+#REF!+#REF!+#REF!+#REF!+#REF!</f>
        <v>#REF!</v>
      </c>
      <c r="H50" s="1578" t="e">
        <f>H35+#REF!+#REF!+#REF!+#REF!+#REF!+#REF!</f>
        <v>#REF!</v>
      </c>
      <c r="I50" s="1578" t="e">
        <f>I35+#REF!+#REF!+#REF!+#REF!+#REF!+#REF!</f>
        <v>#REF!</v>
      </c>
      <c r="J50" s="1578" t="e">
        <f>J35+#REF!+#REF!+#REF!+#REF!+#REF!+#REF!</f>
        <v>#REF!</v>
      </c>
      <c r="K50" s="1578" t="e">
        <f>K35+#REF!+#REF!+#REF!+#REF!+#REF!+#REF!</f>
        <v>#REF!</v>
      </c>
      <c r="L50" s="1578" t="e">
        <f>L35+#REF!+#REF!+#REF!+#REF!+#REF!+#REF!</f>
        <v>#REF!</v>
      </c>
      <c r="M50" s="1578" t="e">
        <f>M35+#REF!+#REF!+#REF!+#REF!+#REF!+#REF!</f>
        <v>#REF!</v>
      </c>
      <c r="N50" s="1578" t="e">
        <f>N35+#REF!+#REF!+#REF!+#REF!+#REF!+#REF!</f>
        <v>#REF!</v>
      </c>
      <c r="O50" s="1578" t="e">
        <f>O35+#REF!+#REF!+#REF!+#REF!+#REF!+#REF!</f>
        <v>#REF!</v>
      </c>
      <c r="P50" s="1578" t="e">
        <f>P35+#REF!+#REF!+#REF!+#REF!+#REF!+#REF!</f>
        <v>#REF!</v>
      </c>
      <c r="Q50" s="1578" t="e">
        <f>Q35+#REF!+#REF!+#REF!+#REF!+#REF!+#REF!</f>
        <v>#REF!</v>
      </c>
      <c r="R50" s="1578" t="e">
        <f>R35+#REF!+#REF!+#REF!+#REF!+#REF!+#REF!</f>
        <v>#REF!</v>
      </c>
      <c r="S50" s="1578"/>
      <c r="T50" s="1578"/>
      <c r="U50" s="1578" t="e">
        <f>U35+#REF!+#REF!+#REF!+#REF!+#REF!+#REF!</f>
        <v>#REF!</v>
      </c>
      <c r="V50" s="1578" t="e">
        <f>V35+#REF!+#REF!+#REF!+#REF!+#REF!+#REF!</f>
        <v>#REF!</v>
      </c>
      <c r="W50" s="1578" t="e">
        <f>W35+#REF!+#REF!+#REF!+#REF!+#REF!+#REF!</f>
        <v>#REF!</v>
      </c>
      <c r="X50" s="1578" t="e">
        <f>X35+#REF!+#REF!+#REF!+#REF!+#REF!+#REF!</f>
        <v>#REF!</v>
      </c>
      <c r="Y50" s="1578" t="e">
        <f>Y35+#REF!+#REF!+#REF!+#REF!+#REF!+#REF!</f>
        <v>#REF!</v>
      </c>
      <c r="AA50" s="1185"/>
    </row>
    <row r="51" spans="2:27" s="1184" customFormat="1" hidden="1" x14ac:dyDescent="0.25">
      <c r="B51" s="1533">
        <v>971</v>
      </c>
      <c r="C51" s="1568"/>
      <c r="D51" s="1569"/>
      <c r="E51" s="1570"/>
      <c r="F51" s="1578" t="e">
        <f>#REF!+#REF!+#REF!+#REF!+#REF!+#REF!</f>
        <v>#REF!</v>
      </c>
      <c r="G51" s="1578" t="e">
        <f>#REF!+#REF!+#REF!+#REF!+#REF!+#REF!</f>
        <v>#REF!</v>
      </c>
      <c r="H51" s="1578" t="e">
        <f>#REF!+#REF!+#REF!+#REF!+#REF!+#REF!</f>
        <v>#REF!</v>
      </c>
      <c r="I51" s="1578" t="e">
        <f>#REF!+#REF!+#REF!+#REF!+#REF!+#REF!</f>
        <v>#REF!</v>
      </c>
      <c r="J51" s="1578" t="e">
        <f>#REF!+#REF!+#REF!+#REF!+#REF!+#REF!</f>
        <v>#REF!</v>
      </c>
      <c r="K51" s="1578" t="e">
        <f>#REF!+#REF!+#REF!+#REF!+#REF!+#REF!</f>
        <v>#REF!</v>
      </c>
      <c r="L51" s="1578" t="e">
        <f>#REF!+#REF!+#REF!+#REF!+#REF!+#REF!</f>
        <v>#REF!</v>
      </c>
      <c r="M51" s="1578" t="e">
        <f>#REF!+#REF!+#REF!+#REF!+#REF!+#REF!</f>
        <v>#REF!</v>
      </c>
      <c r="N51" s="1578" t="e">
        <f>#REF!+#REF!+#REF!+#REF!+#REF!+#REF!</f>
        <v>#REF!</v>
      </c>
      <c r="O51" s="1578" t="e">
        <f>#REF!+#REF!+#REF!+#REF!+#REF!+#REF!</f>
        <v>#REF!</v>
      </c>
      <c r="P51" s="1578" t="e">
        <f>#REF!+#REF!+#REF!+#REF!+#REF!+#REF!</f>
        <v>#REF!</v>
      </c>
      <c r="Q51" s="1578" t="e">
        <f>#REF!+#REF!+#REF!+#REF!+#REF!+#REF!</f>
        <v>#REF!</v>
      </c>
      <c r="R51" s="1578" t="e">
        <f>#REF!+#REF!+#REF!+#REF!+#REF!+#REF!</f>
        <v>#REF!</v>
      </c>
      <c r="S51" s="1578"/>
      <c r="T51" s="1578"/>
      <c r="U51" s="1578" t="e">
        <f>#REF!+#REF!+#REF!+#REF!+#REF!+#REF!</f>
        <v>#REF!</v>
      </c>
      <c r="V51" s="1578" t="e">
        <f>#REF!+#REF!+#REF!+#REF!+#REF!+#REF!</f>
        <v>#REF!</v>
      </c>
      <c r="W51" s="1578" t="e">
        <f>#REF!+#REF!+#REF!+#REF!+#REF!+#REF!</f>
        <v>#REF!</v>
      </c>
      <c r="X51" s="1578" t="e">
        <f>#REF!+#REF!+#REF!+#REF!+#REF!+#REF!</f>
        <v>#REF!</v>
      </c>
      <c r="Y51" s="1578" t="e">
        <f>#REF!+#REF!+#REF!+#REF!+#REF!+#REF!</f>
        <v>#REF!</v>
      </c>
      <c r="AA51" s="1185"/>
    </row>
    <row r="52" spans="2:27" s="1184" customFormat="1" hidden="1" x14ac:dyDescent="0.25">
      <c r="B52" s="1533">
        <v>981</v>
      </c>
      <c r="C52" s="1568"/>
      <c r="D52" s="1569"/>
      <c r="E52" s="1570"/>
      <c r="F52" s="1578" t="e">
        <f>#REF!+F36+#REF!+#REF!+#REF!+#REF!+#REF!+#REF!+#REF!+#REF!+#REF!</f>
        <v>#REF!</v>
      </c>
      <c r="G52" s="1578" t="e">
        <f>#REF!+G36+#REF!+#REF!+#REF!+#REF!+#REF!+#REF!+#REF!+#REF!+#REF!</f>
        <v>#REF!</v>
      </c>
      <c r="H52" s="1578" t="e">
        <f>#REF!+H36+#REF!+#REF!+#REF!+#REF!+#REF!+#REF!+#REF!+#REF!+#REF!</f>
        <v>#REF!</v>
      </c>
      <c r="I52" s="1578" t="e">
        <f>#REF!+I36+#REF!+#REF!+#REF!+#REF!+#REF!+#REF!+#REF!+#REF!+#REF!</f>
        <v>#REF!</v>
      </c>
      <c r="J52" s="1578" t="e">
        <f>#REF!+J36+#REF!+#REF!+#REF!+#REF!+#REF!+#REF!+#REF!+#REF!+#REF!</f>
        <v>#REF!</v>
      </c>
      <c r="K52" s="1578" t="e">
        <f>#REF!+K36+#REF!+#REF!+#REF!+#REF!+#REF!+#REF!+#REF!+#REF!+#REF!</f>
        <v>#REF!</v>
      </c>
      <c r="L52" s="1578" t="e">
        <f>#REF!+L36+#REF!+#REF!+#REF!+#REF!+#REF!+#REF!+#REF!+#REF!+#REF!</f>
        <v>#REF!</v>
      </c>
      <c r="M52" s="1578" t="e">
        <f>#REF!+M36+#REF!+#REF!+#REF!+#REF!+#REF!+#REF!+#REF!+#REF!+#REF!</f>
        <v>#REF!</v>
      </c>
      <c r="N52" s="1578" t="e">
        <f>#REF!+N36+#REF!+#REF!+#REF!+#REF!+#REF!+#REF!+#REF!+#REF!+#REF!</f>
        <v>#REF!</v>
      </c>
      <c r="O52" s="1578" t="e">
        <f>#REF!+O36+#REF!+#REF!+#REF!+#REF!+#REF!+#REF!+#REF!+#REF!+#REF!</f>
        <v>#REF!</v>
      </c>
      <c r="P52" s="1578" t="e">
        <f>#REF!+P36+#REF!+#REF!+#REF!+#REF!+#REF!+#REF!+#REF!+#REF!+#REF!</f>
        <v>#REF!</v>
      </c>
      <c r="Q52" s="1578" t="e">
        <f>#REF!+Q36+#REF!+#REF!+#REF!+#REF!+#REF!+#REF!+#REF!+#REF!+#REF!</f>
        <v>#REF!</v>
      </c>
      <c r="R52" s="1578" t="e">
        <f>#REF!+R36+#REF!+#REF!+#REF!+#REF!+#REF!+#REF!+#REF!+#REF!+#REF!</f>
        <v>#REF!</v>
      </c>
      <c r="S52" s="1578"/>
      <c r="T52" s="1578"/>
      <c r="U52" s="1578" t="e">
        <f>#REF!+U36+#REF!+#REF!+#REF!+#REF!+#REF!+#REF!+#REF!+#REF!+#REF!</f>
        <v>#REF!</v>
      </c>
      <c r="V52" s="1578" t="e">
        <f>#REF!+V36+#REF!+#REF!+#REF!+#REF!+#REF!+#REF!+#REF!+#REF!+#REF!</f>
        <v>#REF!</v>
      </c>
      <c r="W52" s="1578" t="e">
        <f>#REF!+W36+#REF!+#REF!+#REF!+#REF!+#REF!+#REF!+#REF!+#REF!+#REF!</f>
        <v>#REF!</v>
      </c>
      <c r="X52" s="1578" t="e">
        <f>#REF!+X36+#REF!+#REF!+#REF!+#REF!+#REF!+#REF!+#REF!+#REF!+#REF!</f>
        <v>#REF!</v>
      </c>
      <c r="Y52" s="1578" t="e">
        <f>#REF!+Y36+#REF!+#REF!+#REF!+#REF!+#REF!+#REF!+#REF!+#REF!+#REF!</f>
        <v>#REF!</v>
      </c>
      <c r="AA52" s="1185"/>
    </row>
    <row r="53" spans="2:27" s="1184" customFormat="1" hidden="1" x14ac:dyDescent="0.25">
      <c r="B53" s="1533">
        <v>982</v>
      </c>
      <c r="C53" s="1568"/>
      <c r="D53" s="1569"/>
      <c r="E53" s="1570"/>
      <c r="F53" s="1578" t="e">
        <f>#REF!</f>
        <v>#REF!</v>
      </c>
      <c r="G53" s="1578" t="e">
        <f>#REF!</f>
        <v>#REF!</v>
      </c>
      <c r="H53" s="1578" t="e">
        <f>#REF!</f>
        <v>#REF!</v>
      </c>
      <c r="I53" s="1578" t="e">
        <f>#REF!</f>
        <v>#REF!</v>
      </c>
      <c r="J53" s="1578" t="e">
        <f>#REF!</f>
        <v>#REF!</v>
      </c>
      <c r="K53" s="1578" t="e">
        <f>#REF!</f>
        <v>#REF!</v>
      </c>
      <c r="L53" s="1578" t="e">
        <f>#REF!</f>
        <v>#REF!</v>
      </c>
      <c r="M53" s="1578" t="e">
        <f>#REF!</f>
        <v>#REF!</v>
      </c>
      <c r="N53" s="1578" t="e">
        <f>#REF!</f>
        <v>#REF!</v>
      </c>
      <c r="O53" s="1578" t="e">
        <f>#REF!</f>
        <v>#REF!</v>
      </c>
      <c r="P53" s="1578" t="e">
        <f>#REF!</f>
        <v>#REF!</v>
      </c>
      <c r="Q53" s="1578" t="e">
        <f>#REF!</f>
        <v>#REF!</v>
      </c>
      <c r="R53" s="1578" t="e">
        <f>#REF!</f>
        <v>#REF!</v>
      </c>
      <c r="S53" s="1578"/>
      <c r="T53" s="1578"/>
      <c r="U53" s="1578" t="e">
        <f>#REF!</f>
        <v>#REF!</v>
      </c>
      <c r="V53" s="1578" t="e">
        <f>#REF!</f>
        <v>#REF!</v>
      </c>
      <c r="W53" s="1578" t="e">
        <f>#REF!</f>
        <v>#REF!</v>
      </c>
      <c r="X53" s="1578" t="e">
        <f>#REF!</f>
        <v>#REF!</v>
      </c>
      <c r="Y53" s="1578" t="e">
        <f>#REF!</f>
        <v>#REF!</v>
      </c>
      <c r="AA53" s="1185"/>
    </row>
    <row r="54" spans="2:27" s="1184" customFormat="1" hidden="1" x14ac:dyDescent="0.25">
      <c r="B54" s="1533">
        <v>983</v>
      </c>
      <c r="C54" s="1568"/>
      <c r="D54" s="1569"/>
      <c r="E54" s="1570"/>
      <c r="F54" s="1578" t="e">
        <f>#REF!+#REF!</f>
        <v>#REF!</v>
      </c>
      <c r="G54" s="1578" t="e">
        <f>#REF!+#REF!</f>
        <v>#REF!</v>
      </c>
      <c r="H54" s="1578" t="e">
        <f>#REF!+#REF!</f>
        <v>#REF!</v>
      </c>
      <c r="I54" s="1578" t="e">
        <f>#REF!+#REF!</f>
        <v>#REF!</v>
      </c>
      <c r="J54" s="1578" t="e">
        <f>#REF!+#REF!</f>
        <v>#REF!</v>
      </c>
      <c r="K54" s="1578" t="e">
        <f>#REF!+#REF!</f>
        <v>#REF!</v>
      </c>
      <c r="L54" s="1578" t="e">
        <f>#REF!+#REF!</f>
        <v>#REF!</v>
      </c>
      <c r="M54" s="1578" t="e">
        <f>#REF!+#REF!</f>
        <v>#REF!</v>
      </c>
      <c r="N54" s="1578" t="e">
        <f>#REF!+#REF!</f>
        <v>#REF!</v>
      </c>
      <c r="O54" s="1578" t="e">
        <f>#REF!+#REF!</f>
        <v>#REF!</v>
      </c>
      <c r="P54" s="1578" t="e">
        <f>#REF!+#REF!</f>
        <v>#REF!</v>
      </c>
      <c r="Q54" s="1578" t="e">
        <f>#REF!+#REF!</f>
        <v>#REF!</v>
      </c>
      <c r="R54" s="1578" t="e">
        <f>#REF!+#REF!</f>
        <v>#REF!</v>
      </c>
      <c r="S54" s="1578"/>
      <c r="T54" s="1578"/>
      <c r="U54" s="1578" t="e">
        <f>#REF!+#REF!</f>
        <v>#REF!</v>
      </c>
      <c r="V54" s="1578" t="e">
        <f>#REF!+#REF!</f>
        <v>#REF!</v>
      </c>
      <c r="W54" s="1578" t="e">
        <f>#REF!+#REF!</f>
        <v>#REF!</v>
      </c>
      <c r="X54" s="1578" t="e">
        <f>#REF!+#REF!</f>
        <v>#REF!</v>
      </c>
      <c r="Y54" s="1578" t="e">
        <f>#REF!+#REF!</f>
        <v>#REF!</v>
      </c>
      <c r="AA54" s="1185"/>
    </row>
    <row r="55" spans="2:27" s="1184" customFormat="1" hidden="1" x14ac:dyDescent="0.25">
      <c r="B55" s="1533">
        <v>985</v>
      </c>
      <c r="C55" s="1568"/>
      <c r="D55" s="1569"/>
      <c r="E55" s="1570"/>
      <c r="F55" s="1578" t="e">
        <f>#REF!+#REF!+#REF!+#REF!</f>
        <v>#REF!</v>
      </c>
      <c r="G55" s="1578" t="e">
        <f>#REF!+#REF!+#REF!+#REF!</f>
        <v>#REF!</v>
      </c>
      <c r="H55" s="1578" t="e">
        <f>#REF!+#REF!+#REF!+#REF!</f>
        <v>#REF!</v>
      </c>
      <c r="I55" s="1578" t="e">
        <f>#REF!+#REF!+#REF!+#REF!</f>
        <v>#REF!</v>
      </c>
      <c r="J55" s="1578" t="e">
        <f>#REF!+#REF!+#REF!+#REF!</f>
        <v>#REF!</v>
      </c>
      <c r="K55" s="1578" t="e">
        <f>#REF!+#REF!+#REF!+#REF!</f>
        <v>#REF!</v>
      </c>
      <c r="L55" s="1578" t="e">
        <f>#REF!+#REF!+#REF!+#REF!</f>
        <v>#REF!</v>
      </c>
      <c r="M55" s="1578" t="e">
        <f>#REF!+#REF!+#REF!+#REF!</f>
        <v>#REF!</v>
      </c>
      <c r="N55" s="1578" t="e">
        <f>#REF!+#REF!+#REF!+#REF!</f>
        <v>#REF!</v>
      </c>
      <c r="O55" s="1578" t="e">
        <f>#REF!+#REF!+#REF!+#REF!</f>
        <v>#REF!</v>
      </c>
      <c r="P55" s="1578" t="e">
        <f>#REF!+#REF!+#REF!+#REF!</f>
        <v>#REF!</v>
      </c>
      <c r="Q55" s="1578" t="e">
        <f>#REF!+#REF!+#REF!+#REF!</f>
        <v>#REF!</v>
      </c>
      <c r="R55" s="1578" t="e">
        <f>#REF!+#REF!+#REF!+#REF!</f>
        <v>#REF!</v>
      </c>
      <c r="S55" s="1578"/>
      <c r="T55" s="1578"/>
      <c r="U55" s="1578" t="e">
        <f>#REF!+#REF!+#REF!+#REF!</f>
        <v>#REF!</v>
      </c>
      <c r="V55" s="1578" t="e">
        <f>#REF!+#REF!+#REF!+#REF!</f>
        <v>#REF!</v>
      </c>
      <c r="W55" s="1578" t="e">
        <f>#REF!+#REF!+#REF!+#REF!</f>
        <v>#REF!</v>
      </c>
      <c r="X55" s="1578" t="e">
        <f>#REF!+#REF!+#REF!+#REF!</f>
        <v>#REF!</v>
      </c>
      <c r="Y55" s="1578" t="e">
        <f>#REF!+#REF!+#REF!+#REF!</f>
        <v>#REF!</v>
      </c>
      <c r="AA55" s="1185"/>
    </row>
    <row r="56" spans="2:27" s="1184" customFormat="1" hidden="1" x14ac:dyDescent="0.25">
      <c r="B56" s="1533">
        <v>986</v>
      </c>
      <c r="C56" s="1568"/>
      <c r="D56" s="1569"/>
      <c r="E56" s="1570"/>
      <c r="F56" s="1578" t="e">
        <f>#REF!</f>
        <v>#REF!</v>
      </c>
      <c r="G56" s="1578" t="e">
        <f>#REF!</f>
        <v>#REF!</v>
      </c>
      <c r="H56" s="1578" t="e">
        <f>#REF!</f>
        <v>#REF!</v>
      </c>
      <c r="I56" s="1578" t="e">
        <f>#REF!</f>
        <v>#REF!</v>
      </c>
      <c r="J56" s="1578" t="e">
        <f>#REF!</f>
        <v>#REF!</v>
      </c>
      <c r="K56" s="1578" t="e">
        <f>#REF!</f>
        <v>#REF!</v>
      </c>
      <c r="L56" s="1578" t="e">
        <f>#REF!</f>
        <v>#REF!</v>
      </c>
      <c r="M56" s="1578" t="e">
        <f>#REF!</f>
        <v>#REF!</v>
      </c>
      <c r="N56" s="1578" t="e">
        <f>#REF!</f>
        <v>#REF!</v>
      </c>
      <c r="O56" s="1578" t="e">
        <f>#REF!</f>
        <v>#REF!</v>
      </c>
      <c r="P56" s="1578" t="e">
        <f>#REF!</f>
        <v>#REF!</v>
      </c>
      <c r="Q56" s="1578" t="e">
        <f>#REF!</f>
        <v>#REF!</v>
      </c>
      <c r="R56" s="1578" t="e">
        <f>#REF!</f>
        <v>#REF!</v>
      </c>
      <c r="S56" s="1578"/>
      <c r="T56" s="1578"/>
      <c r="U56" s="1578" t="e">
        <f>#REF!</f>
        <v>#REF!</v>
      </c>
      <c r="V56" s="1578" t="e">
        <f>#REF!</f>
        <v>#REF!</v>
      </c>
      <c r="W56" s="1578" t="e">
        <f>#REF!</f>
        <v>#REF!</v>
      </c>
      <c r="X56" s="1578" t="e">
        <f>#REF!</f>
        <v>#REF!</v>
      </c>
      <c r="Y56" s="1578" t="e">
        <f>#REF!</f>
        <v>#REF!</v>
      </c>
      <c r="AA56" s="1185"/>
    </row>
    <row r="57" spans="2:27" s="1184" customFormat="1" hidden="1" x14ac:dyDescent="0.25">
      <c r="B57" s="1500"/>
      <c r="C57" s="1185"/>
      <c r="D57" s="1222"/>
      <c r="E57" s="1579"/>
      <c r="F57" s="1186" t="e">
        <f>SUM(F38:F56)</f>
        <v>#REF!</v>
      </c>
      <c r="G57" s="1186" t="e">
        <f t="shared" ref="G57:Y57" si="9">SUM(G38:G56)</f>
        <v>#REF!</v>
      </c>
      <c r="H57" s="1186" t="e">
        <f t="shared" si="9"/>
        <v>#REF!</v>
      </c>
      <c r="I57" s="1186" t="e">
        <f t="shared" si="9"/>
        <v>#REF!</v>
      </c>
      <c r="J57" s="1186" t="e">
        <f t="shared" si="9"/>
        <v>#REF!</v>
      </c>
      <c r="K57" s="1186" t="e">
        <f t="shared" si="9"/>
        <v>#REF!</v>
      </c>
      <c r="L57" s="1186" t="e">
        <f t="shared" si="9"/>
        <v>#REF!</v>
      </c>
      <c r="M57" s="1186" t="e">
        <f t="shared" si="9"/>
        <v>#REF!</v>
      </c>
      <c r="N57" s="1186" t="e">
        <f t="shared" si="9"/>
        <v>#REF!</v>
      </c>
      <c r="O57" s="1186" t="e">
        <f t="shared" si="9"/>
        <v>#REF!</v>
      </c>
      <c r="P57" s="1186" t="e">
        <f t="shared" si="9"/>
        <v>#REF!</v>
      </c>
      <c r="Q57" s="1186" t="e">
        <f t="shared" si="9"/>
        <v>#REF!</v>
      </c>
      <c r="R57" s="1186" t="e">
        <f>SUM(R38:R56)</f>
        <v>#REF!</v>
      </c>
      <c r="S57" s="1186"/>
      <c r="T57" s="1186"/>
      <c r="U57" s="1186" t="e">
        <f t="shared" si="9"/>
        <v>#REF!</v>
      </c>
      <c r="V57" s="1186" t="e">
        <f t="shared" si="9"/>
        <v>#REF!</v>
      </c>
      <c r="W57" s="1186" t="e">
        <f t="shared" si="9"/>
        <v>#REF!</v>
      </c>
      <c r="X57" s="1186" t="e">
        <f t="shared" si="9"/>
        <v>#REF!</v>
      </c>
      <c r="Y57" s="1186" t="e">
        <f t="shared" si="9"/>
        <v>#REF!</v>
      </c>
      <c r="AA57" s="1185"/>
    </row>
    <row r="58" spans="2:27" s="1184" customFormat="1" hidden="1" x14ac:dyDescent="0.25">
      <c r="B58" s="1500"/>
      <c r="C58" s="1185"/>
      <c r="D58" s="1222"/>
      <c r="E58" s="1579"/>
      <c r="F58" s="1186" t="e">
        <f>#REF!-F57</f>
        <v>#REF!</v>
      </c>
      <c r="G58" s="1186" t="e">
        <f>#REF!-G57</f>
        <v>#REF!</v>
      </c>
      <c r="H58" s="1186" t="e">
        <f>#REF!-H57</f>
        <v>#REF!</v>
      </c>
      <c r="I58" s="1186" t="e">
        <f>#REF!-I57</f>
        <v>#REF!</v>
      </c>
      <c r="J58" s="1186" t="e">
        <f>#REF!-J57</f>
        <v>#REF!</v>
      </c>
      <c r="K58" s="1186" t="e">
        <f>#REF!-K57</f>
        <v>#REF!</v>
      </c>
      <c r="L58" s="1186" t="e">
        <f>#REF!-L57</f>
        <v>#REF!</v>
      </c>
      <c r="M58" s="1186" t="e">
        <f>#REF!-M57</f>
        <v>#REF!</v>
      </c>
      <c r="N58" s="1186" t="e">
        <f>#REF!-N57</f>
        <v>#REF!</v>
      </c>
      <c r="O58" s="1186" t="e">
        <f>#REF!-O57</f>
        <v>#REF!</v>
      </c>
      <c r="P58" s="1186" t="e">
        <f>#REF!-P57</f>
        <v>#REF!</v>
      </c>
      <c r="Q58" s="1186" t="e">
        <f>#REF!-Q57</f>
        <v>#REF!</v>
      </c>
      <c r="R58" s="1186" t="e">
        <f>#REF!-R57</f>
        <v>#REF!</v>
      </c>
      <c r="S58" s="1186"/>
      <c r="T58" s="1186"/>
      <c r="U58" s="1186" t="e">
        <f>#REF!-U57</f>
        <v>#REF!</v>
      </c>
      <c r="V58" s="1186" t="e">
        <f>#REF!-V57</f>
        <v>#REF!</v>
      </c>
      <c r="W58" s="1186" t="e">
        <f>#REF!-W57</f>
        <v>#REF!</v>
      </c>
      <c r="X58" s="1186" t="e">
        <f>#REF!-X57</f>
        <v>#REF!</v>
      </c>
      <c r="Y58" s="1186" t="e">
        <f>#REF!-Y57</f>
        <v>#REF!</v>
      </c>
      <c r="AA58" s="1185"/>
    </row>
    <row r="59" spans="2:27" s="1184" customFormat="1" hidden="1" x14ac:dyDescent="0.25">
      <c r="B59" s="1500"/>
      <c r="C59" s="1185"/>
      <c r="D59" s="1222"/>
      <c r="E59" s="1579"/>
      <c r="F59" s="1222" t="e">
        <f>F58</f>
        <v>#REF!</v>
      </c>
      <c r="G59" s="1222"/>
      <c r="H59" s="1222"/>
      <c r="I59" s="1222"/>
      <c r="J59" s="1222"/>
      <c r="K59" s="1222"/>
      <c r="L59" s="1222"/>
      <c r="M59" s="1222"/>
      <c r="N59" s="1222"/>
      <c r="O59" s="1222"/>
      <c r="P59" s="1222"/>
      <c r="Q59" s="1222"/>
      <c r="R59" s="1222"/>
      <c r="S59" s="1222"/>
      <c r="T59" s="1222"/>
      <c r="U59" s="1222"/>
      <c r="V59" s="1222"/>
      <c r="W59" s="1222"/>
      <c r="X59" s="1222"/>
      <c r="Y59" s="1222"/>
      <c r="Z59" s="1222" t="e">
        <f>#REF!-Z58</f>
        <v>#REF!</v>
      </c>
      <c r="AA59" s="1185"/>
    </row>
    <row r="60" spans="2:27" x14ac:dyDescent="0.25">
      <c r="D60" s="1576"/>
      <c r="E60" s="1576"/>
      <c r="F60" s="1576"/>
      <c r="G60" s="1576"/>
      <c r="H60" s="1576"/>
      <c r="I60" s="1576"/>
      <c r="J60" s="1576"/>
      <c r="K60" s="1576"/>
      <c r="L60" s="1576"/>
      <c r="M60" s="1576"/>
      <c r="N60" s="1576"/>
      <c r="O60" s="1576"/>
      <c r="P60" s="1576"/>
      <c r="Q60" s="1576"/>
      <c r="R60" s="1576"/>
      <c r="S60" s="1576"/>
      <c r="T60" s="1576"/>
      <c r="U60" s="1576"/>
      <c r="V60" s="1576"/>
      <c r="W60" s="1576"/>
      <c r="X60" s="1576"/>
      <c r="Y60" s="1576"/>
      <c r="Z60" s="1576"/>
    </row>
    <row r="61" spans="2:27" x14ac:dyDescent="0.25">
      <c r="D61" s="1576"/>
      <c r="E61" s="1576"/>
      <c r="F61" s="1576"/>
      <c r="G61" s="1576"/>
      <c r="H61" s="1576"/>
      <c r="I61" s="1576"/>
      <c r="J61" s="1576"/>
      <c r="K61" s="1576"/>
      <c r="L61" s="1576"/>
      <c r="M61" s="1576"/>
      <c r="N61" s="1576"/>
      <c r="O61" s="1576"/>
      <c r="P61" s="1576"/>
      <c r="Q61" s="1576"/>
      <c r="R61" s="1576"/>
      <c r="S61" s="1576"/>
      <c r="T61" s="1576"/>
      <c r="U61" s="1576"/>
      <c r="V61" s="1576"/>
      <c r="W61" s="1576"/>
      <c r="X61" s="1576"/>
      <c r="Y61" s="1576"/>
      <c r="Z61" s="1576"/>
    </row>
  </sheetData>
  <autoFilter ref="A10:XEJ27" xr:uid="{00000000-0009-0000-0000-00002B000000}"/>
  <mergeCells count="41">
    <mergeCell ref="B5:B9"/>
    <mergeCell ref="C5:C9"/>
    <mergeCell ref="D5:G6"/>
    <mergeCell ref="H5:O5"/>
    <mergeCell ref="P5:U5"/>
    <mergeCell ref="D7:D9"/>
    <mergeCell ref="E7:E9"/>
    <mergeCell ref="F7:G7"/>
    <mergeCell ref="L7:L9"/>
    <mergeCell ref="F29:G29"/>
    <mergeCell ref="J29:K29"/>
    <mergeCell ref="N29:O29"/>
    <mergeCell ref="R29:U29"/>
    <mergeCell ref="W7:W9"/>
    <mergeCell ref="R8:R9"/>
    <mergeCell ref="S8:T8"/>
    <mergeCell ref="U8:U9"/>
    <mergeCell ref="M7:M9"/>
    <mergeCell ref="N7:O7"/>
    <mergeCell ref="P7:P9"/>
    <mergeCell ref="Q7:Q9"/>
    <mergeCell ref="R7:U7"/>
    <mergeCell ref="V7:V9"/>
    <mergeCell ref="H7:H9"/>
    <mergeCell ref="I7:I9"/>
    <mergeCell ref="A2:Z2"/>
    <mergeCell ref="A3:Z3"/>
    <mergeCell ref="A11:Y11"/>
    <mergeCell ref="A12:Y12"/>
    <mergeCell ref="Z14:Z19"/>
    <mergeCell ref="X7:Y7"/>
    <mergeCell ref="X9:Y9"/>
    <mergeCell ref="V5:W6"/>
    <mergeCell ref="X5:X6"/>
    <mergeCell ref="Y5:Y6"/>
    <mergeCell ref="Z5:Z9"/>
    <mergeCell ref="H6:K6"/>
    <mergeCell ref="L6:O6"/>
    <mergeCell ref="P6:U6"/>
    <mergeCell ref="J7:K7"/>
    <mergeCell ref="A5:A9"/>
  </mergeCells>
  <pageMargins left="0.70866141732283472" right="0.70866141732283472" top="0.74803149606299213" bottom="0.74803149606299213" header="0.31496062992125984" footer="0.31496062992125984"/>
  <pageSetup paperSize="9" scale="31" orientation="portrait" r:id="rId1"/>
  <rowBreaks count="1" manualBreakCount="1">
    <brk id="10" min="16" max="2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C000"/>
    <pageSetUpPr fitToPage="1"/>
  </sheetPr>
  <dimension ref="A2:TZ61"/>
  <sheetViews>
    <sheetView showZeros="0" view="pageBreakPreview" zoomScale="60" zoomScaleNormal="60" workbookViewId="0">
      <pane ySplit="10" topLeftCell="A11" activePane="bottomLeft" state="frozen"/>
      <selection pane="bottomLeft" activeCell="Z5" sqref="Z5:Z9"/>
    </sheetView>
  </sheetViews>
  <sheetFormatPr defaultColWidth="10.6640625" defaultRowHeight="15.75" x14ac:dyDescent="0.25"/>
  <cols>
    <col min="1" max="1" width="7.33203125" style="1192" customWidth="1"/>
    <col min="2" max="2" width="17.6640625" style="1575" customWidth="1"/>
    <col min="3" max="3" width="42" style="1218" customWidth="1"/>
    <col min="4" max="4" width="17" style="1222" hidden="1" customWidth="1"/>
    <col min="5" max="5" width="19.5" style="1579" hidden="1" customWidth="1"/>
    <col min="6" max="15" width="19.5" style="1222" hidden="1" customWidth="1"/>
    <col min="16" max="18" width="19.5" style="1222" customWidth="1"/>
    <col min="19" max="19" width="24.1640625" style="1222" customWidth="1"/>
    <col min="20" max="21" width="19.5" style="1222" customWidth="1"/>
    <col min="22" max="22" width="14.83203125" style="1222" customWidth="1"/>
    <col min="23" max="23" width="17.33203125" style="1222" customWidth="1"/>
    <col min="24" max="24" width="15.33203125" style="1222" customWidth="1"/>
    <col min="25" max="25" width="17" style="1222" customWidth="1"/>
    <col min="26" max="26" width="68.5" style="1192" customWidth="1"/>
    <col min="27" max="27" width="10.6640625" style="1218" customWidth="1"/>
    <col min="28" max="29" width="10.6640625" style="1192"/>
    <col min="30" max="30" width="13.5" style="1192" customWidth="1"/>
    <col min="31" max="34" width="10.6640625" style="1192" customWidth="1"/>
    <col min="35" max="252" width="10.6640625" style="1192"/>
    <col min="253" max="253" width="7.33203125" style="1192" customWidth="1"/>
    <col min="254" max="254" width="14.1640625" style="1192" customWidth="1"/>
    <col min="255" max="255" width="40.83203125" style="1192" customWidth="1"/>
    <col min="256" max="256" width="10.1640625" style="1192" customWidth="1"/>
    <col min="257" max="257" width="24.1640625" style="1192" customWidth="1"/>
    <col min="258" max="259" width="13.1640625" style="1192" customWidth="1"/>
    <col min="260" max="260" width="14.5" style="1192" customWidth="1"/>
    <col min="261" max="261" width="10.1640625" style="1192" customWidth="1"/>
    <col min="262" max="262" width="13.1640625" style="1192" customWidth="1"/>
    <col min="263" max="263" width="14.5" style="1192" customWidth="1"/>
    <col min="264" max="264" width="13.1640625" style="1192" customWidth="1"/>
    <col min="265" max="265" width="12.6640625" style="1192" customWidth="1"/>
    <col min="266" max="266" width="10" style="1192" bestFit="1" customWidth="1"/>
    <col min="267" max="267" width="23.1640625" style="1192" bestFit="1" customWidth="1"/>
    <col min="268" max="269" width="11.5" style="1192" bestFit="1" customWidth="1"/>
    <col min="270" max="270" width="12.33203125" style="1192" bestFit="1" customWidth="1"/>
    <col min="271" max="271" width="15.83203125" style="1192" bestFit="1" customWidth="1"/>
    <col min="272" max="272" width="13" style="1192" bestFit="1" customWidth="1"/>
    <col min="273" max="273" width="14.33203125" style="1192" bestFit="1" customWidth="1"/>
    <col min="274" max="275" width="10.6640625" style="1192" customWidth="1"/>
    <col min="276" max="276" width="17.83203125" style="1192" bestFit="1" customWidth="1"/>
    <col min="277" max="279" width="10.6640625" style="1192" customWidth="1"/>
    <col min="280" max="285" width="10.6640625" style="1192"/>
    <col min="286" max="286" width="7.33203125" style="1192" customWidth="1"/>
    <col min="287" max="290" width="10.6640625" style="1192" customWidth="1"/>
    <col min="291" max="508" width="10.6640625" style="1192"/>
    <col min="509" max="509" width="7.33203125" style="1192" customWidth="1"/>
    <col min="510" max="510" width="14.1640625" style="1192" customWidth="1"/>
    <col min="511" max="511" width="40.83203125" style="1192" customWidth="1"/>
    <col min="512" max="512" width="10.1640625" style="1192" customWidth="1"/>
    <col min="513" max="513" width="24.1640625" style="1192" customWidth="1"/>
    <col min="514" max="515" width="13.1640625" style="1192" customWidth="1"/>
    <col min="516" max="516" width="14.5" style="1192" customWidth="1"/>
    <col min="517" max="517" width="10.1640625" style="1192" customWidth="1"/>
    <col min="518" max="518" width="13.1640625" style="1192" customWidth="1"/>
    <col min="519" max="519" width="14.5" style="1192" customWidth="1"/>
    <col min="520" max="520" width="13.1640625" style="1192" customWidth="1"/>
    <col min="521" max="521" width="12.6640625" style="1192" customWidth="1"/>
    <col min="522" max="522" width="10" style="1192" bestFit="1" customWidth="1"/>
    <col min="523" max="523" width="23.1640625" style="1192" bestFit="1" customWidth="1"/>
    <col min="524" max="525" width="11.5" style="1192" bestFit="1" customWidth="1"/>
    <col min="526" max="526" width="12.33203125" style="1192" bestFit="1" customWidth="1"/>
    <col min="527" max="527" width="15.83203125" style="1192" bestFit="1" customWidth="1"/>
    <col min="528" max="528" width="13" style="1192" bestFit="1" customWidth="1"/>
    <col min="529" max="529" width="14.33203125" style="1192" bestFit="1" customWidth="1"/>
    <col min="530" max="531" width="10.6640625" style="1192" customWidth="1"/>
    <col min="532" max="532" width="17.83203125" style="1192" bestFit="1" customWidth="1"/>
    <col min="533" max="535" width="10.6640625" style="1192" customWidth="1"/>
    <col min="536" max="541" width="10.6640625" style="1192"/>
    <col min="542" max="542" width="7.33203125" style="1192" customWidth="1"/>
    <col min="543" max="546" width="10.6640625" style="1192" customWidth="1"/>
    <col min="547" max="16384" width="10.6640625" style="1192"/>
  </cols>
  <sheetData>
    <row r="2" spans="1:29" x14ac:dyDescent="0.25">
      <c r="A2" s="2700" t="s">
        <v>1618</v>
      </c>
      <c r="B2" s="2700"/>
      <c r="C2" s="2700"/>
      <c r="D2" s="2700"/>
      <c r="E2" s="2700"/>
      <c r="F2" s="2700"/>
      <c r="G2" s="2700"/>
      <c r="H2" s="2700"/>
      <c r="I2" s="2700"/>
      <c r="J2" s="2700"/>
      <c r="K2" s="2700"/>
      <c r="L2" s="2700"/>
      <c r="M2" s="2700"/>
      <c r="N2" s="2700"/>
      <c r="O2" s="2700"/>
      <c r="P2" s="2700"/>
      <c r="Q2" s="2700"/>
      <c r="R2" s="2700"/>
      <c r="S2" s="2700"/>
      <c r="T2" s="2700"/>
      <c r="U2" s="2700"/>
      <c r="V2" s="2700"/>
      <c r="W2" s="2700"/>
      <c r="X2" s="2700"/>
      <c r="Y2" s="2700"/>
      <c r="Z2" s="2700"/>
    </row>
    <row r="3" spans="1:29" s="1184" customFormat="1" x14ac:dyDescent="0.25">
      <c r="A3" s="2546" t="s">
        <v>1253</v>
      </c>
      <c r="B3" s="2546"/>
      <c r="C3" s="2546"/>
      <c r="D3" s="2546"/>
      <c r="E3" s="2546"/>
      <c r="F3" s="2546"/>
      <c r="G3" s="2546"/>
      <c r="H3" s="2546"/>
      <c r="I3" s="2546"/>
      <c r="J3" s="2546"/>
      <c r="K3" s="2546"/>
      <c r="L3" s="2546"/>
      <c r="M3" s="2546"/>
      <c r="N3" s="2546"/>
      <c r="O3" s="2546"/>
      <c r="P3" s="2546"/>
      <c r="Q3" s="2546"/>
      <c r="R3" s="2546"/>
      <c r="S3" s="2546"/>
      <c r="T3" s="2546"/>
      <c r="U3" s="2546"/>
      <c r="V3" s="2546"/>
      <c r="W3" s="2546"/>
      <c r="X3" s="2546"/>
      <c r="Y3" s="2546"/>
      <c r="Z3" s="2546"/>
      <c r="AA3" s="1185"/>
    </row>
    <row r="4" spans="1:29" s="1184" customFormat="1" x14ac:dyDescent="0.25">
      <c r="B4" s="1500"/>
      <c r="C4" s="1185"/>
      <c r="D4" s="1190"/>
      <c r="E4" s="1501"/>
      <c r="F4" s="1190"/>
      <c r="G4" s="1190"/>
      <c r="H4" s="1190"/>
      <c r="I4" s="1502"/>
      <c r="J4" s="1190"/>
      <c r="K4" s="1502"/>
      <c r="L4" s="1502"/>
      <c r="M4" s="1502"/>
      <c r="N4" s="1190"/>
      <c r="O4" s="1502"/>
      <c r="P4" s="1502"/>
      <c r="Q4" s="1502"/>
      <c r="R4" s="1190"/>
      <c r="S4" s="1190"/>
      <c r="T4" s="1190"/>
      <c r="U4" s="1502"/>
      <c r="V4" s="1190"/>
      <c r="W4" s="1190"/>
      <c r="X4" s="1190"/>
      <c r="Y4" s="1190"/>
      <c r="Z4" s="1582">
        <v>43829</v>
      </c>
      <c r="AA4" s="1185"/>
    </row>
    <row r="5" spans="1:29" x14ac:dyDescent="0.25">
      <c r="A5" s="2560" t="s">
        <v>78</v>
      </c>
      <c r="B5" s="2574" t="s">
        <v>789</v>
      </c>
      <c r="C5" s="2560" t="s">
        <v>416</v>
      </c>
      <c r="D5" s="2577" t="s">
        <v>370</v>
      </c>
      <c r="E5" s="2578"/>
      <c r="F5" s="2578"/>
      <c r="G5" s="2579"/>
      <c r="H5" s="2549" t="s">
        <v>790</v>
      </c>
      <c r="I5" s="2550"/>
      <c r="J5" s="2550"/>
      <c r="K5" s="2550"/>
      <c r="L5" s="2550"/>
      <c r="M5" s="2550"/>
      <c r="N5" s="2550"/>
      <c r="O5" s="2558"/>
      <c r="P5" s="2557" t="s">
        <v>791</v>
      </c>
      <c r="Q5" s="2557"/>
      <c r="R5" s="2557"/>
      <c r="S5" s="2557"/>
      <c r="T5" s="2557"/>
      <c r="U5" s="2557"/>
      <c r="V5" s="2554" t="s">
        <v>737</v>
      </c>
      <c r="W5" s="2554"/>
      <c r="X5" s="2556" t="s">
        <v>180</v>
      </c>
      <c r="Y5" s="2556" t="s">
        <v>181</v>
      </c>
      <c r="Z5" s="2557" t="s">
        <v>792</v>
      </c>
    </row>
    <row r="6" spans="1:29" x14ac:dyDescent="0.25">
      <c r="A6" s="2560"/>
      <c r="B6" s="2575"/>
      <c r="C6" s="2560"/>
      <c r="D6" s="2580"/>
      <c r="E6" s="2581"/>
      <c r="F6" s="2581"/>
      <c r="G6" s="2582"/>
      <c r="H6" s="2549" t="s">
        <v>793</v>
      </c>
      <c r="I6" s="2550"/>
      <c r="J6" s="2550"/>
      <c r="K6" s="2558"/>
      <c r="L6" s="2549" t="s">
        <v>794</v>
      </c>
      <c r="M6" s="2550"/>
      <c r="N6" s="2550"/>
      <c r="O6" s="2558"/>
      <c r="P6" s="2557" t="s">
        <v>357</v>
      </c>
      <c r="Q6" s="2557"/>
      <c r="R6" s="2557"/>
      <c r="S6" s="2557"/>
      <c r="T6" s="2557"/>
      <c r="U6" s="2557"/>
      <c r="V6" s="2554"/>
      <c r="W6" s="2554"/>
      <c r="X6" s="2556"/>
      <c r="Y6" s="2556"/>
      <c r="Z6" s="2557"/>
    </row>
    <row r="7" spans="1:29" x14ac:dyDescent="0.25">
      <c r="A7" s="2560"/>
      <c r="B7" s="2575"/>
      <c r="C7" s="2560"/>
      <c r="D7" s="2560" t="s">
        <v>358</v>
      </c>
      <c r="E7" s="2583" t="s">
        <v>795</v>
      </c>
      <c r="F7" s="2559" t="s">
        <v>796</v>
      </c>
      <c r="G7" s="2559"/>
      <c r="H7" s="2560" t="s">
        <v>358</v>
      </c>
      <c r="I7" s="2571" t="s">
        <v>795</v>
      </c>
      <c r="J7" s="2559" t="s">
        <v>796</v>
      </c>
      <c r="K7" s="2559"/>
      <c r="L7" s="2560" t="s">
        <v>358</v>
      </c>
      <c r="M7" s="2571" t="s">
        <v>795</v>
      </c>
      <c r="N7" s="2559" t="s">
        <v>796</v>
      </c>
      <c r="O7" s="2559"/>
      <c r="P7" s="2560" t="s">
        <v>358</v>
      </c>
      <c r="Q7" s="2571" t="s">
        <v>795</v>
      </c>
      <c r="R7" s="2559" t="s">
        <v>796</v>
      </c>
      <c r="S7" s="2559"/>
      <c r="T7" s="2559"/>
      <c r="U7" s="2559"/>
      <c r="V7" s="2564" t="s">
        <v>797</v>
      </c>
      <c r="W7" s="2564" t="s">
        <v>798</v>
      </c>
      <c r="X7" s="2554" t="s">
        <v>527</v>
      </c>
      <c r="Y7" s="2554"/>
      <c r="Z7" s="2557"/>
      <c r="AC7" s="1193"/>
    </row>
    <row r="8" spans="1:29" x14ac:dyDescent="0.25">
      <c r="A8" s="2560"/>
      <c r="B8" s="2575"/>
      <c r="C8" s="2560"/>
      <c r="D8" s="2560"/>
      <c r="E8" s="2583"/>
      <c r="F8" s="770"/>
      <c r="G8" s="770"/>
      <c r="H8" s="2560"/>
      <c r="I8" s="2572"/>
      <c r="J8" s="770"/>
      <c r="K8" s="770"/>
      <c r="L8" s="2560"/>
      <c r="M8" s="2572"/>
      <c r="N8" s="770"/>
      <c r="O8" s="770"/>
      <c r="P8" s="2560"/>
      <c r="Q8" s="2572"/>
      <c r="R8" s="2565" t="s">
        <v>799</v>
      </c>
      <c r="S8" s="2567" t="s">
        <v>800</v>
      </c>
      <c r="T8" s="2568"/>
      <c r="U8" s="2569" t="s">
        <v>801</v>
      </c>
      <c r="V8" s="2564"/>
      <c r="W8" s="2564"/>
      <c r="X8" s="1503"/>
      <c r="Y8" s="1503"/>
      <c r="Z8" s="2557"/>
      <c r="AC8" s="1193"/>
    </row>
    <row r="9" spans="1:29" ht="75" x14ac:dyDescent="0.25">
      <c r="A9" s="2560"/>
      <c r="B9" s="2576"/>
      <c r="C9" s="2560"/>
      <c r="D9" s="2560"/>
      <c r="E9" s="2583"/>
      <c r="F9" s="1504" t="s">
        <v>802</v>
      </c>
      <c r="G9" s="1195" t="s">
        <v>801</v>
      </c>
      <c r="H9" s="2560"/>
      <c r="I9" s="2573"/>
      <c r="J9" s="1504" t="s">
        <v>802</v>
      </c>
      <c r="K9" s="1195" t="s">
        <v>801</v>
      </c>
      <c r="L9" s="2560"/>
      <c r="M9" s="2573"/>
      <c r="N9" s="1504" t="s">
        <v>802</v>
      </c>
      <c r="O9" s="1195" t="s">
        <v>801</v>
      </c>
      <c r="P9" s="2560"/>
      <c r="Q9" s="2573"/>
      <c r="R9" s="2566"/>
      <c r="S9" s="1504" t="s">
        <v>803</v>
      </c>
      <c r="T9" s="1504" t="s">
        <v>528</v>
      </c>
      <c r="U9" s="2570"/>
      <c r="V9" s="2564"/>
      <c r="W9" s="2564"/>
      <c r="X9" s="2555" t="s">
        <v>236</v>
      </c>
      <c r="Y9" s="2555"/>
      <c r="Z9" s="2557"/>
    </row>
    <row r="10" spans="1:29" s="1199" customFormat="1" ht="16.5" x14ac:dyDescent="0.25">
      <c r="A10" s="1196">
        <v>1</v>
      </c>
      <c r="B10" s="1196">
        <v>2</v>
      </c>
      <c r="C10" s="1196">
        <v>3</v>
      </c>
      <c r="D10" s="1196">
        <v>4</v>
      </c>
      <c r="E10" s="1505">
        <v>5</v>
      </c>
      <c r="F10" s="1506">
        <v>6</v>
      </c>
      <c r="G10" s="1196">
        <v>7</v>
      </c>
      <c r="H10" s="1196">
        <v>8</v>
      </c>
      <c r="I10" s="1196">
        <v>9</v>
      </c>
      <c r="J10" s="1506">
        <v>10</v>
      </c>
      <c r="K10" s="1196">
        <v>11</v>
      </c>
      <c r="L10" s="1196">
        <v>12</v>
      </c>
      <c r="M10" s="1196">
        <v>13</v>
      </c>
      <c r="N10" s="1506">
        <v>14</v>
      </c>
      <c r="O10" s="1196">
        <v>15</v>
      </c>
      <c r="P10" s="1196">
        <v>16</v>
      </c>
      <c r="Q10" s="1196">
        <v>17</v>
      </c>
      <c r="R10" s="1507">
        <v>18</v>
      </c>
      <c r="S10" s="1508" t="s">
        <v>804</v>
      </c>
      <c r="T10" s="1508" t="s">
        <v>805</v>
      </c>
      <c r="U10" s="1509">
        <v>19</v>
      </c>
      <c r="V10" s="1196">
        <v>20</v>
      </c>
      <c r="W10" s="1196">
        <v>21</v>
      </c>
      <c r="X10" s="1506">
        <v>22</v>
      </c>
      <c r="Y10" s="1506">
        <v>23</v>
      </c>
      <c r="Z10" s="1196">
        <v>24</v>
      </c>
      <c r="AA10" s="1218"/>
    </row>
    <row r="11" spans="1:29" ht="23.25" customHeight="1" x14ac:dyDescent="0.25">
      <c r="A11" s="2547" t="s">
        <v>1253</v>
      </c>
      <c r="B11" s="2548"/>
      <c r="C11" s="2548"/>
      <c r="D11" s="2548"/>
      <c r="E11" s="2548"/>
      <c r="F11" s="2548"/>
      <c r="G11" s="2548"/>
      <c r="H11" s="2548"/>
      <c r="I11" s="2548"/>
      <c r="J11" s="2548"/>
      <c r="K11" s="2548"/>
      <c r="L11" s="2548"/>
      <c r="M11" s="2548"/>
      <c r="N11" s="2548"/>
      <c r="O11" s="2548"/>
      <c r="P11" s="2548"/>
      <c r="Q11" s="2548"/>
      <c r="R11" s="2548"/>
      <c r="S11" s="2548"/>
      <c r="T11" s="2548"/>
      <c r="U11" s="2548"/>
      <c r="V11" s="2548"/>
      <c r="W11" s="2548"/>
      <c r="X11" s="2548"/>
      <c r="Y11" s="2548"/>
      <c r="Z11" s="1510"/>
      <c r="AA11" s="1185" t="s">
        <v>1562</v>
      </c>
    </row>
    <row r="12" spans="1:29" ht="15.75" customHeight="1" x14ac:dyDescent="0.25">
      <c r="A12" s="2549" t="s">
        <v>806</v>
      </c>
      <c r="B12" s="2550"/>
      <c r="C12" s="2550"/>
      <c r="D12" s="2550"/>
      <c r="E12" s="2550"/>
      <c r="F12" s="2550"/>
      <c r="G12" s="2550"/>
      <c r="H12" s="2550"/>
      <c r="I12" s="2550"/>
      <c r="J12" s="2550"/>
      <c r="K12" s="2550"/>
      <c r="L12" s="2550"/>
      <c r="M12" s="2550"/>
      <c r="N12" s="2550"/>
      <c r="O12" s="2550"/>
      <c r="P12" s="2550"/>
      <c r="Q12" s="2550"/>
      <c r="R12" s="2550"/>
      <c r="S12" s="2550"/>
      <c r="T12" s="2550"/>
      <c r="U12" s="2550"/>
      <c r="V12" s="2550"/>
      <c r="W12" s="2550"/>
      <c r="X12" s="2550"/>
      <c r="Y12" s="2550"/>
      <c r="Z12" s="1511"/>
      <c r="AA12" s="1185" t="s">
        <v>1562</v>
      </c>
    </row>
    <row r="13" spans="1:29" s="1517" customFormat="1" ht="63" x14ac:dyDescent="0.25">
      <c r="A13" s="1512">
        <v>1</v>
      </c>
      <c r="B13" s="1512"/>
      <c r="C13" s="1513" t="s">
        <v>1397</v>
      </c>
      <c r="D13" s="1514"/>
      <c r="E13" s="1514"/>
      <c r="F13" s="1515">
        <f>F14+F18+F23</f>
        <v>30.1</v>
      </c>
      <c r="G13" s="1515"/>
      <c r="H13" s="1515"/>
      <c r="I13" s="1515"/>
      <c r="J13" s="1515">
        <f>J14+J18</f>
        <v>213.6</v>
      </c>
      <c r="K13" s="1515">
        <f>K14+K18</f>
        <v>30</v>
      </c>
      <c r="L13" s="1515"/>
      <c r="M13" s="1515"/>
      <c r="N13" s="1515">
        <f>N14+N18</f>
        <v>213.6</v>
      </c>
      <c r="O13" s="1515">
        <f>O14+O18</f>
        <v>30</v>
      </c>
      <c r="P13" s="1515"/>
      <c r="Q13" s="1515"/>
      <c r="R13" s="1515">
        <f>R14+R18+R24</f>
        <v>213.6</v>
      </c>
      <c r="S13" s="1515">
        <f t="shared" ref="S13:S27" si="0">R13</f>
        <v>213.6</v>
      </c>
      <c r="T13" s="1515"/>
      <c r="U13" s="1515">
        <f>U14+U18</f>
        <v>30</v>
      </c>
      <c r="V13" s="1516">
        <f t="shared" ref="V13:V27" si="1">R13-J13</f>
        <v>0</v>
      </c>
      <c r="W13" s="1516">
        <f t="shared" ref="W13:W27" si="2">IFERROR((R13)/J13*100,0)</f>
        <v>100</v>
      </c>
      <c r="X13" s="1512">
        <f>X14+X18+X24</f>
        <v>213.6</v>
      </c>
      <c r="Y13" s="1512">
        <f>Y14+Y18+Y24</f>
        <v>213.6</v>
      </c>
      <c r="Z13" s="1512"/>
      <c r="AA13" s="1185" t="s">
        <v>1562</v>
      </c>
    </row>
    <row r="14" spans="1:29" s="1525" customFormat="1" x14ac:dyDescent="0.25">
      <c r="A14" s="1518"/>
      <c r="B14" s="1518">
        <v>963</v>
      </c>
      <c r="C14" s="1519" t="s">
        <v>765</v>
      </c>
      <c r="D14" s="1520"/>
      <c r="E14" s="1520"/>
      <c r="F14" s="1521">
        <f>SUM(F15:F16)</f>
        <v>0</v>
      </c>
      <c r="G14" s="1521"/>
      <c r="H14" s="1521"/>
      <c r="I14" s="1521"/>
      <c r="J14" s="1521">
        <f>SUM(J15:J16)</f>
        <v>208</v>
      </c>
      <c r="K14" s="1521">
        <f>SUM(K15:K16)</f>
        <v>30</v>
      </c>
      <c r="L14" s="1521"/>
      <c r="M14" s="1521"/>
      <c r="N14" s="1521">
        <f>SUM(N15:N16)</f>
        <v>208</v>
      </c>
      <c r="O14" s="1521">
        <f>SUM(O15:O16)</f>
        <v>30</v>
      </c>
      <c r="P14" s="1522"/>
      <c r="Q14" s="1522"/>
      <c r="R14" s="1522">
        <f>SUM(R15:R16)</f>
        <v>0</v>
      </c>
      <c r="S14" s="1522">
        <f t="shared" si="0"/>
        <v>0</v>
      </c>
      <c r="T14" s="1522"/>
      <c r="U14" s="1522">
        <f>SUM(U15:U17)</f>
        <v>20</v>
      </c>
      <c r="V14" s="1523">
        <f t="shared" si="1"/>
        <v>-208</v>
      </c>
      <c r="W14" s="1524">
        <f t="shared" si="2"/>
        <v>0</v>
      </c>
      <c r="X14" s="1518"/>
      <c r="Y14" s="1518"/>
      <c r="Z14" s="2551"/>
      <c r="AA14" s="1185" t="s">
        <v>1562</v>
      </c>
    </row>
    <row r="15" spans="1:29" s="1184" customFormat="1" x14ac:dyDescent="0.25">
      <c r="A15" s="1526"/>
      <c r="B15" s="1526"/>
      <c r="C15" s="1527" t="s">
        <v>1563</v>
      </c>
      <c r="D15" s="1528"/>
      <c r="E15" s="1529"/>
      <c r="F15" s="1530">
        <f>D15*E15/1000</f>
        <v>0</v>
      </c>
      <c r="G15" s="1530"/>
      <c r="H15" s="1528">
        <v>800</v>
      </c>
      <c r="I15" s="1530">
        <v>35</v>
      </c>
      <c r="J15" s="1530">
        <f>H15*I15/1000</f>
        <v>28</v>
      </c>
      <c r="K15" s="1530"/>
      <c r="L15" s="1528">
        <v>800</v>
      </c>
      <c r="M15" s="1530">
        <v>35</v>
      </c>
      <c r="N15" s="1530">
        <f>L15*M15/1000</f>
        <v>28</v>
      </c>
      <c r="O15" s="1530"/>
      <c r="P15" s="1526"/>
      <c r="Q15" s="1531"/>
      <c r="R15" s="1531">
        <f>P15*Q15/1000</f>
        <v>0</v>
      </c>
      <c r="S15" s="1531">
        <f t="shared" si="0"/>
        <v>0</v>
      </c>
      <c r="T15" s="1531"/>
      <c r="U15" s="1531"/>
      <c r="V15" s="1523">
        <f t="shared" si="1"/>
        <v>-28</v>
      </c>
      <c r="W15" s="1532">
        <f t="shared" si="2"/>
        <v>0</v>
      </c>
      <c r="X15" s="1526"/>
      <c r="Y15" s="1526"/>
      <c r="Z15" s="2552"/>
      <c r="AA15" s="1185" t="s">
        <v>1562</v>
      </c>
    </row>
    <row r="16" spans="1:29" s="1184" customFormat="1" ht="31.5" x14ac:dyDescent="0.25">
      <c r="A16" s="1526"/>
      <c r="B16" s="1526"/>
      <c r="C16" s="1527" t="s">
        <v>1564</v>
      </c>
      <c r="D16" s="1528"/>
      <c r="E16" s="1529"/>
      <c r="F16" s="1530">
        <f>D16*E16/1000</f>
        <v>0</v>
      </c>
      <c r="G16" s="1530"/>
      <c r="H16" s="1530">
        <v>150</v>
      </c>
      <c r="I16" s="1530">
        <v>400</v>
      </c>
      <c r="J16" s="1530">
        <f>H16*I16/1000/2+150</f>
        <v>180</v>
      </c>
      <c r="K16" s="1530">
        <f>H16*I16/1000/2</f>
        <v>30</v>
      </c>
      <c r="L16" s="1530">
        <v>150</v>
      </c>
      <c r="M16" s="1530">
        <v>400</v>
      </c>
      <c r="N16" s="1530">
        <f>L16*M16/1000/2+150</f>
        <v>180</v>
      </c>
      <c r="O16" s="1530">
        <f>L16*M16/1000/2</f>
        <v>30</v>
      </c>
      <c r="P16" s="1531"/>
      <c r="Q16" s="1531"/>
      <c r="R16" s="1531"/>
      <c r="S16" s="1531">
        <f t="shared" si="0"/>
        <v>0</v>
      </c>
      <c r="T16" s="1531"/>
      <c r="U16" s="1531">
        <f>P16*Q16/1000/2</f>
        <v>0</v>
      </c>
      <c r="V16" s="1523">
        <f t="shared" si="1"/>
        <v>-180</v>
      </c>
      <c r="W16" s="1532">
        <f t="shared" si="2"/>
        <v>0</v>
      </c>
      <c r="X16" s="1526"/>
      <c r="Y16" s="1526"/>
      <c r="Z16" s="2552"/>
      <c r="AA16" s="1185" t="s">
        <v>1562</v>
      </c>
    </row>
    <row r="17" spans="1:546" s="1184" customFormat="1" x14ac:dyDescent="0.25">
      <c r="A17" s="1526"/>
      <c r="B17" s="1526"/>
      <c r="C17" s="1527" t="s">
        <v>1565</v>
      </c>
      <c r="D17" s="1528"/>
      <c r="E17" s="1529"/>
      <c r="F17" s="1530"/>
      <c r="G17" s="1530"/>
      <c r="H17" s="1530"/>
      <c r="I17" s="1530"/>
      <c r="J17" s="1530"/>
      <c r="K17" s="1530"/>
      <c r="L17" s="1530"/>
      <c r="M17" s="1530"/>
      <c r="N17" s="1530"/>
      <c r="O17" s="1530"/>
      <c r="P17" s="1533">
        <v>1</v>
      </c>
      <c r="Q17" s="1534">
        <v>20000</v>
      </c>
      <c r="R17" s="1531"/>
      <c r="S17" s="1531">
        <f t="shared" si="0"/>
        <v>0</v>
      </c>
      <c r="T17" s="1531"/>
      <c r="U17" s="1523">
        <f>P17*Q17/1000</f>
        <v>20</v>
      </c>
      <c r="V17" s="1523">
        <f t="shared" si="1"/>
        <v>0</v>
      </c>
      <c r="W17" s="1532">
        <f t="shared" si="2"/>
        <v>0</v>
      </c>
      <c r="X17" s="1526"/>
      <c r="Y17" s="1526"/>
      <c r="Z17" s="2552"/>
      <c r="AA17" s="1185" t="s">
        <v>1562</v>
      </c>
    </row>
    <row r="18" spans="1:546" s="1525" customFormat="1" x14ac:dyDescent="0.25">
      <c r="A18" s="1518"/>
      <c r="B18" s="1518">
        <v>981</v>
      </c>
      <c r="C18" s="1519" t="s">
        <v>766</v>
      </c>
      <c r="D18" s="1520"/>
      <c r="E18" s="1520"/>
      <c r="F18" s="1521">
        <f>F19</f>
        <v>3.8</v>
      </c>
      <c r="G18" s="1521"/>
      <c r="H18" s="1520"/>
      <c r="I18" s="1521"/>
      <c r="J18" s="1521">
        <f>J19</f>
        <v>5.6</v>
      </c>
      <c r="K18" s="1521">
        <f>K19</f>
        <v>0</v>
      </c>
      <c r="L18" s="1520"/>
      <c r="M18" s="1521"/>
      <c r="N18" s="1521">
        <f>N19</f>
        <v>5.6</v>
      </c>
      <c r="O18" s="1521">
        <f>O19</f>
        <v>0</v>
      </c>
      <c r="P18" s="1535"/>
      <c r="Q18" s="1522"/>
      <c r="R18" s="1522">
        <f>SUM(R19:R22)</f>
        <v>184.1</v>
      </c>
      <c r="S18" s="1522">
        <f t="shared" si="0"/>
        <v>184.1</v>
      </c>
      <c r="T18" s="1522"/>
      <c r="U18" s="1522">
        <f>SUM(U19:U22)</f>
        <v>10</v>
      </c>
      <c r="V18" s="1523">
        <f t="shared" si="1"/>
        <v>178.5</v>
      </c>
      <c r="W18" s="1524">
        <f t="shared" si="2"/>
        <v>3287.5</v>
      </c>
      <c r="X18" s="1518">
        <f>SUM(X19:X22)</f>
        <v>184.1</v>
      </c>
      <c r="Y18" s="1518">
        <f>SUM(Y19:Y22)</f>
        <v>184.1</v>
      </c>
      <c r="Z18" s="2552"/>
      <c r="AA18" s="1185" t="s">
        <v>1562</v>
      </c>
    </row>
    <row r="19" spans="1:546" s="1184" customFormat="1" x14ac:dyDescent="0.25">
      <c r="A19" s="1526"/>
      <c r="B19" s="1533"/>
      <c r="C19" s="1527" t="s">
        <v>1566</v>
      </c>
      <c r="D19" s="1528">
        <v>69</v>
      </c>
      <c r="E19" s="1529">
        <v>54.9</v>
      </c>
      <c r="F19" s="1530">
        <f>D19*E19/1000</f>
        <v>3.8</v>
      </c>
      <c r="G19" s="1530"/>
      <c r="H19" s="1528">
        <v>80</v>
      </c>
      <c r="I19" s="1530">
        <v>70</v>
      </c>
      <c r="J19" s="1530">
        <f>H19*I19/1000</f>
        <v>5.6</v>
      </c>
      <c r="K19" s="1530"/>
      <c r="L19" s="1528">
        <v>80</v>
      </c>
      <c r="M19" s="1530">
        <v>70</v>
      </c>
      <c r="N19" s="1530">
        <f>L19*M19/1000</f>
        <v>5.6</v>
      </c>
      <c r="O19" s="1530"/>
      <c r="P19" s="1526">
        <v>1</v>
      </c>
      <c r="Q19" s="1531">
        <v>10000</v>
      </c>
      <c r="R19" s="1531"/>
      <c r="S19" s="1531">
        <f t="shared" si="0"/>
        <v>0</v>
      </c>
      <c r="T19" s="1531"/>
      <c r="U19" s="1531">
        <f>P19*Q19/1000</f>
        <v>10</v>
      </c>
      <c r="V19" s="1523">
        <f t="shared" si="1"/>
        <v>-5.6</v>
      </c>
      <c r="W19" s="1532">
        <f t="shared" si="2"/>
        <v>0</v>
      </c>
      <c r="X19" s="1526"/>
      <c r="Y19" s="1526"/>
      <c r="Z19" s="2553"/>
      <c r="AA19" s="1185" t="s">
        <v>1562</v>
      </c>
    </row>
    <row r="20" spans="1:546" s="1184" customFormat="1" x14ac:dyDescent="0.25">
      <c r="A20" s="1526"/>
      <c r="B20" s="1533"/>
      <c r="C20" s="1527" t="s">
        <v>1198</v>
      </c>
      <c r="D20" s="1528"/>
      <c r="E20" s="1529"/>
      <c r="F20" s="1530"/>
      <c r="G20" s="1530"/>
      <c r="H20" s="1530"/>
      <c r="I20" s="1530"/>
      <c r="J20" s="1530">
        <v>0</v>
      </c>
      <c r="K20" s="1530"/>
      <c r="L20" s="1530"/>
      <c r="M20" s="1530"/>
      <c r="N20" s="1530">
        <v>0</v>
      </c>
      <c r="O20" s="1530"/>
      <c r="P20" s="1531">
        <v>50</v>
      </c>
      <c r="Q20" s="1536">
        <v>150</v>
      </c>
      <c r="R20" s="1531">
        <f>P20*Q20/1000</f>
        <v>7.5</v>
      </c>
      <c r="S20" s="1531">
        <f t="shared" si="0"/>
        <v>7.5</v>
      </c>
      <c r="T20" s="1531"/>
      <c r="U20" s="1531"/>
      <c r="V20" s="1523">
        <f t="shared" si="1"/>
        <v>7.5</v>
      </c>
      <c r="W20" s="1532">
        <f t="shared" si="2"/>
        <v>0</v>
      </c>
      <c r="X20" s="1526">
        <v>7.5</v>
      </c>
      <c r="Y20" s="1526">
        <v>7.5</v>
      </c>
      <c r="Z20" s="1526"/>
      <c r="AA20" s="1185" t="s">
        <v>1562</v>
      </c>
    </row>
    <row r="21" spans="1:546" s="1184" customFormat="1" x14ac:dyDescent="0.25">
      <c r="A21" s="1526"/>
      <c r="B21" s="1533"/>
      <c r="C21" s="1527" t="s">
        <v>1567</v>
      </c>
      <c r="D21" s="1528"/>
      <c r="E21" s="1529"/>
      <c r="F21" s="1530"/>
      <c r="G21" s="1530"/>
      <c r="H21" s="1530"/>
      <c r="I21" s="1530"/>
      <c r="J21" s="1530">
        <v>0</v>
      </c>
      <c r="K21" s="1530">
        <v>0</v>
      </c>
      <c r="L21" s="1530"/>
      <c r="M21" s="1530"/>
      <c r="N21" s="1530">
        <v>0</v>
      </c>
      <c r="O21" s="1530">
        <v>0</v>
      </c>
      <c r="P21" s="1531">
        <v>70</v>
      </c>
      <c r="Q21" s="1536">
        <v>928</v>
      </c>
      <c r="R21" s="1531">
        <f>P21*Q21/1000</f>
        <v>65</v>
      </c>
      <c r="S21" s="1531">
        <f t="shared" si="0"/>
        <v>65</v>
      </c>
      <c r="T21" s="1531"/>
      <c r="U21" s="1531">
        <v>0</v>
      </c>
      <c r="V21" s="1523">
        <f t="shared" si="1"/>
        <v>65</v>
      </c>
      <c r="W21" s="1532">
        <f t="shared" si="2"/>
        <v>0</v>
      </c>
      <c r="X21" s="1526">
        <v>65</v>
      </c>
      <c r="Y21" s="1526">
        <v>65</v>
      </c>
      <c r="Z21" s="1526"/>
      <c r="AA21" s="1185" t="s">
        <v>1562</v>
      </c>
    </row>
    <row r="22" spans="1:546" s="1184" customFormat="1" ht="31.5" x14ac:dyDescent="0.25">
      <c r="A22" s="1526"/>
      <c r="B22" s="1533"/>
      <c r="C22" s="1527" t="s">
        <v>1568</v>
      </c>
      <c r="D22" s="1528"/>
      <c r="E22" s="1529"/>
      <c r="F22" s="1530"/>
      <c r="G22" s="1530"/>
      <c r="H22" s="1530"/>
      <c r="I22" s="1530"/>
      <c r="J22" s="1530"/>
      <c r="K22" s="1530"/>
      <c r="L22" s="1530"/>
      <c r="M22" s="1530"/>
      <c r="N22" s="1530"/>
      <c r="O22" s="1530"/>
      <c r="P22" s="1526">
        <v>1</v>
      </c>
      <c r="Q22" s="1536">
        <v>111640</v>
      </c>
      <c r="R22" s="1531">
        <f>P22*Q22/1000</f>
        <v>111.6</v>
      </c>
      <c r="S22" s="1531">
        <f t="shared" si="0"/>
        <v>111.6</v>
      </c>
      <c r="T22" s="1531"/>
      <c r="U22" s="1531">
        <v>0</v>
      </c>
      <c r="V22" s="1523">
        <f t="shared" si="1"/>
        <v>111.6</v>
      </c>
      <c r="W22" s="1532">
        <f t="shared" si="2"/>
        <v>0</v>
      </c>
      <c r="X22" s="1526">
        <v>111.6</v>
      </c>
      <c r="Y22" s="1526">
        <v>111.6</v>
      </c>
      <c r="Z22" s="1526"/>
      <c r="AA22" s="1185" t="s">
        <v>1562</v>
      </c>
    </row>
    <row r="23" spans="1:546" s="1525" customFormat="1" x14ac:dyDescent="0.25">
      <c r="A23" s="1518"/>
      <c r="B23" s="1537">
        <v>921</v>
      </c>
      <c r="C23" s="1519" t="s">
        <v>1569</v>
      </c>
      <c r="D23" s="1538">
        <v>175</v>
      </c>
      <c r="E23" s="1520">
        <v>150</v>
      </c>
      <c r="F23" s="1521">
        <f>D23*E23/1000</f>
        <v>26.3</v>
      </c>
      <c r="G23" s="1521"/>
      <c r="H23" s="1521"/>
      <c r="I23" s="1521"/>
      <c r="J23" s="1521"/>
      <c r="K23" s="1521"/>
      <c r="L23" s="1521"/>
      <c r="M23" s="1521"/>
      <c r="N23" s="1521"/>
      <c r="O23" s="1521"/>
      <c r="P23" s="1518"/>
      <c r="Q23" s="1535"/>
      <c r="R23" s="1522"/>
      <c r="S23" s="1522">
        <f t="shared" si="0"/>
        <v>0</v>
      </c>
      <c r="T23" s="1522"/>
      <c r="U23" s="1522"/>
      <c r="V23" s="1539">
        <f t="shared" si="1"/>
        <v>0</v>
      </c>
      <c r="W23" s="1524">
        <f t="shared" si="2"/>
        <v>0</v>
      </c>
      <c r="X23" s="1518"/>
      <c r="Y23" s="1518"/>
      <c r="Z23" s="1518"/>
      <c r="AA23" s="1185" t="s">
        <v>1562</v>
      </c>
    </row>
    <row r="24" spans="1:546" s="1184" customFormat="1" ht="47.25" x14ac:dyDescent="0.25">
      <c r="A24" s="1526"/>
      <c r="B24" s="1518">
        <v>966</v>
      </c>
      <c r="C24" s="1540" t="s">
        <v>1570</v>
      </c>
      <c r="D24" s="1528"/>
      <c r="E24" s="1529"/>
      <c r="F24" s="1530"/>
      <c r="G24" s="1530"/>
      <c r="H24" s="1530"/>
      <c r="I24" s="1530"/>
      <c r="J24" s="1530"/>
      <c r="K24" s="1530"/>
      <c r="L24" s="1530"/>
      <c r="M24" s="1530"/>
      <c r="N24" s="1530"/>
      <c r="O24" s="1530"/>
      <c r="P24" s="1537">
        <v>1</v>
      </c>
      <c r="Q24" s="1541">
        <v>29500</v>
      </c>
      <c r="R24" s="1522">
        <f>P24*Q24/1000</f>
        <v>29.5</v>
      </c>
      <c r="S24" s="1522">
        <f t="shared" si="0"/>
        <v>29.5</v>
      </c>
      <c r="T24" s="1522"/>
      <c r="U24" s="1539"/>
      <c r="V24" s="1523">
        <f t="shared" si="1"/>
        <v>29.5</v>
      </c>
      <c r="W24" s="1524">
        <f t="shared" si="2"/>
        <v>0</v>
      </c>
      <c r="X24" s="1518">
        <v>29.5</v>
      </c>
      <c r="Y24" s="1518">
        <v>29.5</v>
      </c>
      <c r="Z24" s="1526"/>
      <c r="AA24" s="1185" t="s">
        <v>1562</v>
      </c>
    </row>
    <row r="25" spans="1:546" s="1517" customFormat="1" x14ac:dyDescent="0.25">
      <c r="A25" s="1512">
        <v>2</v>
      </c>
      <c r="B25" s="1542"/>
      <c r="C25" s="1513" t="s">
        <v>1571</v>
      </c>
      <c r="D25" s="1543"/>
      <c r="E25" s="1544"/>
      <c r="F25" s="1545"/>
      <c r="G25" s="1545"/>
      <c r="H25" s="1545"/>
      <c r="I25" s="1545"/>
      <c r="J25" s="1545">
        <f>J26</f>
        <v>263.5</v>
      </c>
      <c r="K25" s="1545"/>
      <c r="L25" s="1545"/>
      <c r="M25" s="1545"/>
      <c r="N25" s="1545">
        <f>N26</f>
        <v>263.5</v>
      </c>
      <c r="O25" s="1545"/>
      <c r="P25" s="1515"/>
      <c r="Q25" s="1515"/>
      <c r="R25" s="1515">
        <f>SUM(R26:R27)</f>
        <v>263.5</v>
      </c>
      <c r="S25" s="1515">
        <f t="shared" si="0"/>
        <v>263.5</v>
      </c>
      <c r="T25" s="1515"/>
      <c r="U25" s="1515"/>
      <c r="V25" s="1516">
        <f t="shared" si="1"/>
        <v>0</v>
      </c>
      <c r="W25" s="1516">
        <f t="shared" si="2"/>
        <v>100</v>
      </c>
      <c r="X25" s="1512">
        <f>SUM(X26:X27)</f>
        <v>263.5</v>
      </c>
      <c r="Y25" s="1512">
        <f>SUM(Y26:Y27)</f>
        <v>263.5</v>
      </c>
      <c r="Z25" s="1512"/>
      <c r="AA25" s="1185" t="s">
        <v>1562</v>
      </c>
    </row>
    <row r="26" spans="1:546" s="1184" customFormat="1" ht="63" x14ac:dyDescent="0.25">
      <c r="A26" s="1526"/>
      <c r="B26" s="1533">
        <v>966</v>
      </c>
      <c r="C26" s="1546" t="s">
        <v>1572</v>
      </c>
      <c r="D26" s="1528"/>
      <c r="E26" s="1529"/>
      <c r="F26" s="1530"/>
      <c r="G26" s="1530"/>
      <c r="H26" s="1530"/>
      <c r="I26" s="1530"/>
      <c r="J26" s="1530">
        <v>263.5</v>
      </c>
      <c r="K26" s="1530"/>
      <c r="L26" s="1530"/>
      <c r="M26" s="1530"/>
      <c r="N26" s="1530">
        <v>263.5</v>
      </c>
      <c r="O26" s="1530"/>
      <c r="P26" s="1531">
        <v>3</v>
      </c>
      <c r="Q26" s="1531">
        <v>53033</v>
      </c>
      <c r="R26" s="1531">
        <f>P26*Q26/1000</f>
        <v>159.1</v>
      </c>
      <c r="S26" s="1531">
        <f t="shared" si="0"/>
        <v>159.1</v>
      </c>
      <c r="T26" s="1531"/>
      <c r="U26" s="1531"/>
      <c r="V26" s="1523">
        <f t="shared" si="1"/>
        <v>-104.4</v>
      </c>
      <c r="W26" s="1532">
        <f t="shared" si="2"/>
        <v>60.4</v>
      </c>
      <c r="X26" s="1526">
        <v>159.1</v>
      </c>
      <c r="Y26" s="1526">
        <v>159.1</v>
      </c>
      <c r="Z26" s="1526"/>
      <c r="AA26" s="1185" t="s">
        <v>1562</v>
      </c>
    </row>
    <row r="27" spans="1:546" s="1184" customFormat="1" ht="31.5" x14ac:dyDescent="0.25">
      <c r="A27" s="1526"/>
      <c r="B27" s="1533">
        <v>954</v>
      </c>
      <c r="C27" s="1527" t="s">
        <v>1573</v>
      </c>
      <c r="D27" s="1528"/>
      <c r="E27" s="1529"/>
      <c r="F27" s="1530"/>
      <c r="G27" s="1530"/>
      <c r="H27" s="1530"/>
      <c r="I27" s="1530"/>
      <c r="J27" s="1530"/>
      <c r="K27" s="1530"/>
      <c r="L27" s="1530"/>
      <c r="M27" s="1530"/>
      <c r="N27" s="1530"/>
      <c r="O27" s="1530"/>
      <c r="P27" s="1531">
        <v>3</v>
      </c>
      <c r="Q27" s="1531">
        <v>34800</v>
      </c>
      <c r="R27" s="1531">
        <f>P27*Q27/1000</f>
        <v>104.4</v>
      </c>
      <c r="S27" s="1531">
        <f t="shared" si="0"/>
        <v>104.4</v>
      </c>
      <c r="T27" s="1531"/>
      <c r="U27" s="1531"/>
      <c r="V27" s="1523">
        <f t="shared" si="1"/>
        <v>104.4</v>
      </c>
      <c r="W27" s="1532">
        <f t="shared" si="2"/>
        <v>0</v>
      </c>
      <c r="X27" s="1526">
        <v>104.4</v>
      </c>
      <c r="Y27" s="1526">
        <v>104.4</v>
      </c>
      <c r="Z27" s="1526"/>
      <c r="AA27" s="1185" t="s">
        <v>1562</v>
      </c>
    </row>
    <row r="28" spans="1:546" s="1184" customFormat="1" x14ac:dyDescent="0.25">
      <c r="A28" s="1547"/>
      <c r="B28" s="1548"/>
      <c r="C28" s="1549"/>
      <c r="D28" s="1550"/>
      <c r="E28" s="1551"/>
      <c r="F28" s="1552"/>
      <c r="G28" s="1552"/>
      <c r="H28" s="1552"/>
      <c r="I28" s="1552"/>
      <c r="J28" s="1552"/>
      <c r="K28" s="1552"/>
      <c r="L28" s="1552"/>
      <c r="M28" s="1552"/>
      <c r="N28" s="1552"/>
      <c r="O28" s="1552"/>
      <c r="P28" s="1553"/>
      <c r="Q28" s="1553"/>
      <c r="R28" s="1553"/>
      <c r="S28" s="1553"/>
      <c r="T28" s="1553"/>
      <c r="U28" s="1553"/>
      <c r="V28" s="1188"/>
      <c r="W28" s="1554"/>
      <c r="X28" s="1547"/>
      <c r="Y28" s="1547"/>
      <c r="Z28" s="1547"/>
      <c r="AA28" s="1185"/>
    </row>
    <row r="29" spans="1:546" s="1561" customFormat="1" ht="18.75" x14ac:dyDescent="0.3">
      <c r="B29" s="1562"/>
      <c r="C29" s="1563"/>
      <c r="D29" s="1564"/>
      <c r="E29" s="1565"/>
      <c r="F29" s="2561">
        <v>2018</v>
      </c>
      <c r="G29" s="2561"/>
      <c r="H29" s="1564"/>
      <c r="I29" s="1564"/>
      <c r="J29" s="2561" t="s">
        <v>807</v>
      </c>
      <c r="K29" s="2561"/>
      <c r="L29" s="1564"/>
      <c r="M29" s="1564"/>
      <c r="N29" s="2562" t="s">
        <v>808</v>
      </c>
      <c r="O29" s="2562"/>
      <c r="P29" s="1564"/>
      <c r="Q29" s="1564"/>
      <c r="R29" s="2699">
        <v>2020</v>
      </c>
      <c r="S29" s="2699"/>
      <c r="T29" s="2699"/>
      <c r="U29" s="2699"/>
      <c r="V29" s="1564"/>
      <c r="W29" s="1564"/>
      <c r="X29" s="1566">
        <v>2021</v>
      </c>
      <c r="Y29" s="1566">
        <v>2022</v>
      </c>
      <c r="AA29" s="1567"/>
    </row>
    <row r="30" spans="1:546" s="1184" customFormat="1" x14ac:dyDescent="0.25">
      <c r="B30" s="1533">
        <v>1</v>
      </c>
      <c r="C30" s="1568">
        <v>1</v>
      </c>
      <c r="D30" s="1569">
        <v>1</v>
      </c>
      <c r="E30" s="1570">
        <v>1</v>
      </c>
      <c r="F30" s="1523" t="s">
        <v>371</v>
      </c>
      <c r="G30" s="1523" t="s">
        <v>809</v>
      </c>
      <c r="H30" s="1569">
        <v>1</v>
      </c>
      <c r="I30" s="1569">
        <v>1</v>
      </c>
      <c r="J30" s="1523" t="s">
        <v>371</v>
      </c>
      <c r="K30" s="1523" t="s">
        <v>809</v>
      </c>
      <c r="L30" s="1569">
        <v>1</v>
      </c>
      <c r="M30" s="1569">
        <v>1</v>
      </c>
      <c r="N30" s="1523" t="s">
        <v>371</v>
      </c>
      <c r="O30" s="1523" t="s">
        <v>809</v>
      </c>
      <c r="P30" s="1569">
        <v>1</v>
      </c>
      <c r="Q30" s="1569">
        <v>1</v>
      </c>
      <c r="R30" s="1523" t="s">
        <v>371</v>
      </c>
      <c r="S30" s="1523"/>
      <c r="T30" s="1523"/>
      <c r="U30" s="1523" t="s">
        <v>809</v>
      </c>
      <c r="V30" s="1569">
        <v>1</v>
      </c>
      <c r="W30" s="1569">
        <v>1</v>
      </c>
      <c r="X30" s="1523">
        <v>1</v>
      </c>
      <c r="Y30" s="1523">
        <v>1</v>
      </c>
      <c r="AA30" s="1185"/>
    </row>
    <row r="31" spans="1:546" s="1571" customFormat="1" x14ac:dyDescent="0.25">
      <c r="B31" s="1542"/>
      <c r="C31" s="1542" t="s">
        <v>1574</v>
      </c>
      <c r="D31" s="1516"/>
      <c r="E31" s="1572"/>
      <c r="F31" s="1516">
        <f>F32+F33+F34+F35+F36</f>
        <v>30.1</v>
      </c>
      <c r="G31" s="1516">
        <f t="shared" ref="G31:Y31" si="3">G32+G33+G34+G35+G36</f>
        <v>0</v>
      </c>
      <c r="H31" s="1516">
        <f t="shared" si="3"/>
        <v>0</v>
      </c>
      <c r="I31" s="1516">
        <f t="shared" si="3"/>
        <v>0</v>
      </c>
      <c r="J31" s="1516">
        <f t="shared" si="3"/>
        <v>477.1</v>
      </c>
      <c r="K31" s="1516">
        <f t="shared" si="3"/>
        <v>30</v>
      </c>
      <c r="L31" s="1516">
        <f t="shared" si="3"/>
        <v>0</v>
      </c>
      <c r="M31" s="1516">
        <f t="shared" si="3"/>
        <v>0</v>
      </c>
      <c r="N31" s="1516">
        <f t="shared" si="3"/>
        <v>477.1</v>
      </c>
      <c r="O31" s="1516">
        <f t="shared" si="3"/>
        <v>30</v>
      </c>
      <c r="P31" s="1516"/>
      <c r="Q31" s="1516"/>
      <c r="R31" s="1516">
        <f t="shared" si="3"/>
        <v>477.1</v>
      </c>
      <c r="S31" s="1516">
        <f t="shared" si="3"/>
        <v>477.1</v>
      </c>
      <c r="T31" s="1516">
        <f t="shared" si="3"/>
        <v>0</v>
      </c>
      <c r="U31" s="1516">
        <f t="shared" si="3"/>
        <v>30</v>
      </c>
      <c r="V31" s="1516"/>
      <c r="W31" s="1516"/>
      <c r="X31" s="1516">
        <f t="shared" si="3"/>
        <v>477.1</v>
      </c>
      <c r="Y31" s="1516">
        <f t="shared" si="3"/>
        <v>477.1</v>
      </c>
      <c r="AE31" s="1192"/>
      <c r="AF31" s="1192"/>
      <c r="AG31" s="1192"/>
      <c r="AH31" s="1192"/>
      <c r="JN31" s="1192"/>
      <c r="JO31" s="1192"/>
      <c r="JQ31" s="1192"/>
      <c r="JR31" s="1192"/>
      <c r="JS31" s="1192"/>
      <c r="KA31" s="1192"/>
      <c r="KB31" s="1192"/>
      <c r="KC31" s="1192"/>
      <c r="KD31" s="1192"/>
      <c r="TJ31" s="1192"/>
      <c r="TK31" s="1192"/>
      <c r="TM31" s="1192"/>
      <c r="TN31" s="1192"/>
      <c r="TO31" s="1192"/>
      <c r="TW31" s="1192"/>
      <c r="TX31" s="1192"/>
      <c r="TY31" s="1192"/>
      <c r="TZ31" s="1192"/>
    </row>
    <row r="32" spans="1:546" s="1500" customFormat="1" x14ac:dyDescent="0.25">
      <c r="B32" s="1533">
        <v>921</v>
      </c>
      <c r="C32" s="1533"/>
      <c r="D32" s="1523"/>
      <c r="E32" s="1534"/>
      <c r="F32" s="1523">
        <f t="shared" ref="F32:O32" si="4">F23</f>
        <v>26.3</v>
      </c>
      <c r="G32" s="1523">
        <f t="shared" si="4"/>
        <v>0</v>
      </c>
      <c r="H32" s="1523">
        <f t="shared" si="4"/>
        <v>0</v>
      </c>
      <c r="I32" s="1523">
        <f t="shared" si="4"/>
        <v>0</v>
      </c>
      <c r="J32" s="1523">
        <f t="shared" si="4"/>
        <v>0</v>
      </c>
      <c r="K32" s="1523">
        <f t="shared" si="4"/>
        <v>0</v>
      </c>
      <c r="L32" s="1523">
        <f t="shared" si="4"/>
        <v>0</v>
      </c>
      <c r="M32" s="1523">
        <f t="shared" si="4"/>
        <v>0</v>
      </c>
      <c r="N32" s="1523">
        <f t="shared" si="4"/>
        <v>0</v>
      </c>
      <c r="O32" s="1523">
        <f t="shared" si="4"/>
        <v>0</v>
      </c>
      <c r="P32" s="1523"/>
      <c r="Q32" s="1523"/>
      <c r="R32" s="1523">
        <f>R23</f>
        <v>0</v>
      </c>
      <c r="S32" s="1523">
        <f>S23</f>
        <v>0</v>
      </c>
      <c r="T32" s="1523">
        <f>T23</f>
        <v>0</v>
      </c>
      <c r="U32" s="1523">
        <f>U23</f>
        <v>0</v>
      </c>
      <c r="V32" s="1523"/>
      <c r="W32" s="1523"/>
      <c r="X32" s="1523">
        <f>X23</f>
        <v>0</v>
      </c>
      <c r="Y32" s="1523">
        <f>Y23</f>
        <v>0</v>
      </c>
      <c r="Z32" s="1571"/>
      <c r="AE32" s="1184"/>
      <c r="AF32" s="1184"/>
      <c r="AG32" s="1184"/>
      <c r="AH32" s="1184"/>
      <c r="JN32" s="1184"/>
      <c r="JO32" s="1184"/>
      <c r="JQ32" s="1184"/>
      <c r="JR32" s="1184"/>
      <c r="JS32" s="1184"/>
      <c r="KA32" s="1184"/>
      <c r="KB32" s="1184"/>
      <c r="KC32" s="1184"/>
      <c r="KD32" s="1184"/>
      <c r="TJ32" s="1184"/>
      <c r="TK32" s="1184"/>
      <c r="TM32" s="1184"/>
      <c r="TN32" s="1184"/>
      <c r="TO32" s="1184"/>
      <c r="TW32" s="1184"/>
      <c r="TX32" s="1184"/>
      <c r="TY32" s="1184"/>
      <c r="TZ32" s="1184"/>
    </row>
    <row r="33" spans="2:546" s="1500" customFormat="1" x14ac:dyDescent="0.25">
      <c r="B33" s="1533">
        <v>954</v>
      </c>
      <c r="C33" s="1533"/>
      <c r="D33" s="1523"/>
      <c r="E33" s="1534"/>
      <c r="F33" s="1523">
        <f t="shared" ref="F33:O33" si="5">F27</f>
        <v>0</v>
      </c>
      <c r="G33" s="1523">
        <f t="shared" si="5"/>
        <v>0</v>
      </c>
      <c r="H33" s="1523">
        <f t="shared" si="5"/>
        <v>0</v>
      </c>
      <c r="I33" s="1523">
        <f t="shared" si="5"/>
        <v>0</v>
      </c>
      <c r="J33" s="1523">
        <f t="shared" si="5"/>
        <v>0</v>
      </c>
      <c r="K33" s="1523">
        <f t="shared" si="5"/>
        <v>0</v>
      </c>
      <c r="L33" s="1523">
        <f t="shared" si="5"/>
        <v>0</v>
      </c>
      <c r="M33" s="1523">
        <f t="shared" si="5"/>
        <v>0</v>
      </c>
      <c r="N33" s="1523">
        <f t="shared" si="5"/>
        <v>0</v>
      </c>
      <c r="O33" s="1523">
        <f t="shared" si="5"/>
        <v>0</v>
      </c>
      <c r="P33" s="1523"/>
      <c r="Q33" s="1523"/>
      <c r="R33" s="1523">
        <f>R27</f>
        <v>104.4</v>
      </c>
      <c r="S33" s="1523">
        <f>S27</f>
        <v>104.4</v>
      </c>
      <c r="T33" s="1523">
        <f>T27</f>
        <v>0</v>
      </c>
      <c r="U33" s="1523">
        <f>U27</f>
        <v>0</v>
      </c>
      <c r="V33" s="1523"/>
      <c r="W33" s="1523"/>
      <c r="X33" s="1523">
        <f>X27</f>
        <v>104.4</v>
      </c>
      <c r="Y33" s="1523">
        <f>Y27</f>
        <v>104.4</v>
      </c>
      <c r="Z33" s="1571"/>
      <c r="AE33" s="1184"/>
      <c r="AF33" s="1184"/>
      <c r="AG33" s="1184"/>
      <c r="AH33" s="1184"/>
      <c r="JN33" s="1184"/>
      <c r="JO33" s="1184"/>
      <c r="JQ33" s="1184"/>
      <c r="JR33" s="1184"/>
      <c r="JS33" s="1184"/>
      <c r="KA33" s="1184"/>
      <c r="KB33" s="1184"/>
      <c r="KC33" s="1184"/>
      <c r="KD33" s="1184"/>
      <c r="TJ33" s="1184"/>
      <c r="TK33" s="1184"/>
      <c r="TM33" s="1184"/>
      <c r="TN33" s="1184"/>
      <c r="TO33" s="1184"/>
      <c r="TW33" s="1184"/>
      <c r="TX33" s="1184"/>
      <c r="TY33" s="1184"/>
      <c r="TZ33" s="1184"/>
    </row>
    <row r="34" spans="2:546" s="1184" customFormat="1" x14ac:dyDescent="0.25">
      <c r="B34" s="1533">
        <v>963</v>
      </c>
      <c r="C34" s="1568"/>
      <c r="D34" s="1573"/>
      <c r="E34" s="1574"/>
      <c r="F34" s="1523">
        <f t="shared" ref="F34:O34" si="6">F14</f>
        <v>0</v>
      </c>
      <c r="G34" s="1523">
        <f t="shared" si="6"/>
        <v>0</v>
      </c>
      <c r="H34" s="1523">
        <f t="shared" si="6"/>
        <v>0</v>
      </c>
      <c r="I34" s="1523">
        <f t="shared" si="6"/>
        <v>0</v>
      </c>
      <c r="J34" s="1523">
        <f t="shared" si="6"/>
        <v>208</v>
      </c>
      <c r="K34" s="1523">
        <f t="shared" si="6"/>
        <v>30</v>
      </c>
      <c r="L34" s="1523">
        <f t="shared" si="6"/>
        <v>0</v>
      </c>
      <c r="M34" s="1523">
        <f t="shared" si="6"/>
        <v>0</v>
      </c>
      <c r="N34" s="1523">
        <f t="shared" si="6"/>
        <v>208</v>
      </c>
      <c r="O34" s="1523">
        <f t="shared" si="6"/>
        <v>30</v>
      </c>
      <c r="P34" s="1523"/>
      <c r="Q34" s="1523"/>
      <c r="R34" s="1523">
        <f>R14</f>
        <v>0</v>
      </c>
      <c r="S34" s="1523">
        <f>S14</f>
        <v>0</v>
      </c>
      <c r="T34" s="1523">
        <f>T14</f>
        <v>0</v>
      </c>
      <c r="U34" s="1523">
        <f>U14</f>
        <v>20</v>
      </c>
      <c r="V34" s="1523"/>
      <c r="W34" s="1523"/>
      <c r="X34" s="1523">
        <f>X14</f>
        <v>0</v>
      </c>
      <c r="Y34" s="1523">
        <f>Y14</f>
        <v>0</v>
      </c>
      <c r="AA34" s="1185"/>
    </row>
    <row r="35" spans="2:546" s="1184" customFormat="1" x14ac:dyDescent="0.25">
      <c r="B35" s="1533">
        <v>966</v>
      </c>
      <c r="C35" s="1568"/>
      <c r="D35" s="1573"/>
      <c r="E35" s="1574"/>
      <c r="F35" s="1523">
        <f t="shared" ref="F35:O35" si="7">F24+F26</f>
        <v>0</v>
      </c>
      <c r="G35" s="1523">
        <f t="shared" si="7"/>
        <v>0</v>
      </c>
      <c r="H35" s="1523">
        <f t="shared" si="7"/>
        <v>0</v>
      </c>
      <c r="I35" s="1523">
        <f t="shared" si="7"/>
        <v>0</v>
      </c>
      <c r="J35" s="1523">
        <f t="shared" si="7"/>
        <v>263.5</v>
      </c>
      <c r="K35" s="1523">
        <f t="shared" si="7"/>
        <v>0</v>
      </c>
      <c r="L35" s="1523">
        <f t="shared" si="7"/>
        <v>0</v>
      </c>
      <c r="M35" s="1523">
        <f t="shared" si="7"/>
        <v>0</v>
      </c>
      <c r="N35" s="1523">
        <f t="shared" si="7"/>
        <v>263.5</v>
      </c>
      <c r="O35" s="1523">
        <f t="shared" si="7"/>
        <v>0</v>
      </c>
      <c r="P35" s="1523"/>
      <c r="Q35" s="1523"/>
      <c r="R35" s="1523">
        <f>R24+R26</f>
        <v>188.6</v>
      </c>
      <c r="S35" s="1523">
        <f>S24+S26</f>
        <v>188.6</v>
      </c>
      <c r="T35" s="1523">
        <f>T24+T26</f>
        <v>0</v>
      </c>
      <c r="U35" s="1523">
        <f>U24+U26</f>
        <v>0</v>
      </c>
      <c r="V35" s="1523"/>
      <c r="W35" s="1523"/>
      <c r="X35" s="1523">
        <f>X24+X26</f>
        <v>188.6</v>
      </c>
      <c r="Y35" s="1523">
        <f>Y24+Y26</f>
        <v>188.6</v>
      </c>
      <c r="AA35" s="1185"/>
    </row>
    <row r="36" spans="2:546" s="1184" customFormat="1" x14ac:dyDescent="0.25">
      <c r="B36" s="1533">
        <v>981</v>
      </c>
      <c r="C36" s="1568"/>
      <c r="D36" s="1573"/>
      <c r="E36" s="1574"/>
      <c r="F36" s="1523">
        <f t="shared" ref="F36:O36" si="8">F18</f>
        <v>3.8</v>
      </c>
      <c r="G36" s="1523">
        <f t="shared" si="8"/>
        <v>0</v>
      </c>
      <c r="H36" s="1523">
        <f t="shared" si="8"/>
        <v>0</v>
      </c>
      <c r="I36" s="1523">
        <f t="shared" si="8"/>
        <v>0</v>
      </c>
      <c r="J36" s="1523">
        <f t="shared" si="8"/>
        <v>5.6</v>
      </c>
      <c r="K36" s="1523">
        <f t="shared" si="8"/>
        <v>0</v>
      </c>
      <c r="L36" s="1523">
        <f t="shared" si="8"/>
        <v>0</v>
      </c>
      <c r="M36" s="1523">
        <f t="shared" si="8"/>
        <v>0</v>
      </c>
      <c r="N36" s="1523">
        <f t="shared" si="8"/>
        <v>5.6</v>
      </c>
      <c r="O36" s="1523">
        <f t="shared" si="8"/>
        <v>0</v>
      </c>
      <c r="P36" s="1523"/>
      <c r="Q36" s="1523"/>
      <c r="R36" s="1523">
        <f>R18</f>
        <v>184.1</v>
      </c>
      <c r="S36" s="1523">
        <f>S18</f>
        <v>184.1</v>
      </c>
      <c r="T36" s="1523">
        <f>T18</f>
        <v>0</v>
      </c>
      <c r="U36" s="1523">
        <f>U18</f>
        <v>10</v>
      </c>
      <c r="V36" s="1523"/>
      <c r="W36" s="1523"/>
      <c r="X36" s="1523">
        <f>X18</f>
        <v>184.1</v>
      </c>
      <c r="Y36" s="1523">
        <f>Y18</f>
        <v>184.1</v>
      </c>
      <c r="AA36" s="1185"/>
    </row>
    <row r="37" spans="2:546" x14ac:dyDescent="0.25">
      <c r="D37" s="1576"/>
      <c r="E37" s="1577"/>
      <c r="F37" s="1220"/>
      <c r="G37" s="1220"/>
      <c r="H37" s="1220"/>
      <c r="I37" s="1220"/>
      <c r="J37" s="1220"/>
      <c r="K37" s="1220"/>
      <c r="L37" s="1220"/>
      <c r="M37" s="1220"/>
      <c r="N37" s="1220"/>
      <c r="O37" s="1220"/>
      <c r="P37" s="1220"/>
      <c r="Q37" s="1220"/>
      <c r="R37" s="1220"/>
      <c r="S37" s="1220"/>
      <c r="T37" s="1220"/>
      <c r="U37" s="1220"/>
      <c r="V37" s="1220"/>
      <c r="W37" s="1220"/>
      <c r="X37" s="1220"/>
      <c r="Y37" s="1220"/>
    </row>
    <row r="38" spans="2:546" s="1184" customFormat="1" hidden="1" x14ac:dyDescent="0.25">
      <c r="B38" s="1533">
        <v>912</v>
      </c>
      <c r="C38" s="1568"/>
      <c r="D38" s="1569"/>
      <c r="E38" s="1570"/>
      <c r="F38" s="1578" t="e">
        <f>#REF!+#REF!+#REF!</f>
        <v>#REF!</v>
      </c>
      <c r="G38" s="1578" t="e">
        <f>#REF!+#REF!+#REF!</f>
        <v>#REF!</v>
      </c>
      <c r="H38" s="1578" t="e">
        <f>#REF!+#REF!+#REF!</f>
        <v>#REF!</v>
      </c>
      <c r="I38" s="1578" t="e">
        <f>#REF!+#REF!+#REF!</f>
        <v>#REF!</v>
      </c>
      <c r="J38" s="1578" t="e">
        <f>#REF!+#REF!+#REF!</f>
        <v>#REF!</v>
      </c>
      <c r="K38" s="1578" t="e">
        <f>#REF!+#REF!+#REF!</f>
        <v>#REF!</v>
      </c>
      <c r="L38" s="1578" t="e">
        <f>#REF!+#REF!+#REF!</f>
        <v>#REF!</v>
      </c>
      <c r="M38" s="1578" t="e">
        <f>#REF!+#REF!+#REF!</f>
        <v>#REF!</v>
      </c>
      <c r="N38" s="1578" t="e">
        <f>#REF!+#REF!+#REF!</f>
        <v>#REF!</v>
      </c>
      <c r="O38" s="1578" t="e">
        <f>#REF!+#REF!+#REF!</f>
        <v>#REF!</v>
      </c>
      <c r="P38" s="1578" t="e">
        <f>#REF!+#REF!+#REF!</f>
        <v>#REF!</v>
      </c>
      <c r="Q38" s="1578" t="e">
        <f>#REF!+#REF!+#REF!</f>
        <v>#REF!</v>
      </c>
      <c r="R38" s="1578" t="e">
        <f>#REF!+#REF!+#REF!</f>
        <v>#REF!</v>
      </c>
      <c r="S38" s="1578"/>
      <c r="T38" s="1578"/>
      <c r="U38" s="1578" t="e">
        <f>#REF!+#REF!+#REF!</f>
        <v>#REF!</v>
      </c>
      <c r="V38" s="1578" t="e">
        <f>#REF!+#REF!+#REF!</f>
        <v>#REF!</v>
      </c>
      <c r="W38" s="1578" t="e">
        <f>#REF!+#REF!+#REF!</f>
        <v>#REF!</v>
      </c>
      <c r="X38" s="1578" t="e">
        <f>#REF!+#REF!+#REF!</f>
        <v>#REF!</v>
      </c>
      <c r="Y38" s="1578" t="e">
        <f>#REF!+#REF!+#REF!</f>
        <v>#REF!</v>
      </c>
      <c r="AA38" s="1185"/>
    </row>
    <row r="39" spans="2:546" s="1184" customFormat="1" hidden="1" x14ac:dyDescent="0.25">
      <c r="B39" s="1533">
        <v>921</v>
      </c>
      <c r="C39" s="1568"/>
      <c r="D39" s="1569"/>
      <c r="E39" s="1570"/>
      <c r="F39" s="1578" t="e">
        <f>F32+#REF!+#REF!+#REF!</f>
        <v>#REF!</v>
      </c>
      <c r="G39" s="1578" t="e">
        <f>G32+#REF!+#REF!+#REF!</f>
        <v>#REF!</v>
      </c>
      <c r="H39" s="1578" t="e">
        <f>H32+#REF!+#REF!+#REF!</f>
        <v>#REF!</v>
      </c>
      <c r="I39" s="1578" t="e">
        <f>I32+#REF!+#REF!+#REF!</f>
        <v>#REF!</v>
      </c>
      <c r="J39" s="1578" t="e">
        <f>J32+#REF!+#REF!+#REF!</f>
        <v>#REF!</v>
      </c>
      <c r="K39" s="1578" t="e">
        <f>K32+#REF!+#REF!+#REF!</f>
        <v>#REF!</v>
      </c>
      <c r="L39" s="1578" t="e">
        <f>L32+#REF!+#REF!+#REF!</f>
        <v>#REF!</v>
      </c>
      <c r="M39" s="1578" t="e">
        <f>M32+#REF!+#REF!+#REF!</f>
        <v>#REF!</v>
      </c>
      <c r="N39" s="1578" t="e">
        <f>N32+#REF!+#REF!+#REF!</f>
        <v>#REF!</v>
      </c>
      <c r="O39" s="1578" t="e">
        <f>O32+#REF!+#REF!+#REF!</f>
        <v>#REF!</v>
      </c>
      <c r="P39" s="1578" t="e">
        <f>P32+#REF!+#REF!+#REF!</f>
        <v>#REF!</v>
      </c>
      <c r="Q39" s="1578" t="e">
        <f>Q32+#REF!+#REF!+#REF!</f>
        <v>#REF!</v>
      </c>
      <c r="R39" s="1578" t="e">
        <f>R32+#REF!+#REF!+#REF!</f>
        <v>#REF!</v>
      </c>
      <c r="S39" s="1578"/>
      <c r="T39" s="1578"/>
      <c r="U39" s="1578" t="e">
        <f>U32+#REF!+#REF!+#REF!</f>
        <v>#REF!</v>
      </c>
      <c r="V39" s="1578" t="e">
        <f>V32+#REF!+#REF!+#REF!</f>
        <v>#REF!</v>
      </c>
      <c r="W39" s="1578" t="e">
        <f>W32+#REF!+#REF!+#REF!</f>
        <v>#REF!</v>
      </c>
      <c r="X39" s="1578" t="e">
        <f>X32+#REF!+#REF!+#REF!</f>
        <v>#REF!</v>
      </c>
      <c r="Y39" s="1578" t="e">
        <f>Y32+#REF!+#REF!+#REF!</f>
        <v>#REF!</v>
      </c>
      <c r="AA39" s="1185"/>
    </row>
    <row r="40" spans="2:546" s="1184" customFormat="1" hidden="1" x14ac:dyDescent="0.25">
      <c r="B40" s="1533">
        <v>922</v>
      </c>
      <c r="C40" s="1568"/>
      <c r="D40" s="1569"/>
      <c r="E40" s="1570"/>
      <c r="F40" s="1578" t="e">
        <f>#REF!+#REF!+#REF!+#REF!</f>
        <v>#REF!</v>
      </c>
      <c r="G40" s="1578" t="e">
        <f>#REF!+#REF!+#REF!+#REF!</f>
        <v>#REF!</v>
      </c>
      <c r="H40" s="1578" t="e">
        <f>#REF!+#REF!+#REF!+#REF!</f>
        <v>#REF!</v>
      </c>
      <c r="I40" s="1578" t="e">
        <f>#REF!+#REF!+#REF!+#REF!</f>
        <v>#REF!</v>
      </c>
      <c r="J40" s="1578" t="e">
        <f>#REF!+#REF!+#REF!+#REF!</f>
        <v>#REF!</v>
      </c>
      <c r="K40" s="1578" t="e">
        <f>#REF!+#REF!+#REF!+#REF!</f>
        <v>#REF!</v>
      </c>
      <c r="L40" s="1578" t="e">
        <f>#REF!+#REF!+#REF!+#REF!</f>
        <v>#REF!</v>
      </c>
      <c r="M40" s="1578" t="e">
        <f>#REF!+#REF!+#REF!+#REF!</f>
        <v>#REF!</v>
      </c>
      <c r="N40" s="1578" t="e">
        <f>#REF!+#REF!+#REF!+#REF!</f>
        <v>#REF!</v>
      </c>
      <c r="O40" s="1578" t="e">
        <f>#REF!+#REF!+#REF!+#REF!</f>
        <v>#REF!</v>
      </c>
      <c r="P40" s="1578" t="e">
        <f>#REF!+#REF!+#REF!+#REF!</f>
        <v>#REF!</v>
      </c>
      <c r="Q40" s="1578" t="e">
        <f>#REF!+#REF!+#REF!+#REF!</f>
        <v>#REF!</v>
      </c>
      <c r="R40" s="1578" t="e">
        <f>#REF!+#REF!+#REF!+#REF!</f>
        <v>#REF!</v>
      </c>
      <c r="S40" s="1578"/>
      <c r="T40" s="1578"/>
      <c r="U40" s="1578" t="e">
        <f>#REF!+#REF!+#REF!+#REF!</f>
        <v>#REF!</v>
      </c>
      <c r="V40" s="1578" t="e">
        <f>#REF!+#REF!+#REF!+#REF!</f>
        <v>#REF!</v>
      </c>
      <c r="W40" s="1578" t="e">
        <f>#REF!+#REF!+#REF!+#REF!</f>
        <v>#REF!</v>
      </c>
      <c r="X40" s="1578" t="e">
        <f>#REF!+#REF!+#REF!+#REF!</f>
        <v>#REF!</v>
      </c>
      <c r="Y40" s="1578" t="e">
        <f>#REF!+#REF!+#REF!+#REF!</f>
        <v>#REF!</v>
      </c>
      <c r="AA40" s="1185"/>
    </row>
    <row r="41" spans="2:546" s="1184" customFormat="1" hidden="1" x14ac:dyDescent="0.25">
      <c r="B41" s="1533">
        <v>925</v>
      </c>
      <c r="C41" s="1568"/>
      <c r="D41" s="1569"/>
      <c r="E41" s="1570"/>
      <c r="F41" s="1578" t="e">
        <f>#REF!</f>
        <v>#REF!</v>
      </c>
      <c r="G41" s="1578" t="e">
        <f>#REF!</f>
        <v>#REF!</v>
      </c>
      <c r="H41" s="1578" t="e">
        <f>#REF!</f>
        <v>#REF!</v>
      </c>
      <c r="I41" s="1578" t="e">
        <f>#REF!</f>
        <v>#REF!</v>
      </c>
      <c r="J41" s="1578" t="e">
        <f>#REF!</f>
        <v>#REF!</v>
      </c>
      <c r="K41" s="1578" t="e">
        <f>#REF!</f>
        <v>#REF!</v>
      </c>
      <c r="L41" s="1578" t="e">
        <f>#REF!</f>
        <v>#REF!</v>
      </c>
      <c r="M41" s="1578" t="e">
        <f>#REF!</f>
        <v>#REF!</v>
      </c>
      <c r="N41" s="1578" t="e">
        <f>#REF!</f>
        <v>#REF!</v>
      </c>
      <c r="O41" s="1578" t="e">
        <f>#REF!</f>
        <v>#REF!</v>
      </c>
      <c r="P41" s="1578" t="e">
        <f>#REF!</f>
        <v>#REF!</v>
      </c>
      <c r="Q41" s="1578" t="e">
        <f>#REF!</f>
        <v>#REF!</v>
      </c>
      <c r="R41" s="1578" t="e">
        <f>#REF!</f>
        <v>#REF!</v>
      </c>
      <c r="S41" s="1578"/>
      <c r="T41" s="1578"/>
      <c r="U41" s="1578" t="e">
        <f>#REF!</f>
        <v>#REF!</v>
      </c>
      <c r="V41" s="1578" t="e">
        <f>#REF!</f>
        <v>#REF!</v>
      </c>
      <c r="W41" s="1578" t="e">
        <f>#REF!</f>
        <v>#REF!</v>
      </c>
      <c r="X41" s="1578" t="e">
        <f>#REF!</f>
        <v>#REF!</v>
      </c>
      <c r="Y41" s="1578" t="e">
        <f>#REF!</f>
        <v>#REF!</v>
      </c>
      <c r="AA41" s="1185"/>
    </row>
    <row r="42" spans="2:546" s="1184" customFormat="1" hidden="1" x14ac:dyDescent="0.25">
      <c r="B42" s="1533">
        <v>926</v>
      </c>
      <c r="C42" s="1568"/>
      <c r="D42" s="1569"/>
      <c r="E42" s="1570"/>
      <c r="F42" s="1578" t="e">
        <f>#REF!</f>
        <v>#REF!</v>
      </c>
      <c r="G42" s="1578" t="e">
        <f>#REF!</f>
        <v>#REF!</v>
      </c>
      <c r="H42" s="1578" t="e">
        <f>#REF!</f>
        <v>#REF!</v>
      </c>
      <c r="I42" s="1578" t="e">
        <f>#REF!</f>
        <v>#REF!</v>
      </c>
      <c r="J42" s="1578" t="e">
        <f>#REF!</f>
        <v>#REF!</v>
      </c>
      <c r="K42" s="1578" t="e">
        <f>#REF!</f>
        <v>#REF!</v>
      </c>
      <c r="L42" s="1578" t="e">
        <f>#REF!</f>
        <v>#REF!</v>
      </c>
      <c r="M42" s="1578" t="e">
        <f>#REF!</f>
        <v>#REF!</v>
      </c>
      <c r="N42" s="1578" t="e">
        <f>#REF!</f>
        <v>#REF!</v>
      </c>
      <c r="O42" s="1578" t="e">
        <f>#REF!</f>
        <v>#REF!</v>
      </c>
      <c r="P42" s="1578" t="e">
        <f>#REF!</f>
        <v>#REF!</v>
      </c>
      <c r="Q42" s="1578" t="e">
        <f>#REF!</f>
        <v>#REF!</v>
      </c>
      <c r="R42" s="1578" t="e">
        <f>#REF!</f>
        <v>#REF!</v>
      </c>
      <c r="S42" s="1578"/>
      <c r="T42" s="1578"/>
      <c r="U42" s="1578" t="e">
        <f>#REF!</f>
        <v>#REF!</v>
      </c>
      <c r="V42" s="1578" t="e">
        <f>#REF!</f>
        <v>#REF!</v>
      </c>
      <c r="W42" s="1578" t="e">
        <f>#REF!</f>
        <v>#REF!</v>
      </c>
      <c r="X42" s="1578" t="e">
        <f>#REF!</f>
        <v>#REF!</v>
      </c>
      <c r="Y42" s="1578" t="e">
        <f>#REF!</f>
        <v>#REF!</v>
      </c>
      <c r="AA42" s="1185"/>
    </row>
    <row r="43" spans="2:546" s="1184" customFormat="1" hidden="1" x14ac:dyDescent="0.25">
      <c r="B43" s="1533">
        <v>951</v>
      </c>
      <c r="C43" s="1568"/>
      <c r="D43" s="1569"/>
      <c r="E43" s="1570"/>
      <c r="F43" s="1578" t="e">
        <f>#REF!</f>
        <v>#REF!</v>
      </c>
      <c r="G43" s="1578" t="e">
        <f>#REF!</f>
        <v>#REF!</v>
      </c>
      <c r="H43" s="1578" t="e">
        <f>#REF!</f>
        <v>#REF!</v>
      </c>
      <c r="I43" s="1578" t="e">
        <f>#REF!</f>
        <v>#REF!</v>
      </c>
      <c r="J43" s="1578" t="e">
        <f>#REF!</f>
        <v>#REF!</v>
      </c>
      <c r="K43" s="1578" t="e">
        <f>#REF!</f>
        <v>#REF!</v>
      </c>
      <c r="L43" s="1578" t="e">
        <f>#REF!</f>
        <v>#REF!</v>
      </c>
      <c r="M43" s="1578" t="e">
        <f>#REF!</f>
        <v>#REF!</v>
      </c>
      <c r="N43" s="1578" t="e">
        <f>#REF!</f>
        <v>#REF!</v>
      </c>
      <c r="O43" s="1578" t="e">
        <f>#REF!</f>
        <v>#REF!</v>
      </c>
      <c r="P43" s="1578" t="e">
        <f>#REF!</f>
        <v>#REF!</v>
      </c>
      <c r="Q43" s="1578" t="e">
        <f>#REF!</f>
        <v>#REF!</v>
      </c>
      <c r="R43" s="1578" t="e">
        <f>#REF!</f>
        <v>#REF!</v>
      </c>
      <c r="S43" s="1578"/>
      <c r="T43" s="1578"/>
      <c r="U43" s="1578" t="e">
        <f>#REF!</f>
        <v>#REF!</v>
      </c>
      <c r="V43" s="1578" t="e">
        <f>#REF!</f>
        <v>#REF!</v>
      </c>
      <c r="W43" s="1578" t="e">
        <f>#REF!</f>
        <v>#REF!</v>
      </c>
      <c r="X43" s="1578" t="e">
        <f>#REF!</f>
        <v>#REF!</v>
      </c>
      <c r="Y43" s="1578" t="e">
        <f>#REF!</f>
        <v>#REF!</v>
      </c>
      <c r="AA43" s="1185"/>
    </row>
    <row r="44" spans="2:546" s="1184" customFormat="1" hidden="1" x14ac:dyDescent="0.25">
      <c r="B44" s="1533">
        <v>952</v>
      </c>
      <c r="C44" s="1568"/>
      <c r="D44" s="1569"/>
      <c r="E44" s="1570"/>
      <c r="F44" s="1578" t="e">
        <f>#REF!+#REF!+#REF!</f>
        <v>#REF!</v>
      </c>
      <c r="G44" s="1578" t="e">
        <f>#REF!+#REF!+#REF!</f>
        <v>#REF!</v>
      </c>
      <c r="H44" s="1578" t="e">
        <f>#REF!+#REF!+#REF!</f>
        <v>#REF!</v>
      </c>
      <c r="I44" s="1578" t="e">
        <f>#REF!+#REF!+#REF!</f>
        <v>#REF!</v>
      </c>
      <c r="J44" s="1578" t="e">
        <f>#REF!+#REF!+#REF!</f>
        <v>#REF!</v>
      </c>
      <c r="K44" s="1578" t="e">
        <f>#REF!+#REF!+#REF!</f>
        <v>#REF!</v>
      </c>
      <c r="L44" s="1578" t="e">
        <f>#REF!+#REF!+#REF!</f>
        <v>#REF!</v>
      </c>
      <c r="M44" s="1578" t="e">
        <f>#REF!+#REF!+#REF!</f>
        <v>#REF!</v>
      </c>
      <c r="N44" s="1578" t="e">
        <f>#REF!+#REF!+#REF!</f>
        <v>#REF!</v>
      </c>
      <c r="O44" s="1578" t="e">
        <f>#REF!+#REF!+#REF!</f>
        <v>#REF!</v>
      </c>
      <c r="P44" s="1578" t="e">
        <f>#REF!+#REF!+#REF!</f>
        <v>#REF!</v>
      </c>
      <c r="Q44" s="1578" t="e">
        <f>#REF!+#REF!+#REF!</f>
        <v>#REF!</v>
      </c>
      <c r="R44" s="1578" t="e">
        <f>#REF!+#REF!+#REF!</f>
        <v>#REF!</v>
      </c>
      <c r="S44" s="1578"/>
      <c r="T44" s="1578"/>
      <c r="U44" s="1578" t="e">
        <f>#REF!+#REF!+#REF!</f>
        <v>#REF!</v>
      </c>
      <c r="V44" s="1578" t="e">
        <f>#REF!+#REF!+#REF!</f>
        <v>#REF!</v>
      </c>
      <c r="W44" s="1578" t="e">
        <f>#REF!+#REF!+#REF!</f>
        <v>#REF!</v>
      </c>
      <c r="X44" s="1578" t="e">
        <f>#REF!+#REF!+#REF!</f>
        <v>#REF!</v>
      </c>
      <c r="Y44" s="1578" t="e">
        <f>#REF!+#REF!+#REF!</f>
        <v>#REF!</v>
      </c>
      <c r="AA44" s="1185"/>
    </row>
    <row r="45" spans="2:546" s="1184" customFormat="1" hidden="1" x14ac:dyDescent="0.25">
      <c r="B45" s="1533">
        <v>953</v>
      </c>
      <c r="C45" s="1568"/>
      <c r="D45" s="1569"/>
      <c r="E45" s="1570"/>
      <c r="F45" s="1578" t="e">
        <f>#REF!+#REF!</f>
        <v>#REF!</v>
      </c>
      <c r="G45" s="1578" t="e">
        <f>#REF!+#REF!</f>
        <v>#REF!</v>
      </c>
      <c r="H45" s="1578" t="e">
        <f>#REF!+#REF!</f>
        <v>#REF!</v>
      </c>
      <c r="I45" s="1578" t="e">
        <f>#REF!+#REF!</f>
        <v>#REF!</v>
      </c>
      <c r="J45" s="1578" t="e">
        <f>#REF!+#REF!</f>
        <v>#REF!</v>
      </c>
      <c r="K45" s="1578" t="e">
        <f>#REF!+#REF!</f>
        <v>#REF!</v>
      </c>
      <c r="L45" s="1578" t="e">
        <f>#REF!+#REF!</f>
        <v>#REF!</v>
      </c>
      <c r="M45" s="1578" t="e">
        <f>#REF!+#REF!</f>
        <v>#REF!</v>
      </c>
      <c r="N45" s="1578" t="e">
        <f>#REF!+#REF!</f>
        <v>#REF!</v>
      </c>
      <c r="O45" s="1578" t="e">
        <f>#REF!+#REF!</f>
        <v>#REF!</v>
      </c>
      <c r="P45" s="1578" t="e">
        <f>#REF!+#REF!</f>
        <v>#REF!</v>
      </c>
      <c r="Q45" s="1578" t="e">
        <f>#REF!+#REF!</f>
        <v>#REF!</v>
      </c>
      <c r="R45" s="1578" t="e">
        <f>#REF!+#REF!</f>
        <v>#REF!</v>
      </c>
      <c r="S45" s="1578"/>
      <c r="T45" s="1578"/>
      <c r="U45" s="1578" t="e">
        <f>#REF!+#REF!</f>
        <v>#REF!</v>
      </c>
      <c r="V45" s="1578" t="e">
        <f>#REF!+#REF!</f>
        <v>#REF!</v>
      </c>
      <c r="W45" s="1578" t="e">
        <f>#REF!+#REF!</f>
        <v>#REF!</v>
      </c>
      <c r="X45" s="1578" t="e">
        <f>#REF!+#REF!</f>
        <v>#REF!</v>
      </c>
      <c r="Y45" s="1578" t="e">
        <f>#REF!+#REF!</f>
        <v>#REF!</v>
      </c>
      <c r="AA45" s="1185"/>
    </row>
    <row r="46" spans="2:546" s="1184" customFormat="1" hidden="1" x14ac:dyDescent="0.25">
      <c r="B46" s="1533">
        <v>954</v>
      </c>
      <c r="C46" s="1568"/>
      <c r="D46" s="1569"/>
      <c r="E46" s="1570"/>
      <c r="F46" s="1578" t="e">
        <f>#REF!+#REF!+#REF!+#REF!+#REF!+#REF!+#REF!</f>
        <v>#REF!</v>
      </c>
      <c r="G46" s="1578" t="e">
        <f>#REF!+#REF!+#REF!+#REF!+#REF!+#REF!+#REF!</f>
        <v>#REF!</v>
      </c>
      <c r="H46" s="1578" t="e">
        <f>#REF!+#REF!+#REF!+#REF!+#REF!+#REF!+#REF!</f>
        <v>#REF!</v>
      </c>
      <c r="I46" s="1578" t="e">
        <f>#REF!+#REF!+#REF!+#REF!+#REF!+#REF!+#REF!</f>
        <v>#REF!</v>
      </c>
      <c r="J46" s="1578" t="e">
        <f>#REF!+#REF!+#REF!+#REF!+#REF!+#REF!+#REF!</f>
        <v>#REF!</v>
      </c>
      <c r="K46" s="1578" t="e">
        <f>#REF!+#REF!+#REF!+#REF!+#REF!+#REF!+#REF!</f>
        <v>#REF!</v>
      </c>
      <c r="L46" s="1578" t="e">
        <f>#REF!+#REF!+#REF!+#REF!+#REF!+#REF!+#REF!</f>
        <v>#REF!</v>
      </c>
      <c r="M46" s="1578" t="e">
        <f>#REF!+#REF!+#REF!+#REF!+#REF!+#REF!+#REF!</f>
        <v>#REF!</v>
      </c>
      <c r="N46" s="1578" t="e">
        <f>#REF!+#REF!+#REF!+#REF!+#REF!+#REF!+#REF!</f>
        <v>#REF!</v>
      </c>
      <c r="O46" s="1578" t="e">
        <f>#REF!+#REF!+#REF!+#REF!+#REF!+#REF!+#REF!</f>
        <v>#REF!</v>
      </c>
      <c r="P46" s="1578" t="e">
        <f>#REF!+#REF!+#REF!+#REF!+#REF!+#REF!+#REF!</f>
        <v>#REF!</v>
      </c>
      <c r="Q46" s="1578" t="e">
        <f>#REF!+#REF!+#REF!+#REF!+#REF!+#REF!+#REF!</f>
        <v>#REF!</v>
      </c>
      <c r="R46" s="1578" t="e">
        <f>#REF!+#REF!+#REF!+#REF!+#REF!+#REF!+#REF!+R33</f>
        <v>#REF!</v>
      </c>
      <c r="S46" s="1578"/>
      <c r="T46" s="1578"/>
      <c r="U46" s="1578" t="e">
        <f>#REF!+#REF!+#REF!+#REF!+#REF!+#REF!+#REF!</f>
        <v>#REF!</v>
      </c>
      <c r="V46" s="1578" t="e">
        <f>#REF!+#REF!+#REF!+#REF!+#REF!+#REF!+#REF!</f>
        <v>#REF!</v>
      </c>
      <c r="W46" s="1578" t="e">
        <f>#REF!+#REF!+#REF!+#REF!+#REF!+#REF!+#REF!</f>
        <v>#REF!</v>
      </c>
      <c r="X46" s="1578" t="e">
        <f>#REF!+#REF!+#REF!+#REF!+#REF!+#REF!+#REF!+X33</f>
        <v>#REF!</v>
      </c>
      <c r="Y46" s="1578" t="e">
        <f>#REF!+#REF!+#REF!+#REF!+#REF!+#REF!+#REF!+Y33</f>
        <v>#REF!</v>
      </c>
      <c r="AA46" s="1185"/>
    </row>
    <row r="47" spans="2:546" s="1184" customFormat="1" hidden="1" x14ac:dyDescent="0.25">
      <c r="B47" s="1533">
        <v>955</v>
      </c>
      <c r="C47" s="1568"/>
      <c r="D47" s="1569"/>
      <c r="E47" s="1570"/>
      <c r="F47" s="1578" t="e">
        <f>F33+#REF!+#REF!+#REF!+#REF!+#REF!+#REF!</f>
        <v>#REF!</v>
      </c>
      <c r="G47" s="1578" t="e">
        <f>G33+#REF!+#REF!+#REF!+#REF!+#REF!+#REF!</f>
        <v>#REF!</v>
      </c>
      <c r="H47" s="1578" t="e">
        <f>H33+#REF!+#REF!+#REF!+#REF!+#REF!+#REF!</f>
        <v>#REF!</v>
      </c>
      <c r="I47" s="1578" t="e">
        <f>I33+#REF!+#REF!+#REF!+#REF!+#REF!+#REF!</f>
        <v>#REF!</v>
      </c>
      <c r="J47" s="1578" t="e">
        <f>J33+#REF!+#REF!+#REF!+#REF!+#REF!+#REF!</f>
        <v>#REF!</v>
      </c>
      <c r="K47" s="1578" t="e">
        <f>K33+#REF!+#REF!+#REF!+#REF!+#REF!+#REF!</f>
        <v>#REF!</v>
      </c>
      <c r="L47" s="1578" t="e">
        <f>L33+#REF!+#REF!+#REF!+#REF!+#REF!+#REF!</f>
        <v>#REF!</v>
      </c>
      <c r="M47" s="1578" t="e">
        <f>M33+#REF!+#REF!+#REF!+#REF!+#REF!+#REF!</f>
        <v>#REF!</v>
      </c>
      <c r="N47" s="1578" t="e">
        <f>N33+#REF!+#REF!+#REF!+#REF!+#REF!+#REF!</f>
        <v>#REF!</v>
      </c>
      <c r="O47" s="1578" t="e">
        <f>O33+#REF!+#REF!+#REF!+#REF!+#REF!+#REF!</f>
        <v>#REF!</v>
      </c>
      <c r="P47" s="1578" t="e">
        <f>P33+#REF!+#REF!+#REF!+#REF!+#REF!+#REF!</f>
        <v>#REF!</v>
      </c>
      <c r="Q47" s="1578" t="e">
        <f>Q33+#REF!+#REF!+#REF!+#REF!+#REF!+#REF!</f>
        <v>#REF!</v>
      </c>
      <c r="R47" s="1578" t="e">
        <f>R33+#REF!+#REF!+#REF!+#REF!+#REF!+#REF!</f>
        <v>#REF!</v>
      </c>
      <c r="S47" s="1578"/>
      <c r="T47" s="1578"/>
      <c r="U47" s="1578" t="e">
        <f>U33+#REF!+#REF!+#REF!+#REF!+#REF!+#REF!</f>
        <v>#REF!</v>
      </c>
      <c r="V47" s="1578" t="e">
        <f>V33+#REF!+#REF!+#REF!+#REF!+#REF!+#REF!</f>
        <v>#REF!</v>
      </c>
      <c r="W47" s="1578" t="e">
        <f>W33+#REF!+#REF!+#REF!+#REF!+#REF!+#REF!</f>
        <v>#REF!</v>
      </c>
      <c r="X47" s="1578" t="e">
        <f>#REF!+#REF!+#REF!+#REF!+#REF!+#REF!</f>
        <v>#REF!</v>
      </c>
      <c r="Y47" s="1578" t="e">
        <f>#REF!+#REF!+#REF!+#REF!+#REF!+#REF!</f>
        <v>#REF!</v>
      </c>
      <c r="AA47" s="1185"/>
    </row>
    <row r="48" spans="2:546" s="1184" customFormat="1" hidden="1" x14ac:dyDescent="0.25">
      <c r="B48" s="1533">
        <v>958</v>
      </c>
      <c r="C48" s="1568"/>
      <c r="D48" s="1569"/>
      <c r="E48" s="1570"/>
      <c r="F48" s="1578" t="e">
        <f>#REF!</f>
        <v>#REF!</v>
      </c>
      <c r="G48" s="1578" t="e">
        <f>#REF!</f>
        <v>#REF!</v>
      </c>
      <c r="H48" s="1578" t="e">
        <f>#REF!</f>
        <v>#REF!</v>
      </c>
      <c r="I48" s="1578" t="e">
        <f>#REF!</f>
        <v>#REF!</v>
      </c>
      <c r="J48" s="1578" t="e">
        <f>#REF!</f>
        <v>#REF!</v>
      </c>
      <c r="K48" s="1578" t="e">
        <f>#REF!</f>
        <v>#REF!</v>
      </c>
      <c r="L48" s="1578" t="e">
        <f>#REF!</f>
        <v>#REF!</v>
      </c>
      <c r="M48" s="1578" t="e">
        <f>#REF!</f>
        <v>#REF!</v>
      </c>
      <c r="N48" s="1578" t="e">
        <f>#REF!</f>
        <v>#REF!</v>
      </c>
      <c r="O48" s="1578" t="e">
        <f>#REF!</f>
        <v>#REF!</v>
      </c>
      <c r="P48" s="1578" t="e">
        <f>#REF!</f>
        <v>#REF!</v>
      </c>
      <c r="Q48" s="1578" t="e">
        <f>#REF!</f>
        <v>#REF!</v>
      </c>
      <c r="R48" s="1578" t="e">
        <f>#REF!</f>
        <v>#REF!</v>
      </c>
      <c r="S48" s="1578"/>
      <c r="T48" s="1578"/>
      <c r="U48" s="1578" t="e">
        <f>#REF!</f>
        <v>#REF!</v>
      </c>
      <c r="V48" s="1578" t="e">
        <f>#REF!</f>
        <v>#REF!</v>
      </c>
      <c r="W48" s="1578" t="e">
        <f>#REF!</f>
        <v>#REF!</v>
      </c>
      <c r="X48" s="1578" t="e">
        <f>#REF!</f>
        <v>#REF!</v>
      </c>
      <c r="Y48" s="1578" t="e">
        <f>#REF!</f>
        <v>#REF!</v>
      </c>
      <c r="AA48" s="1185"/>
    </row>
    <row r="49" spans="2:27" s="1184" customFormat="1" hidden="1" x14ac:dyDescent="0.25">
      <c r="B49" s="1533">
        <v>963</v>
      </c>
      <c r="C49" s="1568"/>
      <c r="D49" s="1569"/>
      <c r="E49" s="1570"/>
      <c r="F49" s="1578" t="e">
        <f>#REF!+#REF!+F34+#REF!+#REF!+#REF!+#REF!+#REF!+#REF!+#REF!+#REF!+#REF!+#REF!</f>
        <v>#REF!</v>
      </c>
      <c r="G49" s="1578" t="e">
        <f>#REF!+#REF!+G34+#REF!+#REF!+#REF!+#REF!+#REF!+#REF!+#REF!+#REF!+#REF!+#REF!</f>
        <v>#REF!</v>
      </c>
      <c r="H49" s="1578" t="e">
        <f>#REF!+#REF!+H34+#REF!+#REF!+#REF!+#REF!+#REF!+#REF!+#REF!+#REF!+#REF!+#REF!</f>
        <v>#REF!</v>
      </c>
      <c r="I49" s="1578" t="e">
        <f>#REF!+#REF!+I34+#REF!+#REF!+#REF!+#REF!+#REF!+#REF!+#REF!+#REF!+#REF!+#REF!</f>
        <v>#REF!</v>
      </c>
      <c r="J49" s="1578" t="e">
        <f>#REF!+#REF!+J34+#REF!+#REF!+#REF!+#REF!+#REF!+#REF!+#REF!+#REF!+#REF!+#REF!</f>
        <v>#REF!</v>
      </c>
      <c r="K49" s="1578" t="e">
        <f>#REF!+#REF!+K34+#REF!+#REF!+#REF!+#REF!+#REF!+#REF!+#REF!+#REF!+#REF!+#REF!</f>
        <v>#REF!</v>
      </c>
      <c r="L49" s="1578" t="e">
        <f>#REF!+#REF!+L34+#REF!+#REF!+#REF!+#REF!+#REF!+#REF!+#REF!+#REF!+#REF!+#REF!</f>
        <v>#REF!</v>
      </c>
      <c r="M49" s="1578" t="e">
        <f>#REF!+#REF!+M34+#REF!+#REF!+#REF!+#REF!+#REF!+#REF!+#REF!+#REF!+#REF!+#REF!</f>
        <v>#REF!</v>
      </c>
      <c r="N49" s="1578" t="e">
        <f>#REF!+#REF!+N34+#REF!+#REF!+#REF!+#REF!+#REF!+#REF!+#REF!+#REF!+#REF!+#REF!</f>
        <v>#REF!</v>
      </c>
      <c r="O49" s="1578" t="e">
        <f>#REF!+#REF!+O34+#REF!+#REF!+#REF!+#REF!+#REF!+#REF!+#REF!+#REF!+#REF!+#REF!</f>
        <v>#REF!</v>
      </c>
      <c r="P49" s="1578" t="e">
        <f>#REF!+#REF!+P34+#REF!+#REF!+#REF!+#REF!+#REF!+#REF!+#REF!+#REF!+#REF!+#REF!</f>
        <v>#REF!</v>
      </c>
      <c r="Q49" s="1578" t="e">
        <f>#REF!+#REF!+Q34+#REF!+#REF!+#REF!+#REF!+#REF!+#REF!+#REF!+#REF!+#REF!+#REF!</f>
        <v>#REF!</v>
      </c>
      <c r="R49" s="1578" t="e">
        <f>#REF!+#REF!+R34+#REF!+#REF!+#REF!+#REF!+#REF!+#REF!+#REF!+#REF!+#REF!+#REF!</f>
        <v>#REF!</v>
      </c>
      <c r="S49" s="1578"/>
      <c r="T49" s="1578"/>
      <c r="U49" s="1578" t="e">
        <f>#REF!+#REF!+U34+#REF!+#REF!+#REF!+#REF!+#REF!+#REF!+#REF!+#REF!+#REF!+#REF!</f>
        <v>#REF!</v>
      </c>
      <c r="V49" s="1578" t="e">
        <f>#REF!+#REF!+V34+#REF!+#REF!+#REF!+#REF!+#REF!+#REF!+#REF!+#REF!+#REF!+#REF!</f>
        <v>#REF!</v>
      </c>
      <c r="W49" s="1578" t="e">
        <f>#REF!+#REF!+W34+#REF!+#REF!+#REF!+#REF!+#REF!+#REF!+#REF!+#REF!+#REF!+#REF!</f>
        <v>#REF!</v>
      </c>
      <c r="X49" s="1578" t="e">
        <f>#REF!+#REF!+X34+#REF!+#REF!+#REF!+#REF!+#REF!+#REF!+#REF!+#REF!+#REF!+#REF!</f>
        <v>#REF!</v>
      </c>
      <c r="Y49" s="1578" t="e">
        <f>#REF!+#REF!+Y34+#REF!+#REF!+#REF!+#REF!+#REF!+#REF!+#REF!+#REF!+#REF!+#REF!</f>
        <v>#REF!</v>
      </c>
      <c r="AA49" s="1185"/>
    </row>
    <row r="50" spans="2:27" s="1184" customFormat="1" hidden="1" x14ac:dyDescent="0.25">
      <c r="B50" s="1533">
        <v>966</v>
      </c>
      <c r="C50" s="1568"/>
      <c r="D50" s="1569"/>
      <c r="E50" s="1570"/>
      <c r="F50" s="1578" t="e">
        <f>F35+#REF!+#REF!+#REF!+#REF!+#REF!+#REF!</f>
        <v>#REF!</v>
      </c>
      <c r="G50" s="1578" t="e">
        <f>G35+#REF!+#REF!+#REF!+#REF!+#REF!+#REF!</f>
        <v>#REF!</v>
      </c>
      <c r="H50" s="1578" t="e">
        <f>H35+#REF!+#REF!+#REF!+#REF!+#REF!+#REF!</f>
        <v>#REF!</v>
      </c>
      <c r="I50" s="1578" t="e">
        <f>I35+#REF!+#REF!+#REF!+#REF!+#REF!+#REF!</f>
        <v>#REF!</v>
      </c>
      <c r="J50" s="1578" t="e">
        <f>J35+#REF!+#REF!+#REF!+#REF!+#REF!+#REF!</f>
        <v>#REF!</v>
      </c>
      <c r="K50" s="1578" t="e">
        <f>K35+#REF!+#REF!+#REF!+#REF!+#REF!+#REF!</f>
        <v>#REF!</v>
      </c>
      <c r="L50" s="1578" t="e">
        <f>L35+#REF!+#REF!+#REF!+#REF!+#REF!+#REF!</f>
        <v>#REF!</v>
      </c>
      <c r="M50" s="1578" t="e">
        <f>M35+#REF!+#REF!+#REF!+#REF!+#REF!+#REF!</f>
        <v>#REF!</v>
      </c>
      <c r="N50" s="1578" t="e">
        <f>N35+#REF!+#REF!+#REF!+#REF!+#REF!+#REF!</f>
        <v>#REF!</v>
      </c>
      <c r="O50" s="1578" t="e">
        <f>O35+#REF!+#REF!+#REF!+#REF!+#REF!+#REF!</f>
        <v>#REF!</v>
      </c>
      <c r="P50" s="1578" t="e">
        <f>P35+#REF!+#REF!+#REF!+#REF!+#REF!+#REF!</f>
        <v>#REF!</v>
      </c>
      <c r="Q50" s="1578" t="e">
        <f>Q35+#REF!+#REF!+#REF!+#REF!+#REF!+#REF!</f>
        <v>#REF!</v>
      </c>
      <c r="R50" s="1578" t="e">
        <f>R35+#REF!+#REF!+#REF!+#REF!+#REF!+#REF!</f>
        <v>#REF!</v>
      </c>
      <c r="S50" s="1578"/>
      <c r="T50" s="1578"/>
      <c r="U50" s="1578" t="e">
        <f>U35+#REF!+#REF!+#REF!+#REF!+#REF!+#REF!</f>
        <v>#REF!</v>
      </c>
      <c r="V50" s="1578" t="e">
        <f>V35+#REF!+#REF!+#REF!+#REF!+#REF!+#REF!</f>
        <v>#REF!</v>
      </c>
      <c r="W50" s="1578" t="e">
        <f>W35+#REF!+#REF!+#REF!+#REF!+#REF!+#REF!</f>
        <v>#REF!</v>
      </c>
      <c r="X50" s="1578" t="e">
        <f>X35+#REF!+#REF!+#REF!+#REF!+#REF!+#REF!</f>
        <v>#REF!</v>
      </c>
      <c r="Y50" s="1578" t="e">
        <f>Y35+#REF!+#REF!+#REF!+#REF!+#REF!+#REF!</f>
        <v>#REF!</v>
      </c>
      <c r="AA50" s="1185"/>
    </row>
    <row r="51" spans="2:27" s="1184" customFormat="1" hidden="1" x14ac:dyDescent="0.25">
      <c r="B51" s="1533">
        <v>971</v>
      </c>
      <c r="C51" s="1568"/>
      <c r="D51" s="1569"/>
      <c r="E51" s="1570"/>
      <c r="F51" s="1578" t="e">
        <f>#REF!+#REF!+#REF!+#REF!+#REF!+#REF!</f>
        <v>#REF!</v>
      </c>
      <c r="G51" s="1578" t="e">
        <f>#REF!+#REF!+#REF!+#REF!+#REF!+#REF!</f>
        <v>#REF!</v>
      </c>
      <c r="H51" s="1578" t="e">
        <f>#REF!+#REF!+#REF!+#REF!+#REF!+#REF!</f>
        <v>#REF!</v>
      </c>
      <c r="I51" s="1578" t="e">
        <f>#REF!+#REF!+#REF!+#REF!+#REF!+#REF!</f>
        <v>#REF!</v>
      </c>
      <c r="J51" s="1578" t="e">
        <f>#REF!+#REF!+#REF!+#REF!+#REF!+#REF!</f>
        <v>#REF!</v>
      </c>
      <c r="K51" s="1578" t="e">
        <f>#REF!+#REF!+#REF!+#REF!+#REF!+#REF!</f>
        <v>#REF!</v>
      </c>
      <c r="L51" s="1578" t="e">
        <f>#REF!+#REF!+#REF!+#REF!+#REF!+#REF!</f>
        <v>#REF!</v>
      </c>
      <c r="M51" s="1578" t="e">
        <f>#REF!+#REF!+#REF!+#REF!+#REF!+#REF!</f>
        <v>#REF!</v>
      </c>
      <c r="N51" s="1578" t="e">
        <f>#REF!+#REF!+#REF!+#REF!+#REF!+#REF!</f>
        <v>#REF!</v>
      </c>
      <c r="O51" s="1578" t="e">
        <f>#REF!+#REF!+#REF!+#REF!+#REF!+#REF!</f>
        <v>#REF!</v>
      </c>
      <c r="P51" s="1578" t="e">
        <f>#REF!+#REF!+#REF!+#REF!+#REF!+#REF!</f>
        <v>#REF!</v>
      </c>
      <c r="Q51" s="1578" t="e">
        <f>#REF!+#REF!+#REF!+#REF!+#REF!+#REF!</f>
        <v>#REF!</v>
      </c>
      <c r="R51" s="1578" t="e">
        <f>#REF!+#REF!+#REF!+#REF!+#REF!+#REF!</f>
        <v>#REF!</v>
      </c>
      <c r="S51" s="1578"/>
      <c r="T51" s="1578"/>
      <c r="U51" s="1578" t="e">
        <f>#REF!+#REF!+#REF!+#REF!+#REF!+#REF!</f>
        <v>#REF!</v>
      </c>
      <c r="V51" s="1578" t="e">
        <f>#REF!+#REF!+#REF!+#REF!+#REF!+#REF!</f>
        <v>#REF!</v>
      </c>
      <c r="W51" s="1578" t="e">
        <f>#REF!+#REF!+#REF!+#REF!+#REF!+#REF!</f>
        <v>#REF!</v>
      </c>
      <c r="X51" s="1578" t="e">
        <f>#REF!+#REF!+#REF!+#REF!+#REF!+#REF!</f>
        <v>#REF!</v>
      </c>
      <c r="Y51" s="1578" t="e">
        <f>#REF!+#REF!+#REF!+#REF!+#REF!+#REF!</f>
        <v>#REF!</v>
      </c>
      <c r="AA51" s="1185"/>
    </row>
    <row r="52" spans="2:27" s="1184" customFormat="1" hidden="1" x14ac:dyDescent="0.25">
      <c r="B52" s="1533">
        <v>981</v>
      </c>
      <c r="C52" s="1568"/>
      <c r="D52" s="1569"/>
      <c r="E52" s="1570"/>
      <c r="F52" s="1578" t="e">
        <f>#REF!+F36+#REF!+#REF!+#REF!+#REF!+#REF!+#REF!+#REF!+#REF!+#REF!</f>
        <v>#REF!</v>
      </c>
      <c r="G52" s="1578" t="e">
        <f>#REF!+G36+#REF!+#REF!+#REF!+#REF!+#REF!+#REF!+#REF!+#REF!+#REF!</f>
        <v>#REF!</v>
      </c>
      <c r="H52" s="1578" t="e">
        <f>#REF!+H36+#REF!+#REF!+#REF!+#REF!+#REF!+#REF!+#REF!+#REF!+#REF!</f>
        <v>#REF!</v>
      </c>
      <c r="I52" s="1578" t="e">
        <f>#REF!+I36+#REF!+#REF!+#REF!+#REF!+#REF!+#REF!+#REF!+#REF!+#REF!</f>
        <v>#REF!</v>
      </c>
      <c r="J52" s="1578" t="e">
        <f>#REF!+J36+#REF!+#REF!+#REF!+#REF!+#REF!+#REF!+#REF!+#REF!+#REF!</f>
        <v>#REF!</v>
      </c>
      <c r="K52" s="1578" t="e">
        <f>#REF!+K36+#REF!+#REF!+#REF!+#REF!+#REF!+#REF!+#REF!+#REF!+#REF!</f>
        <v>#REF!</v>
      </c>
      <c r="L52" s="1578" t="e">
        <f>#REF!+L36+#REF!+#REF!+#REF!+#REF!+#REF!+#REF!+#REF!+#REF!+#REF!</f>
        <v>#REF!</v>
      </c>
      <c r="M52" s="1578" t="e">
        <f>#REF!+M36+#REF!+#REF!+#REF!+#REF!+#REF!+#REF!+#REF!+#REF!+#REF!</f>
        <v>#REF!</v>
      </c>
      <c r="N52" s="1578" t="e">
        <f>#REF!+N36+#REF!+#REF!+#REF!+#REF!+#REF!+#REF!+#REF!+#REF!+#REF!</f>
        <v>#REF!</v>
      </c>
      <c r="O52" s="1578" t="e">
        <f>#REF!+O36+#REF!+#REF!+#REF!+#REF!+#REF!+#REF!+#REF!+#REF!+#REF!</f>
        <v>#REF!</v>
      </c>
      <c r="P52" s="1578" t="e">
        <f>#REF!+P36+#REF!+#REF!+#REF!+#REF!+#REF!+#REF!+#REF!+#REF!+#REF!</f>
        <v>#REF!</v>
      </c>
      <c r="Q52" s="1578" t="e">
        <f>#REF!+Q36+#REF!+#REF!+#REF!+#REF!+#REF!+#REF!+#REF!+#REF!+#REF!</f>
        <v>#REF!</v>
      </c>
      <c r="R52" s="1578" t="e">
        <f>#REF!+R36+#REF!+#REF!+#REF!+#REF!+#REF!+#REF!+#REF!+#REF!+#REF!</f>
        <v>#REF!</v>
      </c>
      <c r="S52" s="1578"/>
      <c r="T52" s="1578"/>
      <c r="U52" s="1578" t="e">
        <f>#REF!+U36+#REF!+#REF!+#REF!+#REF!+#REF!+#REF!+#REF!+#REF!+#REF!</f>
        <v>#REF!</v>
      </c>
      <c r="V52" s="1578" t="e">
        <f>#REF!+V36+#REF!+#REF!+#REF!+#REF!+#REF!+#REF!+#REF!+#REF!+#REF!</f>
        <v>#REF!</v>
      </c>
      <c r="W52" s="1578" t="e">
        <f>#REF!+W36+#REF!+#REF!+#REF!+#REF!+#REF!+#REF!+#REF!+#REF!+#REF!</f>
        <v>#REF!</v>
      </c>
      <c r="X52" s="1578" t="e">
        <f>#REF!+X36+#REF!+#REF!+#REF!+#REF!+#REF!+#REF!+#REF!+#REF!+#REF!</f>
        <v>#REF!</v>
      </c>
      <c r="Y52" s="1578" t="e">
        <f>#REF!+Y36+#REF!+#REF!+#REF!+#REF!+#REF!+#REF!+#REF!+#REF!+#REF!</f>
        <v>#REF!</v>
      </c>
      <c r="AA52" s="1185"/>
    </row>
    <row r="53" spans="2:27" s="1184" customFormat="1" hidden="1" x14ac:dyDescent="0.25">
      <c r="B53" s="1533">
        <v>982</v>
      </c>
      <c r="C53" s="1568"/>
      <c r="D53" s="1569"/>
      <c r="E53" s="1570"/>
      <c r="F53" s="1578" t="e">
        <f>#REF!</f>
        <v>#REF!</v>
      </c>
      <c r="G53" s="1578" t="e">
        <f>#REF!</f>
        <v>#REF!</v>
      </c>
      <c r="H53" s="1578" t="e">
        <f>#REF!</f>
        <v>#REF!</v>
      </c>
      <c r="I53" s="1578" t="e">
        <f>#REF!</f>
        <v>#REF!</v>
      </c>
      <c r="J53" s="1578" t="e">
        <f>#REF!</f>
        <v>#REF!</v>
      </c>
      <c r="K53" s="1578" t="e">
        <f>#REF!</f>
        <v>#REF!</v>
      </c>
      <c r="L53" s="1578" t="e">
        <f>#REF!</f>
        <v>#REF!</v>
      </c>
      <c r="M53" s="1578" t="e">
        <f>#REF!</f>
        <v>#REF!</v>
      </c>
      <c r="N53" s="1578" t="e">
        <f>#REF!</f>
        <v>#REF!</v>
      </c>
      <c r="O53" s="1578" t="e">
        <f>#REF!</f>
        <v>#REF!</v>
      </c>
      <c r="P53" s="1578" t="e">
        <f>#REF!</f>
        <v>#REF!</v>
      </c>
      <c r="Q53" s="1578" t="e">
        <f>#REF!</f>
        <v>#REF!</v>
      </c>
      <c r="R53" s="1578" t="e">
        <f>#REF!</f>
        <v>#REF!</v>
      </c>
      <c r="S53" s="1578"/>
      <c r="T53" s="1578"/>
      <c r="U53" s="1578" t="e">
        <f>#REF!</f>
        <v>#REF!</v>
      </c>
      <c r="V53" s="1578" t="e">
        <f>#REF!</f>
        <v>#REF!</v>
      </c>
      <c r="W53" s="1578" t="e">
        <f>#REF!</f>
        <v>#REF!</v>
      </c>
      <c r="X53" s="1578" t="e">
        <f>#REF!</f>
        <v>#REF!</v>
      </c>
      <c r="Y53" s="1578" t="e">
        <f>#REF!</f>
        <v>#REF!</v>
      </c>
      <c r="AA53" s="1185"/>
    </row>
    <row r="54" spans="2:27" s="1184" customFormat="1" hidden="1" x14ac:dyDescent="0.25">
      <c r="B54" s="1533">
        <v>983</v>
      </c>
      <c r="C54" s="1568"/>
      <c r="D54" s="1569"/>
      <c r="E54" s="1570"/>
      <c r="F54" s="1578" t="e">
        <f>#REF!+#REF!</f>
        <v>#REF!</v>
      </c>
      <c r="G54" s="1578" t="e">
        <f>#REF!+#REF!</f>
        <v>#REF!</v>
      </c>
      <c r="H54" s="1578" t="e">
        <f>#REF!+#REF!</f>
        <v>#REF!</v>
      </c>
      <c r="I54" s="1578" t="e">
        <f>#REF!+#REF!</f>
        <v>#REF!</v>
      </c>
      <c r="J54" s="1578" t="e">
        <f>#REF!+#REF!</f>
        <v>#REF!</v>
      </c>
      <c r="K54" s="1578" t="e">
        <f>#REF!+#REF!</f>
        <v>#REF!</v>
      </c>
      <c r="L54" s="1578" t="e">
        <f>#REF!+#REF!</f>
        <v>#REF!</v>
      </c>
      <c r="M54" s="1578" t="e">
        <f>#REF!+#REF!</f>
        <v>#REF!</v>
      </c>
      <c r="N54" s="1578" t="e">
        <f>#REF!+#REF!</f>
        <v>#REF!</v>
      </c>
      <c r="O54" s="1578" t="e">
        <f>#REF!+#REF!</f>
        <v>#REF!</v>
      </c>
      <c r="P54" s="1578" t="e">
        <f>#REF!+#REF!</f>
        <v>#REF!</v>
      </c>
      <c r="Q54" s="1578" t="e">
        <f>#REF!+#REF!</f>
        <v>#REF!</v>
      </c>
      <c r="R54" s="1578" t="e">
        <f>#REF!+#REF!</f>
        <v>#REF!</v>
      </c>
      <c r="S54" s="1578"/>
      <c r="T54" s="1578"/>
      <c r="U54" s="1578" t="e">
        <f>#REF!+#REF!</f>
        <v>#REF!</v>
      </c>
      <c r="V54" s="1578" t="e">
        <f>#REF!+#REF!</f>
        <v>#REF!</v>
      </c>
      <c r="W54" s="1578" t="e">
        <f>#REF!+#REF!</f>
        <v>#REF!</v>
      </c>
      <c r="X54" s="1578" t="e">
        <f>#REF!+#REF!</f>
        <v>#REF!</v>
      </c>
      <c r="Y54" s="1578" t="e">
        <f>#REF!+#REF!</f>
        <v>#REF!</v>
      </c>
      <c r="AA54" s="1185"/>
    </row>
    <row r="55" spans="2:27" s="1184" customFormat="1" hidden="1" x14ac:dyDescent="0.25">
      <c r="B55" s="1533">
        <v>985</v>
      </c>
      <c r="C55" s="1568"/>
      <c r="D55" s="1569"/>
      <c r="E55" s="1570"/>
      <c r="F55" s="1578" t="e">
        <f>#REF!+#REF!+#REF!+#REF!</f>
        <v>#REF!</v>
      </c>
      <c r="G55" s="1578" t="e">
        <f>#REF!+#REF!+#REF!+#REF!</f>
        <v>#REF!</v>
      </c>
      <c r="H55" s="1578" t="e">
        <f>#REF!+#REF!+#REF!+#REF!</f>
        <v>#REF!</v>
      </c>
      <c r="I55" s="1578" t="e">
        <f>#REF!+#REF!+#REF!+#REF!</f>
        <v>#REF!</v>
      </c>
      <c r="J55" s="1578" t="e">
        <f>#REF!+#REF!+#REF!+#REF!</f>
        <v>#REF!</v>
      </c>
      <c r="K55" s="1578" t="e">
        <f>#REF!+#REF!+#REF!+#REF!</f>
        <v>#REF!</v>
      </c>
      <c r="L55" s="1578" t="e">
        <f>#REF!+#REF!+#REF!+#REF!</f>
        <v>#REF!</v>
      </c>
      <c r="M55" s="1578" t="e">
        <f>#REF!+#REF!+#REF!+#REF!</f>
        <v>#REF!</v>
      </c>
      <c r="N55" s="1578" t="e">
        <f>#REF!+#REF!+#REF!+#REF!</f>
        <v>#REF!</v>
      </c>
      <c r="O55" s="1578" t="e">
        <f>#REF!+#REF!+#REF!+#REF!</f>
        <v>#REF!</v>
      </c>
      <c r="P55" s="1578" t="e">
        <f>#REF!+#REF!+#REF!+#REF!</f>
        <v>#REF!</v>
      </c>
      <c r="Q55" s="1578" t="e">
        <f>#REF!+#REF!+#REF!+#REF!</f>
        <v>#REF!</v>
      </c>
      <c r="R55" s="1578" t="e">
        <f>#REF!+#REF!+#REF!+#REF!</f>
        <v>#REF!</v>
      </c>
      <c r="S55" s="1578"/>
      <c r="T55" s="1578"/>
      <c r="U55" s="1578" t="e">
        <f>#REF!+#REF!+#REF!+#REF!</f>
        <v>#REF!</v>
      </c>
      <c r="V55" s="1578" t="e">
        <f>#REF!+#REF!+#REF!+#REF!</f>
        <v>#REF!</v>
      </c>
      <c r="W55" s="1578" t="e">
        <f>#REF!+#REF!+#REF!+#REF!</f>
        <v>#REF!</v>
      </c>
      <c r="X55" s="1578" t="e">
        <f>#REF!+#REF!+#REF!+#REF!</f>
        <v>#REF!</v>
      </c>
      <c r="Y55" s="1578" t="e">
        <f>#REF!+#REF!+#REF!+#REF!</f>
        <v>#REF!</v>
      </c>
      <c r="AA55" s="1185"/>
    </row>
    <row r="56" spans="2:27" s="1184" customFormat="1" hidden="1" x14ac:dyDescent="0.25">
      <c r="B56" s="1533">
        <v>986</v>
      </c>
      <c r="C56" s="1568"/>
      <c r="D56" s="1569"/>
      <c r="E56" s="1570"/>
      <c r="F56" s="1578" t="e">
        <f>#REF!</f>
        <v>#REF!</v>
      </c>
      <c r="G56" s="1578" t="e">
        <f>#REF!</f>
        <v>#REF!</v>
      </c>
      <c r="H56" s="1578" t="e">
        <f>#REF!</f>
        <v>#REF!</v>
      </c>
      <c r="I56" s="1578" t="e">
        <f>#REF!</f>
        <v>#REF!</v>
      </c>
      <c r="J56" s="1578" t="e">
        <f>#REF!</f>
        <v>#REF!</v>
      </c>
      <c r="K56" s="1578" t="e">
        <f>#REF!</f>
        <v>#REF!</v>
      </c>
      <c r="L56" s="1578" t="e">
        <f>#REF!</f>
        <v>#REF!</v>
      </c>
      <c r="M56" s="1578" t="e">
        <f>#REF!</f>
        <v>#REF!</v>
      </c>
      <c r="N56" s="1578" t="e">
        <f>#REF!</f>
        <v>#REF!</v>
      </c>
      <c r="O56" s="1578" t="e">
        <f>#REF!</f>
        <v>#REF!</v>
      </c>
      <c r="P56" s="1578" t="e">
        <f>#REF!</f>
        <v>#REF!</v>
      </c>
      <c r="Q56" s="1578" t="e">
        <f>#REF!</f>
        <v>#REF!</v>
      </c>
      <c r="R56" s="1578" t="e">
        <f>#REF!</f>
        <v>#REF!</v>
      </c>
      <c r="S56" s="1578"/>
      <c r="T56" s="1578"/>
      <c r="U56" s="1578" t="e">
        <f>#REF!</f>
        <v>#REF!</v>
      </c>
      <c r="V56" s="1578" t="e">
        <f>#REF!</f>
        <v>#REF!</v>
      </c>
      <c r="W56" s="1578" t="e">
        <f>#REF!</f>
        <v>#REF!</v>
      </c>
      <c r="X56" s="1578" t="e">
        <f>#REF!</f>
        <v>#REF!</v>
      </c>
      <c r="Y56" s="1578" t="e">
        <f>#REF!</f>
        <v>#REF!</v>
      </c>
      <c r="AA56" s="1185"/>
    </row>
    <row r="57" spans="2:27" s="1184" customFormat="1" hidden="1" x14ac:dyDescent="0.25">
      <c r="B57" s="1500"/>
      <c r="C57" s="1185"/>
      <c r="D57" s="1222"/>
      <c r="E57" s="1579"/>
      <c r="F57" s="1186" t="e">
        <f>SUM(F38:F56)</f>
        <v>#REF!</v>
      </c>
      <c r="G57" s="1186" t="e">
        <f t="shared" ref="G57:Y57" si="9">SUM(G38:G56)</f>
        <v>#REF!</v>
      </c>
      <c r="H57" s="1186" t="e">
        <f t="shared" si="9"/>
        <v>#REF!</v>
      </c>
      <c r="I57" s="1186" t="e">
        <f t="shared" si="9"/>
        <v>#REF!</v>
      </c>
      <c r="J57" s="1186" t="e">
        <f t="shared" si="9"/>
        <v>#REF!</v>
      </c>
      <c r="K57" s="1186" t="e">
        <f t="shared" si="9"/>
        <v>#REF!</v>
      </c>
      <c r="L57" s="1186" t="e">
        <f t="shared" si="9"/>
        <v>#REF!</v>
      </c>
      <c r="M57" s="1186" t="e">
        <f t="shared" si="9"/>
        <v>#REF!</v>
      </c>
      <c r="N57" s="1186" t="e">
        <f t="shared" si="9"/>
        <v>#REF!</v>
      </c>
      <c r="O57" s="1186" t="e">
        <f t="shared" si="9"/>
        <v>#REF!</v>
      </c>
      <c r="P57" s="1186" t="e">
        <f t="shared" si="9"/>
        <v>#REF!</v>
      </c>
      <c r="Q57" s="1186" t="e">
        <f t="shared" si="9"/>
        <v>#REF!</v>
      </c>
      <c r="R57" s="1186" t="e">
        <f>SUM(R38:R56)</f>
        <v>#REF!</v>
      </c>
      <c r="S57" s="1186"/>
      <c r="T57" s="1186"/>
      <c r="U57" s="1186" t="e">
        <f t="shared" si="9"/>
        <v>#REF!</v>
      </c>
      <c r="V57" s="1186" t="e">
        <f t="shared" si="9"/>
        <v>#REF!</v>
      </c>
      <c r="W57" s="1186" t="e">
        <f t="shared" si="9"/>
        <v>#REF!</v>
      </c>
      <c r="X57" s="1186" t="e">
        <f t="shared" si="9"/>
        <v>#REF!</v>
      </c>
      <c r="Y57" s="1186" t="e">
        <f t="shared" si="9"/>
        <v>#REF!</v>
      </c>
      <c r="AA57" s="1185"/>
    </row>
    <row r="58" spans="2:27" s="1184" customFormat="1" hidden="1" x14ac:dyDescent="0.25">
      <c r="B58" s="1500"/>
      <c r="C58" s="1185"/>
      <c r="D58" s="1222"/>
      <c r="E58" s="1579"/>
      <c r="F58" s="1186" t="e">
        <f>#REF!-F57</f>
        <v>#REF!</v>
      </c>
      <c r="G58" s="1186" t="e">
        <f>#REF!-G57</f>
        <v>#REF!</v>
      </c>
      <c r="H58" s="1186" t="e">
        <f>#REF!-H57</f>
        <v>#REF!</v>
      </c>
      <c r="I58" s="1186" t="e">
        <f>#REF!-I57</f>
        <v>#REF!</v>
      </c>
      <c r="J58" s="1186" t="e">
        <f>#REF!-J57</f>
        <v>#REF!</v>
      </c>
      <c r="K58" s="1186" t="e">
        <f>#REF!-K57</f>
        <v>#REF!</v>
      </c>
      <c r="L58" s="1186" t="e">
        <f>#REF!-L57</f>
        <v>#REF!</v>
      </c>
      <c r="M58" s="1186" t="e">
        <f>#REF!-M57</f>
        <v>#REF!</v>
      </c>
      <c r="N58" s="1186" t="e">
        <f>#REF!-N57</f>
        <v>#REF!</v>
      </c>
      <c r="O58" s="1186" t="e">
        <f>#REF!-O57</f>
        <v>#REF!</v>
      </c>
      <c r="P58" s="1186" t="e">
        <f>#REF!-P57</f>
        <v>#REF!</v>
      </c>
      <c r="Q58" s="1186" t="e">
        <f>#REF!-Q57</f>
        <v>#REF!</v>
      </c>
      <c r="R58" s="1186" t="e">
        <f>#REF!-R57</f>
        <v>#REF!</v>
      </c>
      <c r="S58" s="1186"/>
      <c r="T58" s="1186"/>
      <c r="U58" s="1186" t="e">
        <f>#REF!-U57</f>
        <v>#REF!</v>
      </c>
      <c r="V58" s="1186" t="e">
        <f>#REF!-V57</f>
        <v>#REF!</v>
      </c>
      <c r="W58" s="1186" t="e">
        <f>#REF!-W57</f>
        <v>#REF!</v>
      </c>
      <c r="X58" s="1186" t="e">
        <f>#REF!-X57</f>
        <v>#REF!</v>
      </c>
      <c r="Y58" s="1186" t="e">
        <f>#REF!-Y57</f>
        <v>#REF!</v>
      </c>
      <c r="AA58" s="1185"/>
    </row>
    <row r="59" spans="2:27" s="1184" customFormat="1" hidden="1" x14ac:dyDescent="0.25">
      <c r="B59" s="1500"/>
      <c r="C59" s="1185"/>
      <c r="D59" s="1222"/>
      <c r="E59" s="1579"/>
      <c r="F59" s="1222" t="e">
        <f>F58</f>
        <v>#REF!</v>
      </c>
      <c r="G59" s="1222"/>
      <c r="H59" s="1222"/>
      <c r="I59" s="1222"/>
      <c r="J59" s="1222"/>
      <c r="K59" s="1222"/>
      <c r="L59" s="1222"/>
      <c r="M59" s="1222"/>
      <c r="N59" s="1222"/>
      <c r="O59" s="1222"/>
      <c r="P59" s="1222"/>
      <c r="Q59" s="1222"/>
      <c r="R59" s="1222"/>
      <c r="S59" s="1222"/>
      <c r="T59" s="1222"/>
      <c r="U59" s="1222"/>
      <c r="V59" s="1222"/>
      <c r="W59" s="1222"/>
      <c r="X59" s="1222"/>
      <c r="Y59" s="1222"/>
      <c r="Z59" s="1222" t="e">
        <f>#REF!-Z58</f>
        <v>#REF!</v>
      </c>
      <c r="AA59" s="1185"/>
    </row>
    <row r="60" spans="2:27" x14ac:dyDescent="0.25">
      <c r="D60" s="1576"/>
      <c r="E60" s="1576"/>
      <c r="F60" s="1576"/>
      <c r="G60" s="1576"/>
      <c r="H60" s="1576"/>
      <c r="I60" s="1576"/>
      <c r="J60" s="1576"/>
      <c r="K60" s="1576"/>
      <c r="L60" s="1576"/>
      <c r="M60" s="1576"/>
      <c r="N60" s="1576"/>
      <c r="O60" s="1576"/>
      <c r="P60" s="1576"/>
      <c r="Q60" s="1576"/>
      <c r="R60" s="1576"/>
      <c r="S60" s="1576"/>
      <c r="T60" s="1576"/>
      <c r="U60" s="1576"/>
      <c r="V60" s="1576"/>
      <c r="W60" s="1576"/>
      <c r="X60" s="1576"/>
      <c r="Y60" s="1576"/>
      <c r="Z60" s="1576"/>
    </row>
    <row r="61" spans="2:27" x14ac:dyDescent="0.25">
      <c r="D61" s="1576"/>
      <c r="E61" s="1576"/>
      <c r="F61" s="1576"/>
      <c r="G61" s="1576"/>
      <c r="H61" s="1576"/>
      <c r="I61" s="1576"/>
      <c r="J61" s="1576"/>
      <c r="K61" s="1576"/>
      <c r="L61" s="1576"/>
      <c r="M61" s="1576"/>
      <c r="N61" s="1576"/>
      <c r="O61" s="1576"/>
      <c r="P61" s="1576"/>
      <c r="Q61" s="1576"/>
      <c r="R61" s="1576"/>
      <c r="S61" s="1576"/>
      <c r="T61" s="1576"/>
      <c r="U61" s="1576"/>
      <c r="V61" s="1576"/>
      <c r="W61" s="1576"/>
      <c r="X61" s="1576"/>
      <c r="Y61" s="1576"/>
      <c r="Z61" s="1576"/>
    </row>
  </sheetData>
  <autoFilter ref="A10:XEJ27" xr:uid="{00000000-0009-0000-0000-00002C000000}"/>
  <mergeCells count="41">
    <mergeCell ref="B5:B9"/>
    <mergeCell ref="C5:C9"/>
    <mergeCell ref="D5:G6"/>
    <mergeCell ref="H5:O5"/>
    <mergeCell ref="P5:U5"/>
    <mergeCell ref="D7:D9"/>
    <mergeCell ref="E7:E9"/>
    <mergeCell ref="F7:G7"/>
    <mergeCell ref="L7:L9"/>
    <mergeCell ref="F29:G29"/>
    <mergeCell ref="J29:K29"/>
    <mergeCell ref="N29:O29"/>
    <mergeCell ref="R29:U29"/>
    <mergeCell ref="W7:W9"/>
    <mergeCell ref="R8:R9"/>
    <mergeCell ref="S8:T8"/>
    <mergeCell ref="U8:U9"/>
    <mergeCell ref="M7:M9"/>
    <mergeCell ref="N7:O7"/>
    <mergeCell ref="P7:P9"/>
    <mergeCell ref="Q7:Q9"/>
    <mergeCell ref="R7:U7"/>
    <mergeCell ref="V7:V9"/>
    <mergeCell ref="H7:H9"/>
    <mergeCell ref="I7:I9"/>
    <mergeCell ref="A2:Z2"/>
    <mergeCell ref="A3:Z3"/>
    <mergeCell ref="A11:Y11"/>
    <mergeCell ref="A12:Y12"/>
    <mergeCell ref="Z14:Z19"/>
    <mergeCell ref="X7:Y7"/>
    <mergeCell ref="X9:Y9"/>
    <mergeCell ref="V5:W6"/>
    <mergeCell ref="X5:X6"/>
    <mergeCell ref="Y5:Y6"/>
    <mergeCell ref="Z5:Z9"/>
    <mergeCell ref="H6:K6"/>
    <mergeCell ref="L6:O6"/>
    <mergeCell ref="P6:U6"/>
    <mergeCell ref="J7:K7"/>
    <mergeCell ref="A5:A9"/>
  </mergeCells>
  <pageMargins left="0.70866141732283472" right="0.70866141732283472" top="0.74803149606299213" bottom="0.74803149606299213" header="0.31496062992125984" footer="0.31496062992125984"/>
  <pageSetup paperSize="9" scale="30" orientation="portrait" r:id="rId1"/>
  <rowBreaks count="1" manualBreakCount="1">
    <brk id="10" max="25"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C000"/>
    <pageSetUpPr fitToPage="1"/>
  </sheetPr>
  <dimension ref="A1:U25"/>
  <sheetViews>
    <sheetView view="pageBreakPreview" zoomScale="80" zoomScaleNormal="85" zoomScaleSheetLayoutView="80" workbookViewId="0">
      <pane xSplit="2" ySplit="7" topLeftCell="C8" activePane="bottomRight" state="frozen"/>
      <selection pane="topRight" activeCell="C1" sqref="C1"/>
      <selection pane="bottomLeft" activeCell="A27" sqref="A27"/>
      <selection pane="bottomRight" activeCell="D34" sqref="D34"/>
    </sheetView>
  </sheetViews>
  <sheetFormatPr defaultColWidth="12" defaultRowHeight="15" x14ac:dyDescent="0.25"/>
  <cols>
    <col min="1" max="1" width="4.6640625" style="425" customWidth="1"/>
    <col min="2" max="2" width="30.83203125" style="426" customWidth="1"/>
    <col min="3" max="3" width="7.6640625" style="426" customWidth="1"/>
    <col min="4" max="4" width="10" style="427" bestFit="1" customWidth="1"/>
    <col min="5" max="5" width="7.6640625" style="428" customWidth="1"/>
    <col min="6" max="6" width="10" style="427" customWidth="1"/>
    <col min="7" max="7" width="9.1640625" style="428" customWidth="1"/>
    <col min="8" max="8" width="11.1640625" style="427" customWidth="1"/>
    <col min="9" max="9" width="10" style="428" customWidth="1"/>
    <col min="10" max="10" width="10" style="427" bestFit="1" customWidth="1"/>
    <col min="11" max="11" width="7.6640625" style="428" customWidth="1"/>
    <col min="12" max="12" width="10.1640625" style="427" bestFit="1" customWidth="1"/>
    <col min="13" max="13" width="12.83203125" style="428" customWidth="1"/>
    <col min="14" max="14" width="13.83203125" style="428" customWidth="1"/>
    <col min="15" max="15" width="12.5" style="428" customWidth="1"/>
    <col min="16" max="16" width="13.5" style="427" customWidth="1"/>
    <col min="17" max="17" width="7.83203125" style="428" customWidth="1"/>
    <col min="18" max="18" width="10" style="427" bestFit="1" customWidth="1"/>
    <col min="19" max="19" width="53.33203125" style="428" customWidth="1"/>
    <col min="20" max="20" width="13.33203125" style="428" customWidth="1"/>
    <col min="21" max="16384" width="12" style="428"/>
  </cols>
  <sheetData>
    <row r="1" spans="1:21" ht="35.25" customHeight="1" x14ac:dyDescent="0.25">
      <c r="L1" s="2705" t="s">
        <v>746</v>
      </c>
      <c r="M1" s="2705"/>
      <c r="N1" s="2705"/>
      <c r="O1" s="2705"/>
      <c r="P1" s="2705"/>
      <c r="Q1" s="2705"/>
      <c r="R1" s="2705"/>
      <c r="S1" s="2705"/>
    </row>
    <row r="2" spans="1:21" ht="40.5" customHeight="1" x14ac:dyDescent="0.25">
      <c r="A2" s="2702" t="s">
        <v>764</v>
      </c>
      <c r="B2" s="2702"/>
      <c r="C2" s="2702"/>
      <c r="D2" s="2702"/>
      <c r="E2" s="2702"/>
      <c r="F2" s="2702"/>
      <c r="G2" s="2702"/>
      <c r="H2" s="2702"/>
      <c r="I2" s="2702"/>
      <c r="J2" s="2702"/>
      <c r="K2" s="2702"/>
      <c r="L2" s="2702"/>
      <c r="M2" s="2702"/>
      <c r="N2" s="2702"/>
      <c r="O2" s="2702"/>
      <c r="P2" s="2702"/>
      <c r="Q2" s="2702"/>
      <c r="R2" s="2702"/>
      <c r="S2" s="2702"/>
    </row>
    <row r="3" spans="1:21" ht="12" customHeight="1" x14ac:dyDescent="0.25">
      <c r="S3" s="460">
        <v>43829</v>
      </c>
      <c r="T3" s="429"/>
    </row>
    <row r="4" spans="1:21" s="432" customFormat="1" ht="24" customHeight="1" x14ac:dyDescent="0.2">
      <c r="A4" s="2703" t="s">
        <v>219</v>
      </c>
      <c r="B4" s="2703" t="s">
        <v>231</v>
      </c>
      <c r="C4" s="2706" t="s">
        <v>747</v>
      </c>
      <c r="D4" s="2706"/>
      <c r="E4" s="2706" t="s">
        <v>748</v>
      </c>
      <c r="F4" s="2706"/>
      <c r="G4" s="2704" t="s">
        <v>749</v>
      </c>
      <c r="H4" s="2704"/>
      <c r="I4" s="2704"/>
      <c r="J4" s="2704"/>
      <c r="K4" s="2704" t="s">
        <v>750</v>
      </c>
      <c r="L4" s="2704"/>
      <c r="M4" s="2703" t="s">
        <v>737</v>
      </c>
      <c r="N4" s="2703"/>
      <c r="O4" s="2704" t="s">
        <v>751</v>
      </c>
      <c r="P4" s="2704"/>
      <c r="Q4" s="2704" t="s">
        <v>752</v>
      </c>
      <c r="R4" s="2704"/>
      <c r="S4" s="2703" t="s">
        <v>753</v>
      </c>
      <c r="T4" s="430"/>
      <c r="U4" s="431"/>
    </row>
    <row r="5" spans="1:21" s="432" customFormat="1" ht="36.75" customHeight="1" x14ac:dyDescent="0.2">
      <c r="A5" s="2703"/>
      <c r="B5" s="2703"/>
      <c r="C5" s="2703" t="s">
        <v>754</v>
      </c>
      <c r="D5" s="2703"/>
      <c r="E5" s="2703" t="s">
        <v>754</v>
      </c>
      <c r="F5" s="2703"/>
      <c r="G5" s="2703" t="s">
        <v>755</v>
      </c>
      <c r="H5" s="2703"/>
      <c r="I5" s="2703" t="s">
        <v>482</v>
      </c>
      <c r="J5" s="2703"/>
      <c r="K5" s="2703" t="s">
        <v>357</v>
      </c>
      <c r="L5" s="2703"/>
      <c r="M5" s="2703" t="s">
        <v>756</v>
      </c>
      <c r="N5" s="2703" t="s">
        <v>757</v>
      </c>
      <c r="O5" s="2703" t="s">
        <v>357</v>
      </c>
      <c r="P5" s="2703"/>
      <c r="Q5" s="2703" t="s">
        <v>357</v>
      </c>
      <c r="R5" s="2703"/>
      <c r="S5" s="2703"/>
      <c r="T5" s="430"/>
      <c r="U5" s="431"/>
    </row>
    <row r="6" spans="1:21" s="432" customFormat="1" ht="12.75" x14ac:dyDescent="0.2">
      <c r="A6" s="2703"/>
      <c r="B6" s="2703"/>
      <c r="C6" s="671" t="s">
        <v>593</v>
      </c>
      <c r="D6" s="433" t="s">
        <v>758</v>
      </c>
      <c r="E6" s="671" t="s">
        <v>593</v>
      </c>
      <c r="F6" s="433" t="s">
        <v>758</v>
      </c>
      <c r="G6" s="671" t="s">
        <v>593</v>
      </c>
      <c r="H6" s="433" t="s">
        <v>758</v>
      </c>
      <c r="I6" s="671" t="s">
        <v>593</v>
      </c>
      <c r="J6" s="433" t="s">
        <v>758</v>
      </c>
      <c r="K6" s="671" t="s">
        <v>593</v>
      </c>
      <c r="L6" s="433" t="s">
        <v>758</v>
      </c>
      <c r="M6" s="2703"/>
      <c r="N6" s="2703"/>
      <c r="O6" s="671" t="s">
        <v>593</v>
      </c>
      <c r="P6" s="433" t="s">
        <v>758</v>
      </c>
      <c r="Q6" s="671" t="s">
        <v>593</v>
      </c>
      <c r="R6" s="433" t="s">
        <v>758</v>
      </c>
      <c r="S6" s="2703"/>
      <c r="T6" s="430"/>
      <c r="U6" s="431"/>
    </row>
    <row r="7" spans="1:21" s="432" customFormat="1" ht="12.75" x14ac:dyDescent="0.2">
      <c r="A7" s="671">
        <v>1</v>
      </c>
      <c r="B7" s="671">
        <v>2</v>
      </c>
      <c r="C7" s="671">
        <v>3</v>
      </c>
      <c r="D7" s="434">
        <v>4</v>
      </c>
      <c r="E7" s="671">
        <v>5</v>
      </c>
      <c r="F7" s="434">
        <v>6</v>
      </c>
      <c r="G7" s="671">
        <v>7</v>
      </c>
      <c r="H7" s="434">
        <v>8</v>
      </c>
      <c r="I7" s="671">
        <v>9</v>
      </c>
      <c r="J7" s="434">
        <v>10</v>
      </c>
      <c r="K7" s="671">
        <v>11</v>
      </c>
      <c r="L7" s="434">
        <v>12</v>
      </c>
      <c r="M7" s="671">
        <v>15</v>
      </c>
      <c r="N7" s="671">
        <v>16</v>
      </c>
      <c r="O7" s="671">
        <v>17</v>
      </c>
      <c r="P7" s="434">
        <v>18</v>
      </c>
      <c r="Q7" s="671">
        <v>19</v>
      </c>
      <c r="R7" s="434">
        <v>20</v>
      </c>
      <c r="S7" s="435">
        <v>21</v>
      </c>
      <c r="T7" s="430"/>
      <c r="U7" s="431"/>
    </row>
    <row r="8" spans="1:21" s="432" customFormat="1" ht="24" x14ac:dyDescent="0.2">
      <c r="A8" s="436"/>
      <c r="B8" s="1932" t="s">
        <v>1253</v>
      </c>
      <c r="C8" s="437">
        <f>SUM(C9:C12)</f>
        <v>0</v>
      </c>
      <c r="D8" s="437">
        <f t="shared" ref="D8" si="0">SUM(D9:D12)</f>
        <v>0</v>
      </c>
      <c r="E8" s="438">
        <f>SUM(E9:E12)</f>
        <v>143</v>
      </c>
      <c r="F8" s="438">
        <f t="shared" ref="F8:Q8" si="1">SUM(F9:F12)</f>
        <v>2786.6</v>
      </c>
      <c r="G8" s="438">
        <f t="shared" si="1"/>
        <v>1</v>
      </c>
      <c r="H8" s="438">
        <f t="shared" si="1"/>
        <v>1600</v>
      </c>
      <c r="I8" s="442">
        <f t="shared" ref="I8:J10" si="2">G8</f>
        <v>1</v>
      </c>
      <c r="J8" s="442">
        <f t="shared" si="2"/>
        <v>1600</v>
      </c>
      <c r="K8" s="438">
        <f t="shared" si="1"/>
        <v>1</v>
      </c>
      <c r="L8" s="438">
        <f>SUM(L9:L12)</f>
        <v>1600</v>
      </c>
      <c r="M8" s="439">
        <f t="shared" ref="M8:M10" si="3">L8-H8</f>
        <v>0</v>
      </c>
      <c r="N8" s="439">
        <f t="shared" ref="N8:N10" si="4">IFERROR((L8)/H8*100,0)</f>
        <v>100</v>
      </c>
      <c r="O8" s="438">
        <f t="shared" si="1"/>
        <v>1</v>
      </c>
      <c r="P8" s="438">
        <f t="shared" si="1"/>
        <v>1600</v>
      </c>
      <c r="Q8" s="438">
        <f t="shared" si="1"/>
        <v>1</v>
      </c>
      <c r="R8" s="438">
        <f>SUM(R9:R12)</f>
        <v>1600</v>
      </c>
      <c r="S8" s="1933"/>
      <c r="T8" s="430"/>
      <c r="U8" s="431"/>
    </row>
    <row r="9" spans="1:21" s="432" customFormat="1" ht="12" customHeight="1" x14ac:dyDescent="0.2">
      <c r="A9" s="435"/>
      <c r="B9" s="440" t="s">
        <v>759</v>
      </c>
      <c r="C9" s="441"/>
      <c r="D9" s="441"/>
      <c r="E9" s="439"/>
      <c r="F9" s="439"/>
      <c r="G9" s="439"/>
      <c r="H9" s="439"/>
      <c r="I9" s="442">
        <f t="shared" si="2"/>
        <v>0</v>
      </c>
      <c r="J9" s="442">
        <f t="shared" si="2"/>
        <v>0</v>
      </c>
      <c r="K9" s="439"/>
      <c r="L9" s="439"/>
      <c r="M9" s="439">
        <f t="shared" si="3"/>
        <v>0</v>
      </c>
      <c r="N9" s="439">
        <f t="shared" si="4"/>
        <v>0</v>
      </c>
      <c r="O9" s="439"/>
      <c r="P9" s="439"/>
      <c r="Q9" s="439"/>
      <c r="R9" s="439"/>
      <c r="S9" s="2703"/>
      <c r="T9" s="430"/>
      <c r="U9" s="431"/>
    </row>
    <row r="10" spans="1:21" s="432" customFormat="1" ht="12" customHeight="1" x14ac:dyDescent="0.2">
      <c r="A10" s="435"/>
      <c r="B10" s="440" t="s">
        <v>760</v>
      </c>
      <c r="C10" s="441"/>
      <c r="D10" s="441"/>
      <c r="E10" s="439"/>
      <c r="F10" s="439"/>
      <c r="G10" s="439">
        <v>1</v>
      </c>
      <c r="H10" s="439">
        <v>1600</v>
      </c>
      <c r="I10" s="442">
        <f t="shared" si="2"/>
        <v>1</v>
      </c>
      <c r="J10" s="442">
        <f t="shared" si="2"/>
        <v>1600</v>
      </c>
      <c r="K10" s="439">
        <v>1</v>
      </c>
      <c r="L10" s="439">
        <v>1600</v>
      </c>
      <c r="M10" s="439">
        <f t="shared" si="3"/>
        <v>0</v>
      </c>
      <c r="N10" s="439">
        <f t="shared" si="4"/>
        <v>100</v>
      </c>
      <c r="O10" s="439">
        <f>K10</f>
        <v>1</v>
      </c>
      <c r="P10" s="439">
        <f>L10</f>
        <v>1600</v>
      </c>
      <c r="Q10" s="439">
        <f>O10</f>
        <v>1</v>
      </c>
      <c r="R10" s="439">
        <f>P10</f>
        <v>1600</v>
      </c>
      <c r="S10" s="2703"/>
      <c r="T10" s="430"/>
      <c r="U10" s="431"/>
    </row>
    <row r="11" spans="1:21" s="432" customFormat="1" ht="12" customHeight="1" x14ac:dyDescent="0.2">
      <c r="A11" s="435"/>
      <c r="B11" s="440" t="s">
        <v>761</v>
      </c>
      <c r="C11" s="441"/>
      <c r="D11" s="441"/>
      <c r="E11" s="439">
        <f>63+70</f>
        <v>133</v>
      </c>
      <c r="F11" s="439">
        <f>1151.6+210</f>
        <v>1361.6</v>
      </c>
      <c r="G11" s="439"/>
      <c r="H11" s="439"/>
      <c r="I11" s="442"/>
      <c r="J11" s="442"/>
      <c r="K11" s="439"/>
      <c r="L11" s="439"/>
      <c r="M11" s="439"/>
      <c r="N11" s="439"/>
      <c r="O11" s="439"/>
      <c r="P11" s="439"/>
      <c r="Q11" s="439"/>
      <c r="R11" s="439"/>
      <c r="S11" s="2703"/>
      <c r="T11" s="430"/>
      <c r="U11" s="431"/>
    </row>
    <row r="12" spans="1:21" s="432" customFormat="1" ht="12" customHeight="1" x14ac:dyDescent="0.2">
      <c r="A12" s="435"/>
      <c r="B12" s="443" t="s">
        <v>762</v>
      </c>
      <c r="C12" s="441"/>
      <c r="D12" s="441"/>
      <c r="E12" s="439">
        <f>E13+E14+E15</f>
        <v>10</v>
      </c>
      <c r="F12" s="439">
        <f>F13+F14+F15</f>
        <v>1425</v>
      </c>
      <c r="G12" s="439"/>
      <c r="H12" s="439"/>
      <c r="I12" s="442"/>
      <c r="J12" s="442"/>
      <c r="K12" s="439"/>
      <c r="L12" s="439"/>
      <c r="M12" s="439"/>
      <c r="N12" s="439"/>
      <c r="O12" s="439"/>
      <c r="P12" s="439"/>
      <c r="Q12" s="439"/>
      <c r="R12" s="439"/>
      <c r="S12" s="2703"/>
      <c r="T12" s="430"/>
      <c r="U12" s="431"/>
    </row>
    <row r="13" spans="1:21" s="432" customFormat="1" ht="12" customHeight="1" x14ac:dyDescent="0.2">
      <c r="A13" s="435"/>
      <c r="B13" s="443" t="s">
        <v>1619</v>
      </c>
      <c r="C13" s="441"/>
      <c r="D13" s="441"/>
      <c r="E13" s="439">
        <v>2</v>
      </c>
      <c r="F13" s="439">
        <v>965</v>
      </c>
      <c r="G13" s="439"/>
      <c r="H13" s="439"/>
      <c r="I13" s="442"/>
      <c r="J13" s="442"/>
      <c r="K13" s="439"/>
      <c r="L13" s="439"/>
      <c r="M13" s="439"/>
      <c r="N13" s="439"/>
      <c r="O13" s="439"/>
      <c r="P13" s="439"/>
      <c r="Q13" s="439"/>
      <c r="R13" s="439"/>
      <c r="S13" s="774"/>
      <c r="T13" s="430"/>
      <c r="U13" s="431"/>
    </row>
    <row r="14" spans="1:21" s="432" customFormat="1" ht="12" customHeight="1" x14ac:dyDescent="0.2">
      <c r="A14" s="435"/>
      <c r="B14" s="443" t="s">
        <v>1620</v>
      </c>
      <c r="C14" s="441"/>
      <c r="D14" s="441"/>
      <c r="E14" s="439">
        <v>1</v>
      </c>
      <c r="F14" s="439">
        <v>250</v>
      </c>
      <c r="G14" s="439"/>
      <c r="H14" s="439"/>
      <c r="I14" s="442"/>
      <c r="J14" s="442"/>
      <c r="K14" s="439"/>
      <c r="L14" s="439"/>
      <c r="M14" s="439"/>
      <c r="N14" s="439"/>
      <c r="O14" s="439"/>
      <c r="P14" s="439"/>
      <c r="Q14" s="439"/>
      <c r="R14" s="439"/>
      <c r="S14" s="774"/>
      <c r="T14" s="430"/>
      <c r="U14" s="431"/>
    </row>
    <row r="15" spans="1:21" s="432" customFormat="1" ht="12" customHeight="1" x14ac:dyDescent="0.2">
      <c r="A15" s="435"/>
      <c r="B15" s="443" t="s">
        <v>1621</v>
      </c>
      <c r="C15" s="441"/>
      <c r="D15" s="441"/>
      <c r="E15" s="439">
        <v>7</v>
      </c>
      <c r="F15" s="439">
        <v>210</v>
      </c>
      <c r="G15" s="439"/>
      <c r="H15" s="439"/>
      <c r="I15" s="442"/>
      <c r="J15" s="442"/>
      <c r="K15" s="439"/>
      <c r="L15" s="439"/>
      <c r="M15" s="439"/>
      <c r="N15" s="439"/>
      <c r="O15" s="439"/>
      <c r="P15" s="439"/>
      <c r="Q15" s="439"/>
      <c r="R15" s="439"/>
      <c r="S15" s="774"/>
      <c r="T15" s="430"/>
      <c r="U15" s="431"/>
    </row>
    <row r="16" spans="1:21" s="432" customFormat="1" ht="12" customHeight="1" x14ac:dyDescent="0.2">
      <c r="A16" s="445"/>
      <c r="B16" s="670"/>
      <c r="C16" s="670"/>
      <c r="D16" s="446"/>
      <c r="E16" s="445"/>
      <c r="F16" s="446"/>
      <c r="G16" s="445"/>
      <c r="H16" s="446"/>
      <c r="I16" s="445"/>
      <c r="J16" s="446"/>
      <c r="K16" s="445"/>
      <c r="L16" s="446"/>
      <c r="M16" s="447"/>
      <c r="N16" s="448"/>
      <c r="O16" s="448"/>
      <c r="P16" s="449"/>
      <c r="Q16" s="450"/>
      <c r="R16" s="449"/>
      <c r="S16" s="451"/>
      <c r="T16" s="430"/>
      <c r="U16" s="431"/>
    </row>
    <row r="17" spans="1:21" s="432" customFormat="1" ht="12" customHeight="1" x14ac:dyDescent="0.2">
      <c r="A17" s="445"/>
      <c r="B17" s="2701" t="s">
        <v>763</v>
      </c>
      <c r="C17" s="2701"/>
      <c r="D17" s="2701"/>
      <c r="E17" s="2701"/>
      <c r="F17" s="2701"/>
      <c r="G17" s="2701"/>
      <c r="H17" s="2701"/>
      <c r="I17" s="2701"/>
      <c r="J17" s="2701"/>
      <c r="K17" s="2701"/>
      <c r="L17" s="2701"/>
      <c r="M17" s="2701"/>
      <c r="N17" s="2701"/>
      <c r="O17" s="2701"/>
      <c r="P17" s="449"/>
      <c r="Q17" s="450"/>
      <c r="R17" s="449"/>
      <c r="S17" s="451"/>
      <c r="T17" s="430"/>
      <c r="U17" s="431"/>
    </row>
    <row r="18" spans="1:21" s="432" customFormat="1" ht="12" customHeight="1" x14ac:dyDescent="0.2">
      <c r="A18" s="445"/>
      <c r="B18" s="670"/>
      <c r="C18" s="670"/>
      <c r="D18" s="670"/>
      <c r="E18" s="670"/>
      <c r="F18" s="670"/>
      <c r="G18" s="670"/>
      <c r="H18" s="670"/>
      <c r="I18" s="670"/>
      <c r="J18" s="670"/>
      <c r="K18" s="670"/>
      <c r="L18" s="670"/>
      <c r="M18" s="670"/>
      <c r="N18" s="670"/>
      <c r="O18" s="670"/>
      <c r="P18" s="449"/>
      <c r="Q18" s="450"/>
      <c r="R18" s="449"/>
      <c r="S18" s="451"/>
      <c r="T18" s="430"/>
      <c r="U18" s="431"/>
    </row>
    <row r="19" spans="1:21" s="432" customFormat="1" ht="12.75" x14ac:dyDescent="0.2">
      <c r="A19" s="445"/>
      <c r="B19" s="670"/>
      <c r="C19" s="670"/>
      <c r="D19" s="446"/>
      <c r="E19" s="445"/>
      <c r="F19" s="446"/>
      <c r="G19" s="445"/>
      <c r="H19" s="446"/>
      <c r="I19" s="445"/>
      <c r="J19" s="446"/>
      <c r="K19" s="445"/>
      <c r="L19" s="446"/>
      <c r="M19" s="447"/>
      <c r="N19" s="448"/>
      <c r="O19" s="448"/>
      <c r="P19" s="449"/>
      <c r="Q19" s="450"/>
      <c r="R19" s="449"/>
      <c r="S19" s="430"/>
      <c r="T19" s="430"/>
      <c r="U19" s="431"/>
    </row>
    <row r="20" spans="1:21" ht="15.75" customHeight="1" x14ac:dyDescent="0.25">
      <c r="B20" s="452" t="s">
        <v>469</v>
      </c>
      <c r="C20" s="453"/>
      <c r="D20" s="453"/>
      <c r="E20" s="453"/>
      <c r="F20" s="453"/>
      <c r="G20" s="453"/>
      <c r="H20" s="453"/>
      <c r="I20" s="452" t="s">
        <v>175</v>
      </c>
      <c r="J20" s="453"/>
      <c r="K20" s="453"/>
      <c r="L20" s="453"/>
      <c r="M20" s="453"/>
      <c r="N20" s="453"/>
      <c r="O20" s="453"/>
      <c r="P20" s="453"/>
      <c r="Q20" s="454"/>
    </row>
    <row r="21" spans="1:21" x14ac:dyDescent="0.25">
      <c r="B21" s="455"/>
      <c r="C21" s="455"/>
      <c r="D21" s="456"/>
      <c r="E21" s="455"/>
      <c r="F21" s="456"/>
      <c r="G21" s="455"/>
      <c r="H21" s="456"/>
      <c r="I21" s="455"/>
      <c r="J21" s="456"/>
      <c r="K21" s="455"/>
      <c r="L21" s="456"/>
      <c r="M21" s="455"/>
      <c r="N21" s="455"/>
      <c r="O21" s="455"/>
      <c r="P21" s="456"/>
      <c r="Q21" s="455"/>
    </row>
    <row r="22" spans="1:21" x14ac:dyDescent="0.25">
      <c r="B22" s="457" t="s">
        <v>1215</v>
      </c>
      <c r="C22" s="458"/>
      <c r="D22" s="456"/>
      <c r="E22" s="455"/>
      <c r="F22" s="456"/>
      <c r="G22" s="455"/>
      <c r="H22" s="456"/>
      <c r="I22" s="455"/>
      <c r="J22" s="456"/>
      <c r="K22" s="455"/>
      <c r="L22" s="456"/>
      <c r="M22" s="455"/>
      <c r="N22" s="455"/>
      <c r="O22" s="455"/>
      <c r="P22" s="456"/>
      <c r="Q22" s="455"/>
    </row>
    <row r="23" spans="1:21" x14ac:dyDescent="0.25">
      <c r="B23" s="458" t="s">
        <v>1216</v>
      </c>
      <c r="C23" s="458"/>
      <c r="D23" s="456"/>
      <c r="E23" s="455"/>
      <c r="F23" s="456"/>
      <c r="G23" s="455"/>
      <c r="H23" s="456"/>
      <c r="I23" s="455"/>
      <c r="J23" s="456"/>
      <c r="K23" s="455"/>
      <c r="L23" s="456"/>
      <c r="M23" s="455"/>
      <c r="N23" s="455"/>
      <c r="O23" s="455"/>
      <c r="P23" s="456"/>
      <c r="Q23" s="455"/>
    </row>
    <row r="24" spans="1:21" x14ac:dyDescent="0.25">
      <c r="C24" s="459"/>
      <c r="D24" s="459"/>
      <c r="E24" s="459"/>
      <c r="F24" s="459"/>
      <c r="G24" s="459"/>
      <c r="H24" s="459"/>
      <c r="I24" s="459"/>
      <c r="J24" s="459"/>
      <c r="K24" s="459"/>
      <c r="L24" s="459"/>
      <c r="M24" s="459"/>
      <c r="N24" s="459"/>
      <c r="O24" s="459"/>
      <c r="P24" s="459"/>
      <c r="Q24" s="459"/>
      <c r="R24" s="459"/>
    </row>
    <row r="25" spans="1:21" x14ac:dyDescent="0.25">
      <c r="C25" s="459"/>
      <c r="D25" s="459"/>
      <c r="E25" s="459"/>
      <c r="F25" s="459"/>
      <c r="G25" s="459"/>
      <c r="H25" s="459"/>
      <c r="I25" s="459"/>
      <c r="J25" s="459"/>
      <c r="K25" s="459"/>
      <c r="L25" s="459"/>
      <c r="M25" s="459"/>
      <c r="N25" s="459"/>
      <c r="O25" s="459"/>
      <c r="P25" s="459"/>
      <c r="Q25" s="459"/>
      <c r="R25" s="459"/>
    </row>
  </sheetData>
  <mergeCells count="23">
    <mergeCell ref="L1:S1"/>
    <mergeCell ref="A4:A6"/>
    <mergeCell ref="B4:B6"/>
    <mergeCell ref="C4:D4"/>
    <mergeCell ref="E4:F4"/>
    <mergeCell ref="G4:J4"/>
    <mergeCell ref="K4:L4"/>
    <mergeCell ref="M4:N4"/>
    <mergeCell ref="O4:P4"/>
    <mergeCell ref="B17:O17"/>
    <mergeCell ref="A2:S2"/>
    <mergeCell ref="Q5:R5"/>
    <mergeCell ref="Q4:R4"/>
    <mergeCell ref="S4:S6"/>
    <mergeCell ref="C5:D5"/>
    <mergeCell ref="E5:F5"/>
    <mergeCell ref="G5:H5"/>
    <mergeCell ref="I5:J5"/>
    <mergeCell ref="K5:L5"/>
    <mergeCell ref="M5:M6"/>
    <mergeCell ref="N5:N6"/>
    <mergeCell ref="O5:P5"/>
    <mergeCell ref="S9:S12"/>
  </mergeCells>
  <pageMargins left="0.59055118110236227" right="0.39370078740157483" top="0.78740157480314965" bottom="0.23622047244094491" header="0.19685039370078741" footer="0.15748031496062992"/>
  <pageSetup paperSize="9" scale="41"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C000"/>
    <pageSetUpPr fitToPage="1"/>
  </sheetPr>
  <dimension ref="A1:AQ37"/>
  <sheetViews>
    <sheetView view="pageBreakPreview" topLeftCell="G1" zoomScale="70" zoomScaleNormal="25" zoomScaleSheetLayoutView="70" workbookViewId="0">
      <pane xSplit="2" ySplit="8" topLeftCell="N21" activePane="bottomRight" state="frozen"/>
      <selection activeCell="G1" sqref="G1"/>
      <selection pane="topRight" activeCell="I1" sqref="I1"/>
      <selection pane="bottomLeft" activeCell="G9" sqref="G9"/>
      <selection pane="bottomRight" activeCell="T31" sqref="T31"/>
    </sheetView>
  </sheetViews>
  <sheetFormatPr defaultColWidth="10.6640625" defaultRowHeight="15" x14ac:dyDescent="0.2"/>
  <cols>
    <col min="1" max="6" width="0" style="1934" hidden="1" customWidth="1"/>
    <col min="7" max="7" width="6.5" style="1934" customWidth="1"/>
    <col min="8" max="8" width="21" style="1934" customWidth="1"/>
    <col min="9" max="9" width="38" style="1935" customWidth="1"/>
    <col min="10" max="10" width="23.5" style="1934" customWidth="1"/>
    <col min="11" max="11" width="18" style="1934" customWidth="1"/>
    <col min="12" max="13" width="13.33203125" style="1934" customWidth="1"/>
    <col min="14" max="16" width="14.83203125" style="1934" customWidth="1"/>
    <col min="17" max="18" width="13.33203125" style="1934" customWidth="1"/>
    <col min="19" max="21" width="14.83203125" style="1934" customWidth="1"/>
    <col min="22" max="23" width="13.33203125" style="1934" customWidth="1"/>
    <col min="24" max="26" width="14.83203125" style="1934" customWidth="1"/>
    <col min="27" max="27" width="27.33203125" style="1934" customWidth="1"/>
    <col min="28" max="29" width="13.33203125" style="1934" customWidth="1"/>
    <col min="30" max="32" width="14.83203125" style="1934" customWidth="1"/>
    <col min="33" max="33" width="12.6640625" style="1934" customWidth="1"/>
    <col min="34" max="34" width="13.5" style="1934" customWidth="1"/>
    <col min="35" max="36" width="14" style="1934" customWidth="1"/>
    <col min="37" max="37" width="14.5" style="1934" customWidth="1"/>
    <col min="38" max="16384" width="10.6640625" style="1934"/>
  </cols>
  <sheetData>
    <row r="1" spans="1:43" x14ac:dyDescent="0.2">
      <c r="AF1" s="1936" t="s">
        <v>1219</v>
      </c>
    </row>
    <row r="2" spans="1:43" ht="32.25" customHeight="1" x14ac:dyDescent="0.2">
      <c r="G2" s="2721" t="s">
        <v>1240</v>
      </c>
      <c r="H2" s="2721"/>
      <c r="I2" s="2721"/>
      <c r="J2" s="2721"/>
      <c r="K2" s="2721"/>
      <c r="L2" s="2721"/>
      <c r="M2" s="2721"/>
      <c r="N2" s="2721"/>
      <c r="O2" s="2721"/>
      <c r="P2" s="2721"/>
      <c r="Q2" s="2721"/>
      <c r="R2" s="2721"/>
      <c r="S2" s="2721"/>
      <c r="T2" s="2721"/>
      <c r="U2" s="2721"/>
      <c r="V2" s="2721"/>
      <c r="W2" s="2721"/>
      <c r="X2" s="2721"/>
      <c r="Y2" s="2721"/>
      <c r="Z2" s="2721"/>
      <c r="AA2" s="2721"/>
      <c r="AB2" s="2721"/>
      <c r="AC2" s="2721"/>
      <c r="AD2" s="2721"/>
      <c r="AE2" s="2721"/>
      <c r="AF2" s="2721"/>
    </row>
    <row r="3" spans="1:43" x14ac:dyDescent="0.2">
      <c r="G3" s="2722" t="s">
        <v>1253</v>
      </c>
      <c r="H3" s="2722"/>
      <c r="I3" s="2722"/>
      <c r="J3" s="2722"/>
      <c r="K3" s="2722"/>
      <c r="L3" s="2722"/>
      <c r="M3" s="2722"/>
      <c r="N3" s="2722"/>
      <c r="O3" s="2722"/>
      <c r="P3" s="2722"/>
      <c r="Q3" s="2722"/>
      <c r="R3" s="2722"/>
      <c r="S3" s="2722"/>
      <c r="T3" s="2722"/>
      <c r="U3" s="2722"/>
      <c r="V3" s="2722"/>
      <c r="W3" s="2722"/>
      <c r="X3" s="2722"/>
      <c r="Y3" s="2722"/>
      <c r="Z3" s="2722"/>
      <c r="AA3" s="2722"/>
      <c r="AB3" s="2722"/>
      <c r="AC3" s="2722"/>
      <c r="AD3" s="2722"/>
      <c r="AE3" s="2722"/>
      <c r="AF3" s="2722"/>
    </row>
    <row r="4" spans="1:43" x14ac:dyDescent="0.2">
      <c r="G4" s="2723" t="s">
        <v>1220</v>
      </c>
      <c r="H4" s="2723"/>
      <c r="I4" s="2723"/>
      <c r="J4" s="2723"/>
      <c r="K4" s="2723"/>
      <c r="L4" s="2723"/>
      <c r="M4" s="2723"/>
      <c r="N4" s="2723"/>
      <c r="O4" s="2723"/>
      <c r="P4" s="2723"/>
      <c r="Q4" s="2723"/>
      <c r="AK4" s="1983">
        <v>43829</v>
      </c>
    </row>
    <row r="5" spans="1:43" s="1937" customFormat="1" ht="14.25" x14ac:dyDescent="0.2">
      <c r="G5" s="2710" t="s">
        <v>78</v>
      </c>
      <c r="H5" s="2710" t="s">
        <v>188</v>
      </c>
      <c r="I5" s="2710" t="s">
        <v>1221</v>
      </c>
      <c r="J5" s="2710" t="s">
        <v>1222</v>
      </c>
      <c r="K5" s="2710" t="s">
        <v>1223</v>
      </c>
      <c r="L5" s="2720" t="s">
        <v>1217</v>
      </c>
      <c r="M5" s="2720"/>
      <c r="N5" s="2720"/>
      <c r="O5" s="2720"/>
      <c r="P5" s="2720"/>
      <c r="Q5" s="2720" t="s">
        <v>1218</v>
      </c>
      <c r="R5" s="2720"/>
      <c r="S5" s="2720"/>
      <c r="T5" s="2720"/>
      <c r="U5" s="2720"/>
      <c r="V5" s="2720" t="s">
        <v>1224</v>
      </c>
      <c r="W5" s="2720"/>
      <c r="X5" s="2720"/>
      <c r="Y5" s="2720"/>
      <c r="Z5" s="2720"/>
      <c r="AA5" s="2710" t="s">
        <v>1225</v>
      </c>
      <c r="AB5" s="2720" t="s">
        <v>1226</v>
      </c>
      <c r="AC5" s="2720"/>
      <c r="AD5" s="2720"/>
      <c r="AE5" s="2720"/>
      <c r="AF5" s="2720"/>
      <c r="AG5" s="2720" t="s">
        <v>1227</v>
      </c>
      <c r="AH5" s="2720"/>
      <c r="AI5" s="2720"/>
      <c r="AJ5" s="2720"/>
      <c r="AK5" s="2720"/>
    </row>
    <row r="6" spans="1:43" s="1938" customFormat="1" x14ac:dyDescent="0.2">
      <c r="G6" s="2710"/>
      <c r="H6" s="2710"/>
      <c r="I6" s="2710"/>
      <c r="J6" s="2710"/>
      <c r="K6" s="2710"/>
      <c r="L6" s="2720" t="s">
        <v>1228</v>
      </c>
      <c r="M6" s="2720"/>
      <c r="N6" s="2720"/>
      <c r="O6" s="2720" t="s">
        <v>1229</v>
      </c>
      <c r="P6" s="2720" t="s">
        <v>1230</v>
      </c>
      <c r="Q6" s="2720" t="s">
        <v>1228</v>
      </c>
      <c r="R6" s="2720"/>
      <c r="S6" s="2720"/>
      <c r="T6" s="2720" t="s">
        <v>1229</v>
      </c>
      <c r="U6" s="2720" t="s">
        <v>1230</v>
      </c>
      <c r="V6" s="2710" t="s">
        <v>1228</v>
      </c>
      <c r="W6" s="2710"/>
      <c r="X6" s="2710"/>
      <c r="Y6" s="2710" t="s">
        <v>1229</v>
      </c>
      <c r="Z6" s="2710" t="s">
        <v>1230</v>
      </c>
      <c r="AA6" s="2710"/>
      <c r="AB6" s="2710" t="s">
        <v>1228</v>
      </c>
      <c r="AC6" s="2710"/>
      <c r="AD6" s="2710"/>
      <c r="AE6" s="2710" t="s">
        <v>1229</v>
      </c>
      <c r="AF6" s="2710" t="s">
        <v>1230</v>
      </c>
      <c r="AG6" s="2710" t="s">
        <v>1228</v>
      </c>
      <c r="AH6" s="2710"/>
      <c r="AI6" s="2710"/>
      <c r="AJ6" s="2710" t="s">
        <v>1229</v>
      </c>
      <c r="AK6" s="2710" t="s">
        <v>1230</v>
      </c>
    </row>
    <row r="7" spans="1:43" s="1938" customFormat="1" ht="57" x14ac:dyDescent="0.2">
      <c r="G7" s="2710"/>
      <c r="H7" s="2710"/>
      <c r="I7" s="2710"/>
      <c r="J7" s="2710"/>
      <c r="K7" s="2710"/>
      <c r="L7" s="1939" t="s">
        <v>1231</v>
      </c>
      <c r="M7" s="1939" t="s">
        <v>1232</v>
      </c>
      <c r="N7" s="1939" t="s">
        <v>1233</v>
      </c>
      <c r="O7" s="2720"/>
      <c r="P7" s="2720"/>
      <c r="Q7" s="1939" t="s">
        <v>1231</v>
      </c>
      <c r="R7" s="1939" t="s">
        <v>1234</v>
      </c>
      <c r="S7" s="1939" t="s">
        <v>1233</v>
      </c>
      <c r="T7" s="2720"/>
      <c r="U7" s="2720"/>
      <c r="V7" s="1940" t="s">
        <v>1231</v>
      </c>
      <c r="W7" s="1940" t="s">
        <v>1235</v>
      </c>
      <c r="X7" s="1940" t="s">
        <v>1233</v>
      </c>
      <c r="Y7" s="2710"/>
      <c r="Z7" s="2710"/>
      <c r="AA7" s="2710"/>
      <c r="AB7" s="1940" t="s">
        <v>1231</v>
      </c>
      <c r="AC7" s="1940" t="s">
        <v>1235</v>
      </c>
      <c r="AD7" s="1940" t="s">
        <v>1233</v>
      </c>
      <c r="AE7" s="2710"/>
      <c r="AF7" s="2710"/>
      <c r="AG7" s="1940" t="s">
        <v>1231</v>
      </c>
      <c r="AH7" s="1940" t="s">
        <v>1235</v>
      </c>
      <c r="AI7" s="1940" t="s">
        <v>1233</v>
      </c>
      <c r="AJ7" s="2710"/>
      <c r="AK7" s="2710"/>
    </row>
    <row r="8" spans="1:43" x14ac:dyDescent="0.2">
      <c r="G8" s="1941">
        <v>1</v>
      </c>
      <c r="H8" s="1941">
        <v>2</v>
      </c>
      <c r="I8" s="1941">
        <v>3</v>
      </c>
      <c r="J8" s="1941">
        <v>4</v>
      </c>
      <c r="K8" s="1941">
        <v>5</v>
      </c>
      <c r="L8" s="1941">
        <v>6</v>
      </c>
      <c r="M8" s="1941">
        <v>7</v>
      </c>
      <c r="N8" s="1941">
        <v>8</v>
      </c>
      <c r="O8" s="1941">
        <v>9</v>
      </c>
      <c r="P8" s="1941">
        <v>10</v>
      </c>
      <c r="Q8" s="1941">
        <v>11</v>
      </c>
      <c r="R8" s="1941">
        <v>12</v>
      </c>
      <c r="S8" s="1941">
        <v>13</v>
      </c>
      <c r="T8" s="1941">
        <v>14</v>
      </c>
      <c r="U8" s="1941">
        <v>15</v>
      </c>
      <c r="V8" s="1941">
        <v>16</v>
      </c>
      <c r="W8" s="1941">
        <v>17</v>
      </c>
      <c r="X8" s="1941">
        <v>18</v>
      </c>
      <c r="Y8" s="1941">
        <v>19</v>
      </c>
      <c r="Z8" s="1941">
        <v>20</v>
      </c>
      <c r="AA8" s="1941">
        <v>21</v>
      </c>
      <c r="AB8" s="1941">
        <v>22</v>
      </c>
      <c r="AC8" s="1941">
        <v>23</v>
      </c>
      <c r="AD8" s="1941">
        <v>24</v>
      </c>
      <c r="AE8" s="1941">
        <v>25</v>
      </c>
      <c r="AF8" s="1941">
        <v>26</v>
      </c>
      <c r="AG8" s="1941">
        <v>27</v>
      </c>
      <c r="AH8" s="1941">
        <v>28</v>
      </c>
      <c r="AI8" s="1941">
        <v>29</v>
      </c>
      <c r="AJ8" s="1941">
        <v>30</v>
      </c>
      <c r="AK8" s="1941">
        <v>31</v>
      </c>
    </row>
    <row r="9" spans="1:43" s="1947" customFormat="1" x14ac:dyDescent="0.2">
      <c r="A9" s="2711"/>
      <c r="B9" s="2711"/>
      <c r="C9" s="2711"/>
      <c r="D9" s="2711"/>
      <c r="E9" s="2711"/>
      <c r="F9" s="2711"/>
      <c r="G9" s="2712"/>
      <c r="H9" s="2713" t="s">
        <v>1253</v>
      </c>
      <c r="I9" s="1942"/>
      <c r="J9" s="1943" t="s">
        <v>1236</v>
      </c>
      <c r="K9" s="1943">
        <v>1</v>
      </c>
      <c r="L9" s="1944">
        <f>SUM(L10:L12)</f>
        <v>5</v>
      </c>
      <c r="M9" s="1944">
        <f>SUM(M10:M12)</f>
        <v>4</v>
      </c>
      <c r="N9" s="1944">
        <f>SUM(N10:N12)</f>
        <v>4</v>
      </c>
      <c r="O9" s="1945">
        <f>'[19]НДХШ средняя+++'!$F$80</f>
        <v>5.32</v>
      </c>
      <c r="P9" s="1945">
        <f>SUM(P10:P12)</f>
        <v>21.28</v>
      </c>
      <c r="Q9" s="1944">
        <f>SUM(Q10:Q12)</f>
        <v>5</v>
      </c>
      <c r="R9" s="1944">
        <f>SUM(R10:R12)</f>
        <v>4</v>
      </c>
      <c r="S9" s="1944">
        <f>SUM(S10:S12)</f>
        <v>4</v>
      </c>
      <c r="T9" s="1945">
        <f>'[19]НДХШ средняя+++'!$L$80</f>
        <v>4.84</v>
      </c>
      <c r="U9" s="1945">
        <f>SUM(U10:U12)</f>
        <v>19.36</v>
      </c>
      <c r="V9" s="1944">
        <f>SUM(V10:V12)</f>
        <v>5</v>
      </c>
      <c r="W9" s="1944">
        <f>SUM(W10:W12)</f>
        <v>4</v>
      </c>
      <c r="X9" s="1944">
        <f t="shared" ref="X9" si="0">SUM(X10:X12)</f>
        <v>4</v>
      </c>
      <c r="Y9" s="1945">
        <f>'[19]НДХШ средняя+++'!$O$80</f>
        <v>6.18</v>
      </c>
      <c r="Z9" s="1945">
        <f>SUM(Z10:Z12)</f>
        <v>24.72</v>
      </c>
      <c r="AA9" s="1943"/>
      <c r="AB9" s="1944">
        <f>SUM(AB10:AB12)</f>
        <v>5</v>
      </c>
      <c r="AC9" s="1944">
        <f>SUM(AC10:AC12)</f>
        <v>4</v>
      </c>
      <c r="AD9" s="1944">
        <f t="shared" ref="AD9" si="1">SUM(AD10:AD12)</f>
        <v>4</v>
      </c>
      <c r="AE9" s="1946">
        <f>'[19]НДХШ средняя+++'!$O$80</f>
        <v>6.18</v>
      </c>
      <c r="AF9" s="1946">
        <f>SUM(AF10:AF12)</f>
        <v>24.72</v>
      </c>
      <c r="AG9" s="1944">
        <f>SUM(AG10:AG12)</f>
        <v>5</v>
      </c>
      <c r="AH9" s="1944">
        <f>SUM(AH10:AH12)</f>
        <v>4</v>
      </c>
      <c r="AI9" s="1944">
        <f t="shared" ref="AI9" si="2">SUM(AI10:AI12)</f>
        <v>4</v>
      </c>
      <c r="AJ9" s="1946">
        <f>'[19]НДХШ средняя+++'!$O$80</f>
        <v>6.18</v>
      </c>
      <c r="AK9" s="1946">
        <f>SUM(AK10:AK12)</f>
        <v>24.72</v>
      </c>
    </row>
    <row r="10" spans="1:43" ht="30" x14ac:dyDescent="0.2">
      <c r="A10" s="2711"/>
      <c r="B10" s="2711"/>
      <c r="C10" s="2711"/>
      <c r="D10" s="2711"/>
      <c r="E10" s="2711"/>
      <c r="F10" s="2711"/>
      <c r="G10" s="2712"/>
      <c r="H10" s="2714"/>
      <c r="I10" s="1948" t="s">
        <v>1622</v>
      </c>
      <c r="J10" s="1940" t="s">
        <v>1623</v>
      </c>
      <c r="K10" s="1940">
        <v>1</v>
      </c>
      <c r="L10" s="1949">
        <v>1</v>
      </c>
      <c r="M10" s="1950">
        <v>1</v>
      </c>
      <c r="N10" s="1950">
        <v>1</v>
      </c>
      <c r="O10" s="1951">
        <f>'[19]НДХШ средняя+++'!$F$80</f>
        <v>5.32</v>
      </c>
      <c r="P10" s="1952">
        <f>N10*O10</f>
        <v>5.32</v>
      </c>
      <c r="Q10" s="1950">
        <v>1</v>
      </c>
      <c r="R10" s="1950">
        <v>1</v>
      </c>
      <c r="S10" s="1950">
        <v>1</v>
      </c>
      <c r="T10" s="1953">
        <f>'[19]НДХШ средняя+++'!$L$80</f>
        <v>4.84</v>
      </c>
      <c r="U10" s="1952">
        <f>S10*T10</f>
        <v>4.84</v>
      </c>
      <c r="V10" s="1950">
        <v>1</v>
      </c>
      <c r="W10" s="1950">
        <v>1</v>
      </c>
      <c r="X10" s="1950">
        <v>1</v>
      </c>
      <c r="Y10" s="1951">
        <f>'[19]НДХШ средняя+++'!$O$80</f>
        <v>6.18</v>
      </c>
      <c r="Z10" s="1952">
        <f>X10*Y10</f>
        <v>6.18</v>
      </c>
      <c r="AA10" s="1941"/>
      <c r="AB10" s="1950">
        <v>1</v>
      </c>
      <c r="AC10" s="1950">
        <v>1</v>
      </c>
      <c r="AD10" s="1950">
        <v>1</v>
      </c>
      <c r="AE10" s="1953">
        <f>'[19]НДХШ средняя+++'!$O$80</f>
        <v>6.18</v>
      </c>
      <c r="AF10" s="1954">
        <f>AD10*AE10</f>
        <v>6.18</v>
      </c>
      <c r="AG10" s="1950">
        <v>1</v>
      </c>
      <c r="AH10" s="1950">
        <v>1</v>
      </c>
      <c r="AI10" s="1950">
        <v>1</v>
      </c>
      <c r="AJ10" s="1953">
        <f>'[19]НДХШ средняя+++'!$O$80</f>
        <v>6.18</v>
      </c>
      <c r="AK10" s="1954">
        <f>AI10*AJ10</f>
        <v>6.18</v>
      </c>
    </row>
    <row r="11" spans="1:43" ht="30" x14ac:dyDescent="0.2">
      <c r="A11" s="2711"/>
      <c r="B11" s="2711"/>
      <c r="C11" s="2711"/>
      <c r="D11" s="2711"/>
      <c r="E11" s="2711"/>
      <c r="F11" s="2711"/>
      <c r="G11" s="2712"/>
      <c r="H11" s="2714"/>
      <c r="I11" s="1948" t="s">
        <v>1622</v>
      </c>
      <c r="J11" s="1940" t="s">
        <v>1624</v>
      </c>
      <c r="K11" s="1940">
        <v>1</v>
      </c>
      <c r="L11" s="1949">
        <v>3</v>
      </c>
      <c r="M11" s="1950">
        <v>2</v>
      </c>
      <c r="N11" s="1950">
        <v>2</v>
      </c>
      <c r="O11" s="1951">
        <f>'[19]НДХШ средняя+++'!$F$80</f>
        <v>5.32</v>
      </c>
      <c r="P11" s="1952">
        <f>N11*O11</f>
        <v>10.64</v>
      </c>
      <c r="Q11" s="1950">
        <v>3</v>
      </c>
      <c r="R11" s="1950">
        <v>2</v>
      </c>
      <c r="S11" s="1950">
        <v>2</v>
      </c>
      <c r="T11" s="1953">
        <f>'[19]НДХШ средняя+++'!$L$80</f>
        <v>4.84</v>
      </c>
      <c r="U11" s="1952">
        <f t="shared" ref="U11:U12" si="3">S11*T11</f>
        <v>9.68</v>
      </c>
      <c r="V11" s="1950">
        <v>3</v>
      </c>
      <c r="W11" s="1950">
        <v>2</v>
      </c>
      <c r="X11" s="1950">
        <v>2</v>
      </c>
      <c r="Y11" s="1951">
        <f>'[19]НДХШ средняя+++'!$O$80</f>
        <v>6.18</v>
      </c>
      <c r="Z11" s="1952">
        <f t="shared" ref="Z11:Z12" si="4">X11*Y11</f>
        <v>12.36</v>
      </c>
      <c r="AA11" s="1941"/>
      <c r="AB11" s="1950">
        <v>3</v>
      </c>
      <c r="AC11" s="1950">
        <v>2</v>
      </c>
      <c r="AD11" s="1950">
        <v>2</v>
      </c>
      <c r="AE11" s="1953">
        <f>'[19]НДХШ средняя+++'!$O$80</f>
        <v>6.18</v>
      </c>
      <c r="AF11" s="1954">
        <f t="shared" ref="AF11:AF12" si="5">AD11*AE11</f>
        <v>12.36</v>
      </c>
      <c r="AG11" s="1950">
        <v>3</v>
      </c>
      <c r="AH11" s="1950">
        <v>2</v>
      </c>
      <c r="AI11" s="1950">
        <v>2</v>
      </c>
      <c r="AJ11" s="1953">
        <f>'[19]НДХШ средняя+++'!$O$80</f>
        <v>6.18</v>
      </c>
      <c r="AK11" s="1954">
        <f t="shared" ref="AK11:AK12" si="6">AI11*AJ11</f>
        <v>12.36</v>
      </c>
    </row>
    <row r="12" spans="1:43" ht="30" x14ac:dyDescent="0.2">
      <c r="A12" s="2711"/>
      <c r="B12" s="2711"/>
      <c r="C12" s="2711"/>
      <c r="D12" s="2711"/>
      <c r="E12" s="2711"/>
      <c r="F12" s="2711"/>
      <c r="G12" s="2712"/>
      <c r="H12" s="2714"/>
      <c r="I12" s="1948" t="s">
        <v>1622</v>
      </c>
      <c r="J12" s="1940" t="s">
        <v>1625</v>
      </c>
      <c r="K12" s="1940">
        <v>1</v>
      </c>
      <c r="L12" s="1949">
        <v>1</v>
      </c>
      <c r="M12" s="1950">
        <v>1</v>
      </c>
      <c r="N12" s="1950">
        <v>1</v>
      </c>
      <c r="O12" s="1951">
        <f>'[19]НДХШ средняя+++'!$F$80</f>
        <v>5.32</v>
      </c>
      <c r="P12" s="1952">
        <f t="shared" ref="P12" si="7">N12*O12</f>
        <v>5.32</v>
      </c>
      <c r="Q12" s="1950">
        <v>1</v>
      </c>
      <c r="R12" s="1950">
        <v>1</v>
      </c>
      <c r="S12" s="1950">
        <v>1</v>
      </c>
      <c r="T12" s="1953">
        <f>'[19]НДХШ средняя+++'!$L$80</f>
        <v>4.84</v>
      </c>
      <c r="U12" s="1952">
        <f t="shared" si="3"/>
        <v>4.84</v>
      </c>
      <c r="V12" s="1950">
        <v>1</v>
      </c>
      <c r="W12" s="1950">
        <v>1</v>
      </c>
      <c r="X12" s="1950">
        <v>1</v>
      </c>
      <c r="Y12" s="1951">
        <f>'[19]НДХШ средняя+++'!$O$80</f>
        <v>6.18</v>
      </c>
      <c r="Z12" s="1952">
        <f t="shared" si="4"/>
        <v>6.18</v>
      </c>
      <c r="AA12" s="1941"/>
      <c r="AB12" s="1950">
        <v>1</v>
      </c>
      <c r="AC12" s="1950">
        <v>1</v>
      </c>
      <c r="AD12" s="1950">
        <v>1</v>
      </c>
      <c r="AE12" s="1953">
        <f>'[19]НДХШ средняя+++'!$O$80</f>
        <v>6.18</v>
      </c>
      <c r="AF12" s="1954">
        <f t="shared" si="5"/>
        <v>6.18</v>
      </c>
      <c r="AG12" s="1950">
        <v>1</v>
      </c>
      <c r="AH12" s="1950">
        <v>1</v>
      </c>
      <c r="AI12" s="1950">
        <v>1</v>
      </c>
      <c r="AJ12" s="1953">
        <f>'[19]НДХШ средняя+++'!$O$80</f>
        <v>6.18</v>
      </c>
      <c r="AK12" s="1954">
        <f t="shared" si="6"/>
        <v>6.18</v>
      </c>
    </row>
    <row r="13" spans="1:43" s="1957" customFormat="1" x14ac:dyDescent="0.2">
      <c r="A13" s="2711"/>
      <c r="B13" s="2711"/>
      <c r="C13" s="2711"/>
      <c r="D13" s="2711"/>
      <c r="E13" s="2711"/>
      <c r="F13" s="2711"/>
      <c r="G13" s="2712"/>
      <c r="H13" s="2714"/>
      <c r="I13" s="1955"/>
      <c r="J13" s="1945" t="s">
        <v>1237</v>
      </c>
      <c r="K13" s="1945">
        <v>1</v>
      </c>
      <c r="L13" s="1956">
        <f>SUM(L14:L14)</f>
        <v>20</v>
      </c>
      <c r="M13" s="1956">
        <f>SUM(M14:M14)</f>
        <v>13</v>
      </c>
      <c r="N13" s="1956">
        <f>SUM(N14:N14)</f>
        <v>13</v>
      </c>
      <c r="O13" s="1945">
        <f>'[19]НДХШ средняя+++'!$F$80</f>
        <v>5.32</v>
      </c>
      <c r="P13" s="1945">
        <f>SUM(P14:P14)</f>
        <v>69.16</v>
      </c>
      <c r="Q13" s="1956">
        <f>SUM(Q14:Q14)</f>
        <v>20</v>
      </c>
      <c r="R13" s="1956">
        <f>SUM(R14:R14)</f>
        <v>13</v>
      </c>
      <c r="S13" s="1956">
        <f>SUM(S14:S14)</f>
        <v>13</v>
      </c>
      <c r="T13" s="1946">
        <f>'[19]НДХШ средняя+++'!$L$80</f>
        <v>4.84</v>
      </c>
      <c r="U13" s="1945">
        <f>SUM(U14:U14)</f>
        <v>62.92</v>
      </c>
      <c r="V13" s="1956">
        <f>SUM(V14:V14)</f>
        <v>20</v>
      </c>
      <c r="W13" s="1956">
        <f>SUM(W14:W14)</f>
        <v>14</v>
      </c>
      <c r="X13" s="1956">
        <f>SUM(X14:X14)</f>
        <v>14</v>
      </c>
      <c r="Y13" s="1945">
        <f>'[19]НДХШ средняя+++'!$O$80</f>
        <v>6.18</v>
      </c>
      <c r="Z13" s="1945">
        <f>SUM(Z14:Z14)</f>
        <v>86.52</v>
      </c>
      <c r="AA13" s="1945"/>
      <c r="AB13" s="1956">
        <f>SUM(AB14:AB14)</f>
        <v>20</v>
      </c>
      <c r="AC13" s="1956">
        <f>SUM(AC14:AC14)</f>
        <v>14</v>
      </c>
      <c r="AD13" s="1956">
        <f>SUM(AD14:AD14)</f>
        <v>14</v>
      </c>
      <c r="AE13" s="1946">
        <f>'[19]НДХШ средняя+++'!$O$80</f>
        <v>6.18</v>
      </c>
      <c r="AF13" s="1946">
        <f>SUM(AF14:AF14)</f>
        <v>86.52</v>
      </c>
      <c r="AG13" s="1956">
        <f>SUM(AG14:AG14)</f>
        <v>20</v>
      </c>
      <c r="AH13" s="1956">
        <f>SUM(AH14:AH14)</f>
        <v>14</v>
      </c>
      <c r="AI13" s="1956">
        <f>SUM(AI14:AI14)</f>
        <v>14</v>
      </c>
      <c r="AJ13" s="1946">
        <f>'[19]НДХШ средняя+++'!$O$80</f>
        <v>6.18</v>
      </c>
      <c r="AK13" s="1946">
        <f>SUM(AK14:AK14)</f>
        <v>86.52</v>
      </c>
      <c r="AL13" s="2716"/>
      <c r="AM13" s="2717"/>
      <c r="AN13" s="2717"/>
      <c r="AO13" s="2717"/>
      <c r="AP13" s="2717"/>
      <c r="AQ13" s="2717"/>
    </row>
    <row r="14" spans="1:43" s="1963" customFormat="1" ht="30" x14ac:dyDescent="0.2">
      <c r="A14" s="2711"/>
      <c r="B14" s="2711"/>
      <c r="C14" s="2711"/>
      <c r="D14" s="2711"/>
      <c r="E14" s="2711"/>
      <c r="F14" s="2711"/>
      <c r="G14" s="2712"/>
      <c r="H14" s="2714"/>
      <c r="I14" s="1948" t="s">
        <v>1622</v>
      </c>
      <c r="J14" s="1940" t="s">
        <v>1626</v>
      </c>
      <c r="K14" s="1958">
        <v>1</v>
      </c>
      <c r="L14" s="1958">
        <v>19.690000000000001</v>
      </c>
      <c r="M14" s="1959">
        <v>13</v>
      </c>
      <c r="N14" s="1959">
        <v>13</v>
      </c>
      <c r="O14" s="1960">
        <f>'[19]НДХШ средняя+++'!$F$80</f>
        <v>5.32</v>
      </c>
      <c r="P14" s="1952">
        <f>N14*O14</f>
        <v>69.16</v>
      </c>
      <c r="Q14" s="1959">
        <v>20</v>
      </c>
      <c r="R14" s="1959">
        <v>13</v>
      </c>
      <c r="S14" s="1959">
        <v>13</v>
      </c>
      <c r="T14" s="1961">
        <f>'[19]НДХШ средняя+++'!$L$80</f>
        <v>4.84</v>
      </c>
      <c r="U14" s="1952">
        <f>S14*T14</f>
        <v>62.92</v>
      </c>
      <c r="V14" s="1959">
        <v>20</v>
      </c>
      <c r="W14" s="1959">
        <v>14</v>
      </c>
      <c r="X14" s="1959">
        <v>14</v>
      </c>
      <c r="Y14" s="1960">
        <f>'[19]НДХШ средняя+++'!$O$80</f>
        <v>6.18</v>
      </c>
      <c r="Z14" s="1952">
        <f>X14*Y14</f>
        <v>86.52</v>
      </c>
      <c r="AA14" s="1941" t="s">
        <v>1627</v>
      </c>
      <c r="AB14" s="1959">
        <v>20</v>
      </c>
      <c r="AC14" s="1959">
        <v>14</v>
      </c>
      <c r="AD14" s="1959">
        <v>14</v>
      </c>
      <c r="AE14" s="1961">
        <f>'[19]НДХШ средняя+++'!$O$80</f>
        <v>6.18</v>
      </c>
      <c r="AF14" s="1954">
        <f>AD14*AE14</f>
        <v>86.52</v>
      </c>
      <c r="AG14" s="1959">
        <v>20</v>
      </c>
      <c r="AH14" s="1959">
        <v>14</v>
      </c>
      <c r="AI14" s="1959">
        <v>14</v>
      </c>
      <c r="AJ14" s="1953">
        <f>'[19]НДХШ средняя+++'!$O$80</f>
        <v>6.18</v>
      </c>
      <c r="AK14" s="1954">
        <f>AI14*AJ14</f>
        <v>86.52</v>
      </c>
      <c r="AL14" s="1962"/>
    </row>
    <row r="15" spans="1:43" s="1947" customFormat="1" x14ac:dyDescent="0.2">
      <c r="A15" s="2711"/>
      <c r="B15" s="2711"/>
      <c r="C15" s="2711"/>
      <c r="D15" s="2711"/>
      <c r="E15" s="2711"/>
      <c r="F15" s="2711"/>
      <c r="G15" s="2712"/>
      <c r="H15" s="2714"/>
      <c r="I15" s="1942"/>
      <c r="J15" s="1943" t="s">
        <v>1238</v>
      </c>
      <c r="K15" s="1943">
        <v>1</v>
      </c>
      <c r="L15" s="1956">
        <f>SUM(L16:L16)</f>
        <v>1</v>
      </c>
      <c r="M15" s="1956">
        <f>SUM(M16:M16)</f>
        <v>1</v>
      </c>
      <c r="N15" s="1956">
        <f>SUM(N16:N16)</f>
        <v>1</v>
      </c>
      <c r="O15" s="1945">
        <f>'[19]НДХШ средняя+++'!$F$80</f>
        <v>5.32</v>
      </c>
      <c r="P15" s="1945">
        <f>SUM(P16:P16)</f>
        <v>5.32</v>
      </c>
      <c r="Q15" s="1956">
        <f>SUM(Q16:Q16)</f>
        <v>1</v>
      </c>
      <c r="R15" s="1956">
        <f>SUM(R16:R16)</f>
        <v>1</v>
      </c>
      <c r="S15" s="1956">
        <f>SUM(S16:S16)</f>
        <v>1</v>
      </c>
      <c r="T15" s="1946">
        <f>'[19]НДХШ средняя+++'!$L$80</f>
        <v>4.84</v>
      </c>
      <c r="U15" s="1945">
        <f>SUM(U16:U16)</f>
        <v>4.84</v>
      </c>
      <c r="V15" s="1956">
        <f>SUM(V16:V16)</f>
        <v>1</v>
      </c>
      <c r="W15" s="1956">
        <f>SUM(W16:W16)</f>
        <v>1</v>
      </c>
      <c r="X15" s="1956">
        <f>SUM(X16:X16)</f>
        <v>1</v>
      </c>
      <c r="Y15" s="1945">
        <f>'[19]НДХШ средняя+++'!$O$80</f>
        <v>6.18</v>
      </c>
      <c r="Z15" s="1945">
        <f>SUM(Z16:Z16)</f>
        <v>6.1</v>
      </c>
      <c r="AA15" s="1943"/>
      <c r="AB15" s="1956">
        <f>SUM(AB16:AB16)</f>
        <v>1</v>
      </c>
      <c r="AC15" s="1956">
        <f>SUM(AC16:AC16)</f>
        <v>1</v>
      </c>
      <c r="AD15" s="1956">
        <f>SUM(AD16:AD16)</f>
        <v>1</v>
      </c>
      <c r="AE15" s="1946">
        <f>'[19]НДХШ средняя+++'!$O$80</f>
        <v>6.18</v>
      </c>
      <c r="AF15" s="1946">
        <f>SUM(AF16:AF16)</f>
        <v>6.1</v>
      </c>
      <c r="AG15" s="1956">
        <f>SUM(AG16:AG16)</f>
        <v>1</v>
      </c>
      <c r="AH15" s="1956">
        <f>SUM(AH16:AH16)</f>
        <v>1</v>
      </c>
      <c r="AI15" s="1956">
        <f>SUM(AI16:AI16)</f>
        <v>1</v>
      </c>
      <c r="AJ15" s="1946">
        <f>'[19]НДХШ средняя+++'!$O$80</f>
        <v>6.18</v>
      </c>
      <c r="AK15" s="1946">
        <f>SUM(AK16:AK16)</f>
        <v>6.1</v>
      </c>
    </row>
    <row r="16" spans="1:43" s="1963" customFormat="1" ht="30" x14ac:dyDescent="0.2">
      <c r="A16" s="2711"/>
      <c r="B16" s="2711"/>
      <c r="C16" s="2711"/>
      <c r="D16" s="2711"/>
      <c r="E16" s="2711"/>
      <c r="F16" s="2711"/>
      <c r="G16" s="2712"/>
      <c r="H16" s="2714"/>
      <c r="I16" s="1948" t="s">
        <v>1622</v>
      </c>
      <c r="J16" s="1940" t="s">
        <v>1628</v>
      </c>
      <c r="K16" s="1958">
        <v>1</v>
      </c>
      <c r="L16" s="1964">
        <v>1</v>
      </c>
      <c r="M16" s="1959">
        <v>1</v>
      </c>
      <c r="N16" s="1959">
        <v>1</v>
      </c>
      <c r="O16" s="1960">
        <f>'[19]НДХШ средняя+++'!$F$80</f>
        <v>5.32</v>
      </c>
      <c r="P16" s="1952">
        <f t="shared" ref="P16" si="8">N16*O16</f>
        <v>5.32</v>
      </c>
      <c r="Q16" s="1959">
        <v>1</v>
      </c>
      <c r="R16" s="1959">
        <v>1</v>
      </c>
      <c r="S16" s="1959">
        <v>1</v>
      </c>
      <c r="T16" s="1953">
        <f>'[19]НДХШ средняя+++'!$L$80</f>
        <v>4.84</v>
      </c>
      <c r="U16" s="1952">
        <f>S16*T16</f>
        <v>4.84</v>
      </c>
      <c r="V16" s="1959">
        <v>1</v>
      </c>
      <c r="W16" s="1959">
        <v>1</v>
      </c>
      <c r="X16" s="1959">
        <v>1</v>
      </c>
      <c r="Y16" s="1960">
        <f>'[19]НДХШ средняя+++'!$O$80</f>
        <v>6.18</v>
      </c>
      <c r="Z16" s="1952">
        <f>X16*Y16-0.08</f>
        <v>6.1</v>
      </c>
      <c r="AA16" s="1952"/>
      <c r="AB16" s="1959">
        <v>1</v>
      </c>
      <c r="AC16" s="1959">
        <v>1</v>
      </c>
      <c r="AD16" s="1959">
        <v>1</v>
      </c>
      <c r="AE16" s="1961">
        <f>'[19]НДХШ средняя+++'!$O$80</f>
        <v>6.18</v>
      </c>
      <c r="AF16" s="1954">
        <f>AD16*AE16-0.08</f>
        <v>6.1</v>
      </c>
      <c r="AG16" s="1959">
        <v>1</v>
      </c>
      <c r="AH16" s="1959">
        <v>1</v>
      </c>
      <c r="AI16" s="1959">
        <v>1</v>
      </c>
      <c r="AJ16" s="1953">
        <f>'[19]НДХШ средняя+++'!$O$80</f>
        <v>6.18</v>
      </c>
      <c r="AK16" s="1954">
        <f>AI16*AJ16-0.08</f>
        <v>6.1</v>
      </c>
    </row>
    <row r="17" spans="1:43" s="1947" customFormat="1" x14ac:dyDescent="0.2">
      <c r="A17" s="2711"/>
      <c r="B17" s="2711"/>
      <c r="C17" s="2711"/>
      <c r="D17" s="2711"/>
      <c r="E17" s="2711"/>
      <c r="F17" s="2711"/>
      <c r="G17" s="2712"/>
      <c r="H17" s="2714"/>
      <c r="I17" s="1942"/>
      <c r="J17" s="1943" t="s">
        <v>1629</v>
      </c>
      <c r="K17" s="1943">
        <v>1</v>
      </c>
      <c r="L17" s="1956">
        <f>SUM(L18:L22)</f>
        <v>12</v>
      </c>
      <c r="M17" s="1956">
        <f>SUM(M18:M22)</f>
        <v>11</v>
      </c>
      <c r="N17" s="1956">
        <f>SUM(N18:N22)</f>
        <v>11</v>
      </c>
      <c r="O17" s="1945">
        <f>'[19]НДХШ средняя+++'!$F$80</f>
        <v>5.32</v>
      </c>
      <c r="P17" s="1945">
        <f>SUM(P18:P22)</f>
        <v>58.52</v>
      </c>
      <c r="Q17" s="1956">
        <f>SUM(Q18:Q22)</f>
        <v>12</v>
      </c>
      <c r="R17" s="1956">
        <f>SUM(R18:R22)</f>
        <v>11</v>
      </c>
      <c r="S17" s="1956">
        <f>SUM(S18:S22)</f>
        <v>11</v>
      </c>
      <c r="T17" s="1946">
        <f>'[19]НДХШ средняя+++'!$L$80</f>
        <v>4.84</v>
      </c>
      <c r="U17" s="1945">
        <f>SUM(U18:U22)</f>
        <v>53.24</v>
      </c>
      <c r="V17" s="1956">
        <f>SUM(V18:V22)</f>
        <v>12</v>
      </c>
      <c r="W17" s="1956">
        <f>SUM(W18:W22)</f>
        <v>12</v>
      </c>
      <c r="X17" s="1956">
        <f>SUM(X18:X22)</f>
        <v>12</v>
      </c>
      <c r="Y17" s="1945">
        <f>'[19]НДХШ средняя+++'!$O$80</f>
        <v>6.18</v>
      </c>
      <c r="Z17" s="1945">
        <f>SUM(Z18:Z22)</f>
        <v>74.16</v>
      </c>
      <c r="AA17" s="1943"/>
      <c r="AB17" s="1956">
        <f>SUM(AB18:AB22)</f>
        <v>12</v>
      </c>
      <c r="AC17" s="1956">
        <f>SUM(AC18:AC22)</f>
        <v>12</v>
      </c>
      <c r="AD17" s="1956">
        <f>SUM(AD18:AD22)</f>
        <v>12</v>
      </c>
      <c r="AE17" s="1946">
        <f>'[19]НДХШ средняя+++'!$O$80</f>
        <v>6.18</v>
      </c>
      <c r="AF17" s="1946">
        <f>SUM(AF18:AF22)</f>
        <v>74.16</v>
      </c>
      <c r="AG17" s="1956">
        <f>SUM(AG18:AG22)</f>
        <v>12</v>
      </c>
      <c r="AH17" s="1956">
        <f>SUM(AH18:AH22)</f>
        <v>12</v>
      </c>
      <c r="AI17" s="1956">
        <f>SUM(AI18:AI22)</f>
        <v>12</v>
      </c>
      <c r="AJ17" s="1946">
        <f>'[19]НДХШ средняя+++'!$O$80</f>
        <v>6.18</v>
      </c>
      <c r="AK17" s="1946">
        <f>SUM(AK18:AK22)</f>
        <v>74.16</v>
      </c>
    </row>
    <row r="18" spans="1:43" s="1963" customFormat="1" ht="30" x14ac:dyDescent="0.2">
      <c r="A18" s="2711"/>
      <c r="B18" s="2711"/>
      <c r="C18" s="2711"/>
      <c r="D18" s="2711"/>
      <c r="E18" s="2711"/>
      <c r="F18" s="2711"/>
      <c r="G18" s="2712"/>
      <c r="H18" s="2714"/>
      <c r="I18" s="1948" t="s">
        <v>1622</v>
      </c>
      <c r="J18" s="1940" t="s">
        <v>1630</v>
      </c>
      <c r="K18" s="1958">
        <v>1</v>
      </c>
      <c r="L18" s="1964">
        <v>5</v>
      </c>
      <c r="M18" s="1959">
        <v>5</v>
      </c>
      <c r="N18" s="1959">
        <v>5</v>
      </c>
      <c r="O18" s="1951">
        <f>'[19]НДХШ средняя+++'!$F$80</f>
        <v>5.32</v>
      </c>
      <c r="P18" s="1952">
        <f t="shared" ref="P18:P22" si="9">N18*O18</f>
        <v>26.6</v>
      </c>
      <c r="Q18" s="1959">
        <v>5</v>
      </c>
      <c r="R18" s="1959">
        <v>5</v>
      </c>
      <c r="S18" s="1959">
        <v>5</v>
      </c>
      <c r="T18" s="1953">
        <f>'[19]НДХШ средняя+++'!$L$80</f>
        <v>4.84</v>
      </c>
      <c r="U18" s="1952">
        <f t="shared" ref="U18:U22" si="10">S18*T18</f>
        <v>24.2</v>
      </c>
      <c r="V18" s="1959">
        <v>5</v>
      </c>
      <c r="W18" s="1959">
        <v>5</v>
      </c>
      <c r="X18" s="1959">
        <v>5</v>
      </c>
      <c r="Y18" s="1951">
        <f>'[19]НДХШ средняя+++'!$O$80</f>
        <v>6.18</v>
      </c>
      <c r="Z18" s="1952">
        <f>SUM(Z21:Z22)</f>
        <v>30.9</v>
      </c>
      <c r="AA18" s="1952"/>
      <c r="AB18" s="1959">
        <v>5</v>
      </c>
      <c r="AC18" s="1959">
        <v>5</v>
      </c>
      <c r="AD18" s="1959">
        <v>5</v>
      </c>
      <c r="AE18" s="1953">
        <f>'[19]НДХШ средняя+++'!$O$80</f>
        <v>6.18</v>
      </c>
      <c r="AF18" s="1954">
        <f>SUM(AF21:AF22)</f>
        <v>30.9</v>
      </c>
      <c r="AG18" s="1959">
        <v>5</v>
      </c>
      <c r="AH18" s="1959">
        <v>5</v>
      </c>
      <c r="AI18" s="1959">
        <v>5</v>
      </c>
      <c r="AJ18" s="1953">
        <f>'[19]НДХШ средняя+++'!$O$80</f>
        <v>6.18</v>
      </c>
      <c r="AK18" s="1954">
        <f>SUM(AK21:AK22)</f>
        <v>30.9</v>
      </c>
    </row>
    <row r="19" spans="1:43" s="1963" customFormat="1" ht="30" x14ac:dyDescent="0.2">
      <c r="A19" s="2711"/>
      <c r="B19" s="2711"/>
      <c r="C19" s="2711"/>
      <c r="D19" s="2711"/>
      <c r="E19" s="2711"/>
      <c r="F19" s="2711"/>
      <c r="G19" s="2712"/>
      <c r="H19" s="2714"/>
      <c r="I19" s="1948" t="s">
        <v>1622</v>
      </c>
      <c r="J19" s="1940" t="s">
        <v>1631</v>
      </c>
      <c r="K19" s="1958">
        <v>1</v>
      </c>
      <c r="L19" s="1965">
        <v>1</v>
      </c>
      <c r="M19" s="1959">
        <v>1</v>
      </c>
      <c r="N19" s="1959">
        <v>0</v>
      </c>
      <c r="O19" s="1951">
        <f>'[19]НДХШ средняя+++'!$F$80</f>
        <v>5.32</v>
      </c>
      <c r="P19" s="1952">
        <f t="shared" si="9"/>
        <v>0</v>
      </c>
      <c r="Q19" s="1966">
        <v>1</v>
      </c>
      <c r="R19" s="1959">
        <v>1</v>
      </c>
      <c r="S19" s="1959">
        <v>1</v>
      </c>
      <c r="T19" s="1953">
        <f>'[19]НДХШ средняя+++'!$L$80</f>
        <v>4.84</v>
      </c>
      <c r="U19" s="1952">
        <f t="shared" si="10"/>
        <v>4.84</v>
      </c>
      <c r="V19" s="1966">
        <v>1</v>
      </c>
      <c r="W19" s="1959">
        <v>1</v>
      </c>
      <c r="X19" s="1959">
        <v>1</v>
      </c>
      <c r="Y19" s="1951">
        <f>'[19]НДХШ средняя+++'!$O$80</f>
        <v>6.18</v>
      </c>
      <c r="Z19" s="1952">
        <f t="shared" ref="Z19:Z21" si="11">X19*Y19</f>
        <v>6.18</v>
      </c>
      <c r="AA19" s="1952"/>
      <c r="AB19" s="1966">
        <v>1</v>
      </c>
      <c r="AC19" s="1959">
        <v>1</v>
      </c>
      <c r="AD19" s="1959">
        <v>1</v>
      </c>
      <c r="AE19" s="1953">
        <f>'[19]НДХШ средняя+++'!$O$80</f>
        <v>6.18</v>
      </c>
      <c r="AF19" s="1954">
        <f t="shared" ref="AF19:AF21" si="12">AD19*AE19</f>
        <v>6.18</v>
      </c>
      <c r="AG19" s="1966">
        <v>1</v>
      </c>
      <c r="AH19" s="1959">
        <v>1</v>
      </c>
      <c r="AI19" s="1959">
        <v>1</v>
      </c>
      <c r="AJ19" s="1953">
        <f>'[19]НДХШ средняя+++'!$O$80</f>
        <v>6.18</v>
      </c>
      <c r="AK19" s="1954">
        <f t="shared" ref="AK19:AK21" si="13">AI19*AJ19</f>
        <v>6.18</v>
      </c>
      <c r="AL19" s="2718"/>
      <c r="AM19" s="2719"/>
      <c r="AN19" s="2719"/>
      <c r="AO19" s="2719"/>
      <c r="AP19" s="2719"/>
      <c r="AQ19" s="2719"/>
    </row>
    <row r="20" spans="1:43" s="1963" customFormat="1" ht="30" x14ac:dyDescent="0.2">
      <c r="A20" s="2711"/>
      <c r="B20" s="2711"/>
      <c r="C20" s="2711"/>
      <c r="D20" s="2711"/>
      <c r="E20" s="2711"/>
      <c r="F20" s="2711"/>
      <c r="G20" s="2712"/>
      <c r="H20" s="2714"/>
      <c r="I20" s="1948" t="s">
        <v>1622</v>
      </c>
      <c r="J20" s="1940" t="s">
        <v>1632</v>
      </c>
      <c r="K20" s="1958">
        <v>1</v>
      </c>
      <c r="L20" s="1965">
        <v>1</v>
      </c>
      <c r="M20" s="1959">
        <v>1</v>
      </c>
      <c r="N20" s="1959">
        <v>1</v>
      </c>
      <c r="O20" s="1951">
        <f>'[19]НДХШ средняя+++'!$F$80</f>
        <v>5.32</v>
      </c>
      <c r="P20" s="1952">
        <f t="shared" si="9"/>
        <v>5.32</v>
      </c>
      <c r="Q20" s="1966">
        <v>1</v>
      </c>
      <c r="R20" s="1959">
        <v>1</v>
      </c>
      <c r="S20" s="1959">
        <v>1</v>
      </c>
      <c r="T20" s="1953">
        <f>'[19]НДХШ средняя+++'!$L$80</f>
        <v>4.84</v>
      </c>
      <c r="U20" s="1952">
        <f t="shared" si="10"/>
        <v>4.84</v>
      </c>
      <c r="V20" s="1966">
        <v>1</v>
      </c>
      <c r="W20" s="1959">
        <v>1</v>
      </c>
      <c r="X20" s="1959">
        <v>1</v>
      </c>
      <c r="Y20" s="1951">
        <f>'[19]НДХШ средняя+++'!$O$80</f>
        <v>6.18</v>
      </c>
      <c r="Z20" s="1952">
        <f t="shared" si="11"/>
        <v>6.18</v>
      </c>
      <c r="AA20" s="1952"/>
      <c r="AB20" s="1966">
        <v>1</v>
      </c>
      <c r="AC20" s="1959">
        <v>1</v>
      </c>
      <c r="AD20" s="1959">
        <v>1</v>
      </c>
      <c r="AE20" s="1953">
        <f>'[19]НДХШ средняя+++'!$O$80</f>
        <v>6.18</v>
      </c>
      <c r="AF20" s="1954">
        <f t="shared" si="12"/>
        <v>6.18</v>
      </c>
      <c r="AG20" s="1966">
        <v>1</v>
      </c>
      <c r="AH20" s="1959">
        <v>1</v>
      </c>
      <c r="AI20" s="1959">
        <v>1</v>
      </c>
      <c r="AJ20" s="1953">
        <f>'[19]НДХШ средняя+++'!$O$80</f>
        <v>6.18</v>
      </c>
      <c r="AK20" s="1954">
        <f t="shared" si="13"/>
        <v>6.18</v>
      </c>
      <c r="AL20" s="2718"/>
      <c r="AM20" s="2719"/>
      <c r="AN20" s="2719"/>
      <c r="AO20" s="2719"/>
      <c r="AP20" s="2719"/>
      <c r="AQ20" s="2719"/>
    </row>
    <row r="21" spans="1:43" s="1963" customFormat="1" ht="30" x14ac:dyDescent="0.2">
      <c r="A21" s="2711"/>
      <c r="B21" s="2711"/>
      <c r="C21" s="2711"/>
      <c r="D21" s="2711"/>
      <c r="E21" s="2711"/>
      <c r="F21" s="2711"/>
      <c r="G21" s="2712"/>
      <c r="H21" s="2714"/>
      <c r="I21" s="1948" t="s">
        <v>1622</v>
      </c>
      <c r="J21" s="1940" t="s">
        <v>1633</v>
      </c>
      <c r="K21" s="1958">
        <v>1</v>
      </c>
      <c r="L21" s="1965">
        <v>1</v>
      </c>
      <c r="M21" s="1959">
        <v>0</v>
      </c>
      <c r="N21" s="1959">
        <v>1</v>
      </c>
      <c r="O21" s="1951">
        <f>'[19]НДХШ средняя+++'!$F$80</f>
        <v>5.32</v>
      </c>
      <c r="P21" s="1952">
        <f t="shared" si="9"/>
        <v>5.32</v>
      </c>
      <c r="Q21" s="1966">
        <v>1</v>
      </c>
      <c r="R21" s="1959">
        <v>1</v>
      </c>
      <c r="S21" s="1959"/>
      <c r="T21" s="1953">
        <f>'[19]НДХШ средняя+++'!$L$80</f>
        <v>4.84</v>
      </c>
      <c r="U21" s="1952">
        <f t="shared" si="10"/>
        <v>0</v>
      </c>
      <c r="V21" s="1966">
        <v>1</v>
      </c>
      <c r="W21" s="1959">
        <v>1</v>
      </c>
      <c r="X21" s="1959">
        <v>1</v>
      </c>
      <c r="Y21" s="1951">
        <f>'[19]НДХШ средняя+++'!$O$80</f>
        <v>6.18</v>
      </c>
      <c r="Z21" s="1952">
        <f t="shared" si="11"/>
        <v>6.18</v>
      </c>
      <c r="AA21" s="1952"/>
      <c r="AB21" s="1966">
        <v>1</v>
      </c>
      <c r="AC21" s="1959">
        <v>1</v>
      </c>
      <c r="AD21" s="1959">
        <v>1</v>
      </c>
      <c r="AE21" s="1953">
        <f>'[19]НДХШ средняя+++'!$O$80</f>
        <v>6.18</v>
      </c>
      <c r="AF21" s="1954">
        <f t="shared" si="12"/>
        <v>6.18</v>
      </c>
      <c r="AG21" s="1966">
        <v>1</v>
      </c>
      <c r="AH21" s="1959">
        <v>1</v>
      </c>
      <c r="AI21" s="1959">
        <v>1</v>
      </c>
      <c r="AJ21" s="1953">
        <f>'[19]НДХШ средняя+++'!$O$80</f>
        <v>6.18</v>
      </c>
      <c r="AK21" s="1954">
        <f t="shared" si="13"/>
        <v>6.18</v>
      </c>
      <c r="AL21" s="2718"/>
      <c r="AM21" s="2719"/>
      <c r="AN21" s="2719"/>
      <c r="AO21" s="2719"/>
      <c r="AP21" s="2719"/>
      <c r="AQ21" s="2719"/>
    </row>
    <row r="22" spans="1:43" s="1963" customFormat="1" ht="30" x14ac:dyDescent="0.2">
      <c r="A22" s="2711"/>
      <c r="B22" s="2711"/>
      <c r="C22" s="2711"/>
      <c r="D22" s="2711"/>
      <c r="E22" s="2711"/>
      <c r="F22" s="2711"/>
      <c r="G22" s="2712"/>
      <c r="H22" s="2714"/>
      <c r="I22" s="1948" t="s">
        <v>1622</v>
      </c>
      <c r="J22" s="1940" t="s">
        <v>1634</v>
      </c>
      <c r="K22" s="1958">
        <v>1</v>
      </c>
      <c r="L22" s="1958">
        <v>3.75</v>
      </c>
      <c r="M22" s="1959">
        <v>4</v>
      </c>
      <c r="N22" s="1959">
        <v>4</v>
      </c>
      <c r="O22" s="1951">
        <f>'[19]НДХШ средняя+++'!$F$80</f>
        <v>5.32</v>
      </c>
      <c r="P22" s="1952">
        <f t="shared" si="9"/>
        <v>21.28</v>
      </c>
      <c r="Q22" s="1966">
        <v>3.8</v>
      </c>
      <c r="R22" s="1959">
        <v>3</v>
      </c>
      <c r="S22" s="1959">
        <v>4</v>
      </c>
      <c r="T22" s="1953">
        <f>'[19]НДХШ средняя+++'!$L$80</f>
        <v>4.84</v>
      </c>
      <c r="U22" s="1952">
        <f t="shared" si="10"/>
        <v>19.36</v>
      </c>
      <c r="V22" s="1966">
        <v>3.8</v>
      </c>
      <c r="W22" s="1959">
        <v>4</v>
      </c>
      <c r="X22" s="1959">
        <v>4</v>
      </c>
      <c r="Y22" s="1951">
        <f>'[19]НДХШ средняя+++'!$O$80</f>
        <v>6.18</v>
      </c>
      <c r="Z22" s="1952">
        <f>X22*Y22</f>
        <v>24.72</v>
      </c>
      <c r="AA22" s="1952"/>
      <c r="AB22" s="1966">
        <v>3.8</v>
      </c>
      <c r="AC22" s="1959">
        <v>4</v>
      </c>
      <c r="AD22" s="1959">
        <v>4</v>
      </c>
      <c r="AE22" s="1953">
        <f>'[19]НДХШ средняя+++'!$O$80</f>
        <v>6.18</v>
      </c>
      <c r="AF22" s="1954">
        <f>AD22*AE22</f>
        <v>24.72</v>
      </c>
      <c r="AG22" s="1966">
        <v>3.8</v>
      </c>
      <c r="AH22" s="1959">
        <v>4</v>
      </c>
      <c r="AI22" s="1959">
        <v>4</v>
      </c>
      <c r="AJ22" s="1953">
        <f>'[19]НДХШ средняя+++'!$O$80</f>
        <v>6.18</v>
      </c>
      <c r="AK22" s="1954">
        <f>AI22*AJ22</f>
        <v>24.72</v>
      </c>
      <c r="AL22" s="2718"/>
      <c r="AM22" s="2719"/>
      <c r="AN22" s="2719"/>
      <c r="AO22" s="2719"/>
      <c r="AP22" s="2719"/>
      <c r="AQ22" s="2719"/>
    </row>
    <row r="23" spans="1:43" s="1937" customFormat="1" ht="129" customHeight="1" x14ac:dyDescent="0.2">
      <c r="A23" s="2711"/>
      <c r="B23" s="2711"/>
      <c r="C23" s="2711"/>
      <c r="D23" s="2711"/>
      <c r="E23" s="2711"/>
      <c r="F23" s="2711"/>
      <c r="G23" s="2712"/>
      <c r="H23" s="2714"/>
      <c r="I23" s="1967" t="s">
        <v>1635</v>
      </c>
      <c r="J23" s="1940" t="s">
        <v>1236</v>
      </c>
      <c r="K23" s="1940">
        <v>1</v>
      </c>
      <c r="L23" s="1968"/>
      <c r="M23" s="1968"/>
      <c r="N23" s="1968"/>
      <c r="O23" s="1969"/>
      <c r="P23" s="1969"/>
      <c r="Q23" s="1939"/>
      <c r="R23" s="1939"/>
      <c r="S23" s="1968"/>
      <c r="T23" s="1969"/>
      <c r="U23" s="1969"/>
      <c r="V23" s="1939"/>
      <c r="W23" s="1939"/>
      <c r="X23" s="1968"/>
      <c r="Y23" s="1969"/>
      <c r="Z23" s="1969"/>
      <c r="AA23" s="1939"/>
      <c r="AB23" s="1939"/>
      <c r="AC23" s="1939"/>
      <c r="AD23" s="1968"/>
      <c r="AE23" s="1939"/>
      <c r="AF23" s="1970"/>
      <c r="AG23" s="1939"/>
      <c r="AH23" s="1939"/>
      <c r="AI23" s="1968"/>
      <c r="AJ23" s="1939"/>
      <c r="AK23" s="1970"/>
    </row>
    <row r="24" spans="1:43" s="1937" customFormat="1" ht="39.75" customHeight="1" x14ac:dyDescent="0.2">
      <c r="A24" s="2711"/>
      <c r="B24" s="2711"/>
      <c r="C24" s="2711"/>
      <c r="D24" s="2711"/>
      <c r="E24" s="2711"/>
      <c r="F24" s="2711"/>
      <c r="G24" s="2712"/>
      <c r="H24" s="2714"/>
      <c r="I24" s="1967" t="s">
        <v>1636</v>
      </c>
      <c r="J24" s="1940" t="s">
        <v>1237</v>
      </c>
      <c r="K24" s="1940">
        <v>1</v>
      </c>
      <c r="L24" s="1939"/>
      <c r="M24" s="1939"/>
      <c r="N24" s="1968"/>
      <c r="O24" s="1969"/>
      <c r="P24" s="1969"/>
      <c r="Q24" s="1939"/>
      <c r="R24" s="1939"/>
      <c r="S24" s="1968"/>
      <c r="T24" s="1969"/>
      <c r="U24" s="1969"/>
      <c r="V24" s="1939"/>
      <c r="W24" s="1939"/>
      <c r="X24" s="1968"/>
      <c r="Y24" s="1969"/>
      <c r="Z24" s="1969"/>
      <c r="AA24" s="1939"/>
      <c r="AB24" s="1939"/>
      <c r="AC24" s="1939"/>
      <c r="AD24" s="1968"/>
      <c r="AE24" s="1939"/>
      <c r="AF24" s="1970"/>
      <c r="AG24" s="1939"/>
      <c r="AH24" s="1939"/>
      <c r="AI24" s="1968"/>
      <c r="AJ24" s="1939"/>
      <c r="AK24" s="1970"/>
    </row>
    <row r="25" spans="1:43" s="1937" customFormat="1" ht="39" customHeight="1" x14ac:dyDescent="0.2">
      <c r="A25" s="2711"/>
      <c r="B25" s="2711"/>
      <c r="C25" s="2711"/>
      <c r="D25" s="2711"/>
      <c r="E25" s="2711"/>
      <c r="F25" s="2711"/>
      <c r="G25" s="2712"/>
      <c r="H25" s="2714"/>
      <c r="I25" s="1967" t="s">
        <v>1636</v>
      </c>
      <c r="J25" s="1940" t="s">
        <v>1238</v>
      </c>
      <c r="K25" s="1940">
        <v>1</v>
      </c>
      <c r="L25" s="1939"/>
      <c r="M25" s="1939"/>
      <c r="N25" s="1968"/>
      <c r="O25" s="1969"/>
      <c r="P25" s="1969"/>
      <c r="Q25" s="1939"/>
      <c r="R25" s="1939"/>
      <c r="S25" s="1968"/>
      <c r="T25" s="1969"/>
      <c r="U25" s="1969"/>
      <c r="V25" s="1939"/>
      <c r="W25" s="1939"/>
      <c r="X25" s="1968"/>
      <c r="Y25" s="1969"/>
      <c r="Z25" s="1969"/>
      <c r="AA25" s="1939"/>
      <c r="AB25" s="1939"/>
      <c r="AC25" s="1939"/>
      <c r="AD25" s="1968"/>
      <c r="AE25" s="1939"/>
      <c r="AF25" s="1970"/>
      <c r="AG25" s="1939"/>
      <c r="AH25" s="1939"/>
      <c r="AI25" s="1968"/>
      <c r="AJ25" s="1939"/>
      <c r="AK25" s="1970"/>
    </row>
    <row r="26" spans="1:43" s="1937" customFormat="1" ht="88.5" customHeight="1" x14ac:dyDescent="0.2">
      <c r="A26" s="2711"/>
      <c r="B26" s="2711"/>
      <c r="C26" s="2711"/>
      <c r="D26" s="2711"/>
      <c r="E26" s="2711"/>
      <c r="F26" s="2711"/>
      <c r="G26" s="2712"/>
      <c r="H26" s="2714"/>
      <c r="I26" s="1967" t="s">
        <v>1637</v>
      </c>
      <c r="J26" s="1940" t="s">
        <v>1239</v>
      </c>
      <c r="K26" s="1940">
        <v>1</v>
      </c>
      <c r="L26" s="1968"/>
      <c r="M26" s="1968"/>
      <c r="N26" s="1968"/>
      <c r="O26" s="1969"/>
      <c r="P26" s="1969"/>
      <c r="Q26" s="1968"/>
      <c r="R26" s="1968"/>
      <c r="S26" s="1968"/>
      <c r="T26" s="1969"/>
      <c r="U26" s="1969"/>
      <c r="V26" s="1968"/>
      <c r="W26" s="1968"/>
      <c r="X26" s="1968"/>
      <c r="Y26" s="1969"/>
      <c r="Z26" s="1969"/>
      <c r="AA26" s="1939"/>
      <c r="AB26" s="1968"/>
      <c r="AC26" s="1968"/>
      <c r="AD26" s="1968"/>
      <c r="AE26" s="1970"/>
      <c r="AF26" s="1970"/>
      <c r="AG26" s="1968"/>
      <c r="AH26" s="1968"/>
      <c r="AI26" s="1968"/>
      <c r="AJ26" s="1970"/>
      <c r="AK26" s="1970"/>
    </row>
    <row r="27" spans="1:43" s="1971" customFormat="1" ht="30.6" customHeight="1" x14ac:dyDescent="0.2">
      <c r="G27" s="1972"/>
      <c r="H27" s="2715"/>
      <c r="I27" s="1973" t="s">
        <v>97</v>
      </c>
      <c r="J27" s="1974"/>
      <c r="K27" s="1974"/>
      <c r="L27" s="1974">
        <f>L9+L13+L17+L15</f>
        <v>38</v>
      </c>
      <c r="M27" s="1974">
        <f>M9+M13+M17+M15</f>
        <v>29</v>
      </c>
      <c r="N27" s="1974">
        <f>N9+N13+N17+N15</f>
        <v>29</v>
      </c>
      <c r="O27" s="1974"/>
      <c r="P27" s="1974">
        <f>P9+P13+P17+P15</f>
        <v>154.28</v>
      </c>
      <c r="Q27" s="1974">
        <f>Q9+Q13+Q17+Q15</f>
        <v>38</v>
      </c>
      <c r="R27" s="1974">
        <f t="shared" ref="R27:S27" si="14">R9+R13+R17+R15</f>
        <v>29</v>
      </c>
      <c r="S27" s="1974">
        <f t="shared" si="14"/>
        <v>29</v>
      </c>
      <c r="T27" s="1974"/>
      <c r="U27" s="1974">
        <f>U9+U13+U17+U15</f>
        <v>140.36000000000001</v>
      </c>
      <c r="V27" s="1974">
        <f t="shared" ref="V27:X27" si="15">V9+V13+V17+V15</f>
        <v>38</v>
      </c>
      <c r="W27" s="1974">
        <f t="shared" si="15"/>
        <v>31</v>
      </c>
      <c r="X27" s="1974">
        <f t="shared" si="15"/>
        <v>31</v>
      </c>
      <c r="Y27" s="1974"/>
      <c r="Z27" s="1974">
        <f>Z9+Z13+Z17+Z15</f>
        <v>191.5</v>
      </c>
      <c r="AA27" s="1974"/>
      <c r="AB27" s="1974">
        <f t="shared" ref="AB27:AD27" si="16">AB9+AB13+AB17+AB15</f>
        <v>38</v>
      </c>
      <c r="AC27" s="1974">
        <f t="shared" si="16"/>
        <v>31</v>
      </c>
      <c r="AD27" s="1974">
        <f t="shared" si="16"/>
        <v>31</v>
      </c>
      <c r="AE27" s="1974"/>
      <c r="AF27" s="1974">
        <f t="shared" ref="AF27:AI27" si="17">AF9+AF13+AF17+AF15</f>
        <v>191.5</v>
      </c>
      <c r="AG27" s="1974">
        <f t="shared" si="17"/>
        <v>38</v>
      </c>
      <c r="AH27" s="1974">
        <f t="shared" si="17"/>
        <v>31</v>
      </c>
      <c r="AI27" s="1974">
        <f t="shared" si="17"/>
        <v>31</v>
      </c>
      <c r="AJ27" s="1974"/>
      <c r="AK27" s="1974">
        <f>AK9+AK13+AK17+AK15</f>
        <v>191.5</v>
      </c>
    </row>
    <row r="28" spans="1:43" x14ac:dyDescent="0.2">
      <c r="H28" s="2707"/>
      <c r="I28" s="2707"/>
      <c r="J28" s="2707"/>
      <c r="K28" s="2707"/>
      <c r="L28" s="2707"/>
      <c r="M28" s="2707"/>
      <c r="N28" s="2707"/>
      <c r="O28" s="2707"/>
    </row>
    <row r="30" spans="1:43" x14ac:dyDescent="0.2">
      <c r="H30" s="1975" t="s">
        <v>14</v>
      </c>
      <c r="I30" s="1976"/>
      <c r="J30" s="1977"/>
      <c r="K30" s="1977"/>
      <c r="L30" s="1978"/>
      <c r="M30" s="1978"/>
      <c r="N30" s="1979"/>
      <c r="O30" s="1979" t="s">
        <v>1473</v>
      </c>
      <c r="P30" s="1979"/>
    </row>
    <row r="31" spans="1:43" x14ac:dyDescent="0.2">
      <c r="H31" s="1975"/>
      <c r="I31" s="1980"/>
      <c r="J31" s="2708" t="s">
        <v>217</v>
      </c>
      <c r="K31" s="2708"/>
      <c r="L31" s="1978"/>
      <c r="M31" s="1978"/>
      <c r="N31" s="2709" t="s">
        <v>211</v>
      </c>
      <c r="O31" s="2709"/>
      <c r="P31" s="2709"/>
    </row>
    <row r="32" spans="1:43" x14ac:dyDescent="0.2">
      <c r="L32" s="1981"/>
    </row>
    <row r="33" spans="8:37" x14ac:dyDescent="0.2">
      <c r="H33" s="1975" t="s">
        <v>212</v>
      </c>
      <c r="L33" s="1982"/>
    </row>
    <row r="34" spans="8:37" x14ac:dyDescent="0.2">
      <c r="H34" s="1934" t="s">
        <v>1638</v>
      </c>
    </row>
    <row r="35" spans="8:37" x14ac:dyDescent="0.2">
      <c r="H35" s="1934">
        <v>463025</v>
      </c>
    </row>
    <row r="36" spans="8:37" x14ac:dyDescent="0.2">
      <c r="N36" s="1963"/>
      <c r="P36" s="1963"/>
      <c r="S36" s="1963"/>
      <c r="U36" s="1963"/>
      <c r="X36" s="1963"/>
      <c r="Z36" s="1963">
        <f>191.5-Z27</f>
        <v>0</v>
      </c>
      <c r="AD36" s="1963"/>
      <c r="AF36" s="1963">
        <f>191.5-AF27</f>
        <v>0</v>
      </c>
      <c r="AI36" s="1963"/>
      <c r="AK36" s="1963">
        <f>191.5-AK27</f>
        <v>0</v>
      </c>
    </row>
    <row r="37" spans="8:37" x14ac:dyDescent="0.2">
      <c r="L37" s="1963"/>
      <c r="M37" s="1963"/>
      <c r="N37" s="1963"/>
      <c r="O37" s="1963"/>
      <c r="P37" s="1963"/>
      <c r="Q37" s="1963"/>
      <c r="R37" s="1963"/>
      <c r="S37" s="1963"/>
      <c r="T37" s="1963"/>
      <c r="U37" s="1963"/>
      <c r="V37" s="1963"/>
      <c r="W37" s="1963"/>
      <c r="X37" s="1963"/>
      <c r="Y37" s="1963"/>
      <c r="Z37" s="1963"/>
      <c r="AA37" s="1963"/>
      <c r="AB37" s="1963"/>
      <c r="AC37" s="1963"/>
      <c r="AD37" s="1963"/>
      <c r="AE37" s="1963"/>
      <c r="AF37" s="1963"/>
      <c r="AG37" s="1963"/>
      <c r="AH37" s="1963"/>
      <c r="AI37" s="1963"/>
      <c r="AJ37" s="1963"/>
      <c r="AK37" s="1963"/>
    </row>
  </sheetData>
  <mergeCells count="39">
    <mergeCell ref="G2:AF2"/>
    <mergeCell ref="G3:AF3"/>
    <mergeCell ref="G4:Q4"/>
    <mergeCell ref="G5:G7"/>
    <mergeCell ref="H5:H7"/>
    <mergeCell ref="I5:I7"/>
    <mergeCell ref="J5:J7"/>
    <mergeCell ref="K5:K7"/>
    <mergeCell ref="L5:P5"/>
    <mergeCell ref="Q5:U5"/>
    <mergeCell ref="V5:Z5"/>
    <mergeCell ref="AA5:AA7"/>
    <mergeCell ref="AB5:AF5"/>
    <mergeCell ref="AG5:AK5"/>
    <mergeCell ref="L6:N6"/>
    <mergeCell ref="O6:O7"/>
    <mergeCell ref="P6:P7"/>
    <mergeCell ref="Q6:S6"/>
    <mergeCell ref="T6:T7"/>
    <mergeCell ref="U6:U7"/>
    <mergeCell ref="AK6:AK7"/>
    <mergeCell ref="V6:X6"/>
    <mergeCell ref="Y6:Y7"/>
    <mergeCell ref="Z6:Z7"/>
    <mergeCell ref="AB6:AD6"/>
    <mergeCell ref="AE6:AE7"/>
    <mergeCell ref="AF6:AF7"/>
    <mergeCell ref="A9:G26"/>
    <mergeCell ref="H9:H27"/>
    <mergeCell ref="AL13:AQ13"/>
    <mergeCell ref="AL19:AQ19"/>
    <mergeCell ref="AL20:AQ20"/>
    <mergeCell ref="AL21:AQ21"/>
    <mergeCell ref="AL22:AQ22"/>
    <mergeCell ref="H28:O28"/>
    <mergeCell ref="J31:K31"/>
    <mergeCell ref="N31:P31"/>
    <mergeCell ref="AG6:AI6"/>
    <mergeCell ref="AJ6:AJ7"/>
  </mergeCells>
  <printOptions horizontalCentered="1"/>
  <pageMargins left="0.11811023622047245" right="0.11811023622047245" top="0.74803149606299213" bottom="0.74803149606299213" header="0.11811023622047245" footer="0.11811023622047245"/>
  <pageSetup paperSize="9" scale="33" orientation="landscape" r:id="rId1"/>
  <rowBreaks count="2" manualBreakCount="2">
    <brk id="26" min="6" max="36" man="1"/>
    <brk id="29" min="6" max="36"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FFFF"/>
  </sheetPr>
  <dimension ref="A1:E14"/>
  <sheetViews>
    <sheetView view="pageBreakPreview" zoomScale="80" zoomScaleNormal="100" zoomScaleSheetLayoutView="80" workbookViewId="0">
      <selection activeCell="K11" sqref="K11"/>
    </sheetView>
  </sheetViews>
  <sheetFormatPr defaultRowHeight="39.75" customHeight="1" x14ac:dyDescent="0.25"/>
  <cols>
    <col min="1" max="1" width="81.33203125" style="365" customWidth="1"/>
    <col min="2" max="2" width="10" style="365" customWidth="1"/>
    <col min="3" max="5" width="25.83203125" style="365" customWidth="1"/>
    <col min="6" max="16384" width="9.33203125" style="365"/>
  </cols>
  <sheetData>
    <row r="1" spans="1:5" ht="55.5" customHeight="1" x14ac:dyDescent="0.25">
      <c r="A1" s="2509" t="s">
        <v>1242</v>
      </c>
      <c r="B1" s="2509"/>
      <c r="C1" s="2509"/>
      <c r="D1" s="2509"/>
      <c r="E1" s="2509"/>
    </row>
    <row r="2" spans="1:5" ht="34.5" customHeight="1" x14ac:dyDescent="0.25">
      <c r="A2" s="2509"/>
      <c r="B2" s="2509"/>
      <c r="C2" s="2509"/>
      <c r="D2" s="2509"/>
      <c r="E2" s="2509"/>
    </row>
    <row r="3" spans="1:5" ht="13.5" customHeight="1" x14ac:dyDescent="0.25">
      <c r="A3" s="702"/>
      <c r="B3" s="702"/>
      <c r="C3" s="702"/>
      <c r="D3" s="702"/>
      <c r="E3" s="367">
        <v>43829</v>
      </c>
    </row>
    <row r="4" spans="1:5" ht="39.75" customHeight="1" x14ac:dyDescent="0.25">
      <c r="A4" s="2454" t="s">
        <v>416</v>
      </c>
      <c r="B4" s="2454" t="s">
        <v>417</v>
      </c>
      <c r="C4" s="2454" t="s">
        <v>418</v>
      </c>
      <c r="D4" s="2454"/>
      <c r="E4" s="2454"/>
    </row>
    <row r="5" spans="1:5" ht="39.75" customHeight="1" x14ac:dyDescent="0.25">
      <c r="A5" s="2454"/>
      <c r="B5" s="2454"/>
      <c r="C5" s="703" t="s">
        <v>428</v>
      </c>
      <c r="D5" s="703" t="s">
        <v>429</v>
      </c>
      <c r="E5" s="703" t="s">
        <v>430</v>
      </c>
    </row>
    <row r="6" spans="1:5" ht="39.75" customHeight="1" x14ac:dyDescent="0.25">
      <c r="A6" s="2454"/>
      <c r="B6" s="2454"/>
      <c r="C6" s="703" t="s">
        <v>419</v>
      </c>
      <c r="D6" s="703" t="s">
        <v>420</v>
      </c>
      <c r="E6" s="703" t="s">
        <v>421</v>
      </c>
    </row>
    <row r="7" spans="1:5" ht="16.5" customHeight="1" x14ac:dyDescent="0.25">
      <c r="A7" s="703">
        <v>1</v>
      </c>
      <c r="B7" s="703">
        <v>2</v>
      </c>
      <c r="C7" s="703">
        <v>3</v>
      </c>
      <c r="D7" s="703">
        <v>4</v>
      </c>
      <c r="E7" s="703">
        <v>5</v>
      </c>
    </row>
    <row r="8" spans="1:5" ht="17.25" customHeight="1" x14ac:dyDescent="0.25">
      <c r="A8" s="369" t="s">
        <v>512</v>
      </c>
      <c r="B8" s="703">
        <v>100</v>
      </c>
      <c r="C8" s="370"/>
      <c r="D8" s="370"/>
      <c r="E8" s="370"/>
    </row>
    <row r="9" spans="1:5" ht="17.25" customHeight="1" x14ac:dyDescent="0.25">
      <c r="A9" s="369" t="s">
        <v>513</v>
      </c>
      <c r="B9" s="703">
        <v>200</v>
      </c>
      <c r="C9" s="370"/>
      <c r="D9" s="370"/>
      <c r="E9" s="370"/>
    </row>
    <row r="10" spans="1:5" ht="44.25" customHeight="1" x14ac:dyDescent="0.25">
      <c r="A10" s="369" t="s">
        <v>514</v>
      </c>
      <c r="B10" s="703">
        <v>300</v>
      </c>
      <c r="C10" s="370">
        <f>C11</f>
        <v>0</v>
      </c>
      <c r="D10" s="370">
        <f t="shared" ref="D10:E10" si="0">D11</f>
        <v>0</v>
      </c>
      <c r="E10" s="370">
        <f t="shared" si="0"/>
        <v>0</v>
      </c>
    </row>
    <row r="11" spans="1:5" ht="104.25" customHeight="1" x14ac:dyDescent="0.25">
      <c r="A11" s="369" t="s">
        <v>515</v>
      </c>
      <c r="B11" s="703">
        <v>301</v>
      </c>
      <c r="C11" s="370"/>
      <c r="D11" s="370"/>
      <c r="E11" s="370"/>
    </row>
    <row r="12" spans="1:5" ht="18" customHeight="1" x14ac:dyDescent="0.25">
      <c r="A12" s="369" t="s">
        <v>516</v>
      </c>
      <c r="B12" s="703">
        <v>400</v>
      </c>
      <c r="C12" s="370"/>
      <c r="D12" s="370"/>
      <c r="E12" s="370"/>
    </row>
    <row r="13" spans="1:5" ht="18" customHeight="1" x14ac:dyDescent="0.25">
      <c r="A13" s="369" t="s">
        <v>517</v>
      </c>
      <c r="B13" s="703">
        <v>500</v>
      </c>
      <c r="C13" s="370"/>
      <c r="D13" s="370"/>
      <c r="E13" s="370"/>
    </row>
    <row r="14" spans="1:5" s="374" customFormat="1" ht="66.75" customHeight="1" x14ac:dyDescent="0.2">
      <c r="A14" s="371" t="s">
        <v>538</v>
      </c>
      <c r="B14" s="372">
        <v>600</v>
      </c>
      <c r="C14" s="373">
        <f>C8-C9+C10-C12+C13</f>
        <v>0</v>
      </c>
      <c r="D14" s="373">
        <f t="shared" ref="D14:E14" si="1">D8-D9+D10-D12+D13</f>
        <v>0</v>
      </c>
      <c r="E14" s="373">
        <f t="shared" si="1"/>
        <v>0</v>
      </c>
    </row>
  </sheetData>
  <mergeCells count="5">
    <mergeCell ref="A1:E1"/>
    <mergeCell ref="A2:E2"/>
    <mergeCell ref="A4:A6"/>
    <mergeCell ref="B4:B6"/>
    <mergeCell ref="C4:E4"/>
  </mergeCells>
  <pageMargins left="0.7" right="0.7" top="0.75" bottom="0.75" header="0.3" footer="0.3"/>
  <pageSetup paperSize="9" scale="56"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FFFF"/>
  </sheetPr>
  <dimension ref="A1:H35"/>
  <sheetViews>
    <sheetView view="pageBreakPreview" zoomScale="90" zoomScaleNormal="100" zoomScaleSheetLayoutView="90" workbookViewId="0">
      <pane xSplit="4" ySplit="7" topLeftCell="E8" activePane="bottomRight" state="frozen"/>
      <selection pane="topRight" activeCell="E1" sqref="E1"/>
      <selection pane="bottomLeft" activeCell="A8" sqref="A8"/>
      <selection pane="bottomRight" sqref="A1:E1"/>
    </sheetView>
  </sheetViews>
  <sheetFormatPr defaultRowHeight="15" x14ac:dyDescent="0.25"/>
  <cols>
    <col min="1" max="1" width="67.83203125" style="323" customWidth="1"/>
    <col min="2" max="2" width="10.83203125" style="323" customWidth="1"/>
    <col min="3" max="5" width="29" style="323" customWidth="1"/>
    <col min="6" max="6" width="13" style="323" customWidth="1"/>
    <col min="7" max="7" width="10.83203125" style="323" bestFit="1" customWidth="1"/>
    <col min="8" max="16384" width="9.33203125" style="323"/>
  </cols>
  <sheetData>
    <row r="1" spans="1:5" ht="34.5" customHeight="1" x14ac:dyDescent="0.25">
      <c r="A1" s="2507" t="s">
        <v>1684</v>
      </c>
      <c r="B1" s="2507"/>
      <c r="C1" s="2507"/>
      <c r="D1" s="2507"/>
      <c r="E1" s="2507"/>
    </row>
    <row r="2" spans="1:5" x14ac:dyDescent="0.25">
      <c r="A2" s="2506"/>
      <c r="B2" s="2506"/>
      <c r="C2" s="2506"/>
      <c r="D2" s="2506"/>
      <c r="E2" s="2506"/>
    </row>
    <row r="3" spans="1:5" x14ac:dyDescent="0.25">
      <c r="A3" s="381"/>
      <c r="B3" s="381"/>
      <c r="C3" s="381"/>
      <c r="D3" s="381"/>
      <c r="E3" s="324">
        <v>43831</v>
      </c>
    </row>
    <row r="4" spans="1:5" x14ac:dyDescent="0.25">
      <c r="A4" s="2724" t="s">
        <v>416</v>
      </c>
      <c r="B4" s="2724" t="s">
        <v>417</v>
      </c>
      <c r="C4" s="2724" t="s">
        <v>418</v>
      </c>
      <c r="D4" s="2724"/>
      <c r="E4" s="2724"/>
    </row>
    <row r="5" spans="1:5" ht="20.25" customHeight="1" x14ac:dyDescent="0.25">
      <c r="A5" s="2724"/>
      <c r="B5" s="2724"/>
      <c r="C5" s="382" t="s">
        <v>428</v>
      </c>
      <c r="D5" s="382" t="s">
        <v>429</v>
      </c>
      <c r="E5" s="382" t="s">
        <v>430</v>
      </c>
    </row>
    <row r="6" spans="1:5" ht="47.25" customHeight="1" x14ac:dyDescent="0.25">
      <c r="A6" s="2724"/>
      <c r="B6" s="2724"/>
      <c r="C6" s="382" t="s">
        <v>419</v>
      </c>
      <c r="D6" s="382" t="s">
        <v>420</v>
      </c>
      <c r="E6" s="382" t="s">
        <v>421</v>
      </c>
    </row>
    <row r="7" spans="1:5" x14ac:dyDescent="0.25">
      <c r="A7" s="382">
        <v>1</v>
      </c>
      <c r="B7" s="382">
        <v>2</v>
      </c>
      <c r="C7" s="382">
        <v>3</v>
      </c>
      <c r="D7" s="382">
        <v>4</v>
      </c>
      <c r="E7" s="382">
        <v>5</v>
      </c>
    </row>
    <row r="8" spans="1:5" ht="60" customHeight="1" x14ac:dyDescent="0.25">
      <c r="A8" s="325" t="s">
        <v>437</v>
      </c>
      <c r="B8" s="382">
        <v>100</v>
      </c>
      <c r="C8" s="326"/>
      <c r="D8" s="326"/>
      <c r="E8" s="326"/>
    </row>
    <row r="9" spans="1:5" ht="42" customHeight="1" x14ac:dyDescent="0.25">
      <c r="A9" s="325" t="s">
        <v>438</v>
      </c>
      <c r="B9" s="382">
        <v>200</v>
      </c>
      <c r="C9" s="326"/>
      <c r="D9" s="326"/>
      <c r="E9" s="326"/>
    </row>
    <row r="10" spans="1:5" ht="19.5" customHeight="1" x14ac:dyDescent="0.25">
      <c r="A10" s="325" t="s">
        <v>439</v>
      </c>
      <c r="B10" s="382">
        <v>300</v>
      </c>
      <c r="C10" s="326">
        <f>SUM(C12:C30)</f>
        <v>0</v>
      </c>
      <c r="D10" s="326">
        <f t="shared" ref="D10:E10" si="0">SUM(D12:D30)</f>
        <v>0</v>
      </c>
      <c r="E10" s="326">
        <f t="shared" si="0"/>
        <v>0</v>
      </c>
    </row>
    <row r="11" spans="1:5" x14ac:dyDescent="0.25">
      <c r="A11" s="325" t="s">
        <v>440</v>
      </c>
      <c r="B11" s="325"/>
      <c r="C11" s="326"/>
      <c r="D11" s="326"/>
      <c r="E11" s="326"/>
    </row>
    <row r="12" spans="1:5" x14ac:dyDescent="0.25">
      <c r="A12" s="325" t="s">
        <v>442</v>
      </c>
      <c r="B12" s="382">
        <v>301</v>
      </c>
      <c r="C12" s="326"/>
      <c r="D12" s="326"/>
      <c r="E12" s="326"/>
    </row>
    <row r="13" spans="1:5" x14ac:dyDescent="0.25">
      <c r="A13" s="325" t="s">
        <v>441</v>
      </c>
      <c r="B13" s="382">
        <v>302</v>
      </c>
      <c r="C13" s="326"/>
      <c r="D13" s="326"/>
      <c r="E13" s="326"/>
    </row>
    <row r="14" spans="1:5" x14ac:dyDescent="0.25">
      <c r="A14" s="325" t="s">
        <v>443</v>
      </c>
      <c r="B14" s="382">
        <v>303</v>
      </c>
      <c r="C14" s="326"/>
      <c r="D14" s="326"/>
      <c r="E14" s="326"/>
    </row>
    <row r="15" spans="1:5" x14ac:dyDescent="0.25">
      <c r="A15" s="479" t="s">
        <v>824</v>
      </c>
      <c r="B15" s="382">
        <v>304</v>
      </c>
      <c r="C15" s="326"/>
      <c r="D15" s="326"/>
      <c r="E15" s="326"/>
    </row>
    <row r="16" spans="1:5" x14ac:dyDescent="0.25">
      <c r="A16" s="383" t="s">
        <v>575</v>
      </c>
      <c r="B16" s="382">
        <v>305</v>
      </c>
      <c r="C16" s="326"/>
      <c r="D16" s="326"/>
      <c r="E16" s="326"/>
    </row>
    <row r="17" spans="1:8" x14ac:dyDescent="0.25">
      <c r="A17" s="325" t="s">
        <v>444</v>
      </c>
      <c r="B17" s="382">
        <v>306</v>
      </c>
      <c r="C17" s="326"/>
      <c r="D17" s="326"/>
      <c r="E17" s="326"/>
    </row>
    <row r="18" spans="1:8" x14ac:dyDescent="0.25">
      <c r="A18" s="325" t="s">
        <v>445</v>
      </c>
      <c r="B18" s="382">
        <v>307</v>
      </c>
      <c r="C18" s="326"/>
      <c r="D18" s="326"/>
      <c r="E18" s="326"/>
    </row>
    <row r="19" spans="1:8" ht="22.5" customHeight="1" x14ac:dyDescent="0.25">
      <c r="A19" s="383" t="s">
        <v>716</v>
      </c>
      <c r="B19" s="382">
        <v>308</v>
      </c>
      <c r="C19" s="326"/>
      <c r="D19" s="326"/>
      <c r="E19" s="326"/>
    </row>
    <row r="20" spans="1:8" x14ac:dyDescent="0.25">
      <c r="A20" s="325" t="s">
        <v>446</v>
      </c>
      <c r="B20" s="382">
        <v>309</v>
      </c>
      <c r="C20" s="326"/>
      <c r="D20" s="326"/>
      <c r="E20" s="326"/>
    </row>
    <row r="21" spans="1:8" x14ac:dyDescent="0.25">
      <c r="A21" s="325" t="s">
        <v>454</v>
      </c>
      <c r="B21" s="382">
        <v>310</v>
      </c>
      <c r="C21" s="327"/>
      <c r="D21" s="327"/>
      <c r="E21" s="327"/>
    </row>
    <row r="22" spans="1:8" ht="18" customHeight="1" x14ac:dyDescent="0.25">
      <c r="A22" s="325" t="s">
        <v>447</v>
      </c>
      <c r="B22" s="382">
        <v>311</v>
      </c>
      <c r="C22" s="326"/>
      <c r="D22" s="326"/>
      <c r="E22" s="326"/>
    </row>
    <row r="23" spans="1:8" ht="26.25" customHeight="1" x14ac:dyDescent="0.25">
      <c r="A23" s="383" t="s">
        <v>735</v>
      </c>
      <c r="B23" s="382">
        <v>312</v>
      </c>
      <c r="C23" s="326"/>
      <c r="D23" s="326"/>
      <c r="E23" s="326"/>
    </row>
    <row r="24" spans="1:8" ht="26.25" customHeight="1" x14ac:dyDescent="0.25">
      <c r="A24" s="383" t="s">
        <v>736</v>
      </c>
      <c r="B24" s="382">
        <v>313</v>
      </c>
      <c r="C24" s="326"/>
      <c r="D24" s="326"/>
      <c r="E24" s="326"/>
    </row>
    <row r="25" spans="1:8" ht="28.5" customHeight="1" x14ac:dyDescent="0.25">
      <c r="A25" s="325" t="s">
        <v>455</v>
      </c>
      <c r="B25" s="382">
        <v>314</v>
      </c>
      <c r="C25" s="326"/>
      <c r="D25" s="326"/>
      <c r="E25" s="326"/>
    </row>
    <row r="26" spans="1:8" ht="15" customHeight="1" x14ac:dyDescent="0.25">
      <c r="A26" s="325" t="s">
        <v>456</v>
      </c>
      <c r="B26" s="382">
        <v>315</v>
      </c>
      <c r="C26" s="326"/>
      <c r="D26" s="326"/>
      <c r="E26" s="326"/>
    </row>
    <row r="27" spans="1:8" ht="63.75" customHeight="1" x14ac:dyDescent="0.25">
      <c r="A27" s="325" t="s">
        <v>448</v>
      </c>
      <c r="B27" s="382">
        <v>316</v>
      </c>
      <c r="C27" s="326"/>
      <c r="D27" s="326"/>
      <c r="E27" s="326"/>
    </row>
    <row r="28" spans="1:8" ht="20.25" customHeight="1" x14ac:dyDescent="0.25">
      <c r="A28" s="325" t="s">
        <v>449</v>
      </c>
      <c r="B28" s="382">
        <v>317</v>
      </c>
      <c r="C28" s="326"/>
      <c r="D28" s="326"/>
      <c r="E28" s="326"/>
    </row>
    <row r="29" spans="1:8" ht="20.25" customHeight="1" x14ac:dyDescent="0.25">
      <c r="A29" s="325" t="s">
        <v>450</v>
      </c>
      <c r="B29" s="382">
        <v>318</v>
      </c>
      <c r="C29" s="326"/>
      <c r="D29" s="326"/>
      <c r="E29" s="326"/>
      <c r="F29" s="328"/>
      <c r="G29" s="328"/>
      <c r="H29" s="328"/>
    </row>
    <row r="30" spans="1:8" ht="20.25" customHeight="1" x14ac:dyDescent="0.25">
      <c r="A30" s="383" t="s">
        <v>745</v>
      </c>
      <c r="B30" s="382">
        <v>319</v>
      </c>
      <c r="C30" s="326"/>
      <c r="D30" s="326"/>
      <c r="E30" s="326"/>
      <c r="G30" s="328"/>
    </row>
    <row r="31" spans="1:8" ht="59.25" customHeight="1" x14ac:dyDescent="0.25">
      <c r="A31" s="325" t="s">
        <v>451</v>
      </c>
      <c r="B31" s="382">
        <v>400</v>
      </c>
      <c r="C31" s="326"/>
      <c r="D31" s="326"/>
      <c r="E31" s="326"/>
      <c r="F31" s="328"/>
    </row>
    <row r="32" spans="1:8" ht="49.5" customHeight="1" x14ac:dyDescent="0.25">
      <c r="A32" s="325" t="s">
        <v>452</v>
      </c>
      <c r="B32" s="382">
        <v>500</v>
      </c>
      <c r="C32" s="326"/>
      <c r="D32" s="326"/>
      <c r="E32" s="326"/>
    </row>
    <row r="33" spans="1:6" s="332" customFormat="1" ht="31.5" customHeight="1" x14ac:dyDescent="0.25">
      <c r="A33" s="329" t="s">
        <v>453</v>
      </c>
      <c r="B33" s="330">
        <v>600</v>
      </c>
      <c r="C33" s="331">
        <f>C8-C9+C10-C31+C32</f>
        <v>0</v>
      </c>
      <c r="D33" s="331">
        <f>D8-D9+D10-D31+D32</f>
        <v>0</v>
      </c>
      <c r="E33" s="331">
        <f>E8-E9+E10-E31+E32</f>
        <v>0</v>
      </c>
    </row>
    <row r="34" spans="1:6" x14ac:dyDescent="0.25">
      <c r="A34" s="323" t="s">
        <v>197</v>
      </c>
      <c r="C34" s="328"/>
      <c r="D34" s="328"/>
      <c r="E34" s="328"/>
      <c r="F34" s="328"/>
    </row>
    <row r="35" spans="1:6" x14ac:dyDescent="0.25">
      <c r="C35" s="328"/>
      <c r="D35" s="328"/>
      <c r="E35" s="328"/>
    </row>
  </sheetData>
  <mergeCells count="5">
    <mergeCell ref="A1:E1"/>
    <mergeCell ref="A2:E2"/>
    <mergeCell ref="A4:A6"/>
    <mergeCell ref="B4:B6"/>
    <mergeCell ref="C4:E4"/>
  </mergeCells>
  <pageMargins left="0.70866141732283472" right="0.70866141732283472" top="0.74803149606299213" bottom="0.74803149606299213" header="0.31496062992125984" footer="0.31496062992125984"/>
  <pageSetup paperSize="9" scale="5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2:Q123"/>
  <sheetViews>
    <sheetView view="pageBreakPreview" topLeftCell="A76" zoomScaleNormal="100" zoomScaleSheetLayoutView="100" workbookViewId="0">
      <selection activeCell="M8" sqref="M8:N8"/>
    </sheetView>
  </sheetViews>
  <sheetFormatPr defaultRowHeight="15.75" x14ac:dyDescent="0.2"/>
  <cols>
    <col min="1" max="1" width="77.33203125" style="566" customWidth="1"/>
    <col min="2" max="2" width="9.33203125" style="567" customWidth="1"/>
    <col min="3" max="3" width="16.33203125" style="566" customWidth="1"/>
    <col min="4" max="4" width="23.33203125" style="566" customWidth="1"/>
    <col min="5" max="5" width="24.5" style="566" customWidth="1"/>
    <col min="6" max="6" width="21.1640625" style="566" customWidth="1"/>
    <col min="7" max="7" width="24.83203125" style="566" customWidth="1"/>
    <col min="8" max="8" width="19.33203125" style="566" customWidth="1"/>
    <col min="9" max="10" width="30.1640625" style="566" customWidth="1"/>
    <col min="11" max="11" width="24.33203125" style="566" customWidth="1"/>
    <col min="12" max="12" width="26.83203125" style="566" customWidth="1"/>
    <col min="13" max="14" width="23.1640625" style="566" customWidth="1"/>
    <col min="15" max="16384" width="9.33203125" style="566"/>
  </cols>
  <sheetData>
    <row r="2" spans="1:14" x14ac:dyDescent="0.2">
      <c r="J2" s="2267" t="s">
        <v>943</v>
      </c>
      <c r="K2" s="2267"/>
      <c r="L2" s="2267"/>
      <c r="M2" s="2267"/>
      <c r="N2" s="2267"/>
    </row>
    <row r="4" spans="1:14" x14ac:dyDescent="0.2">
      <c r="J4" s="2269" t="s">
        <v>1727</v>
      </c>
      <c r="K4" s="2269"/>
      <c r="L4" s="2269"/>
      <c r="M4" s="2269"/>
      <c r="N4" s="2269"/>
    </row>
    <row r="5" spans="1:14" x14ac:dyDescent="0.2">
      <c r="J5" s="2268" t="s">
        <v>944</v>
      </c>
      <c r="K5" s="2268"/>
      <c r="L5" s="2268"/>
      <c r="M5" s="2268"/>
      <c r="N5" s="2268"/>
    </row>
    <row r="6" spans="1:14" x14ac:dyDescent="0.2">
      <c r="J6" s="2269"/>
      <c r="K6" s="2269"/>
      <c r="L6" s="2269"/>
      <c r="M6" s="2269"/>
      <c r="N6" s="2269"/>
    </row>
    <row r="8" spans="1:14" x14ac:dyDescent="0.2">
      <c r="J8" s="569"/>
      <c r="K8" s="569"/>
      <c r="M8" s="2269" t="s">
        <v>1726</v>
      </c>
      <c r="N8" s="2269"/>
    </row>
    <row r="9" spans="1:14" ht="21" customHeight="1" x14ac:dyDescent="0.2">
      <c r="J9" s="567" t="s">
        <v>217</v>
      </c>
      <c r="K9" s="567" t="s">
        <v>217</v>
      </c>
      <c r="M9" s="570" t="s">
        <v>945</v>
      </c>
      <c r="N9" s="570"/>
    </row>
    <row r="10" spans="1:14" ht="38.25" customHeight="1" x14ac:dyDescent="0.2">
      <c r="J10" s="2267" t="s">
        <v>1774</v>
      </c>
      <c r="K10" s="2267"/>
      <c r="L10" s="2267"/>
      <c r="M10" s="2267"/>
      <c r="N10" s="2267"/>
    </row>
    <row r="12" spans="1:14" s="571" customFormat="1" ht="18.75" x14ac:dyDescent="0.2">
      <c r="A12" s="2270" t="s">
        <v>946</v>
      </c>
      <c r="B12" s="2270"/>
      <c r="C12" s="2270"/>
      <c r="D12" s="2270"/>
      <c r="E12" s="2270"/>
      <c r="F12" s="2270"/>
      <c r="G12" s="2270"/>
      <c r="H12" s="2270"/>
      <c r="I12" s="2270"/>
      <c r="J12" s="2270"/>
      <c r="K12" s="2270"/>
      <c r="L12" s="2270"/>
      <c r="M12" s="2270"/>
      <c r="N12" s="2270"/>
    </row>
    <row r="13" spans="1:14" s="571" customFormat="1" ht="18.75" x14ac:dyDescent="0.2">
      <c r="A13" s="2270" t="s">
        <v>1166</v>
      </c>
      <c r="B13" s="2270"/>
      <c r="C13" s="2270"/>
      <c r="D13" s="2270"/>
      <c r="E13" s="2270"/>
      <c r="F13" s="2270"/>
      <c r="G13" s="2270"/>
      <c r="H13" s="2270"/>
      <c r="I13" s="2270"/>
      <c r="J13" s="2270"/>
      <c r="K13" s="2270"/>
      <c r="L13" s="2270"/>
      <c r="M13" s="2270"/>
      <c r="N13" s="2270"/>
    </row>
    <row r="14" spans="1:14" ht="21.75" customHeight="1" x14ac:dyDescent="0.2">
      <c r="A14" s="2271" t="s">
        <v>1165</v>
      </c>
      <c r="B14" s="2271"/>
      <c r="C14" s="2271"/>
      <c r="D14" s="2271"/>
      <c r="E14" s="2271"/>
      <c r="F14" s="2271"/>
      <c r="G14" s="2271"/>
      <c r="H14" s="2271"/>
      <c r="I14" s="2271"/>
      <c r="J14" s="2271"/>
      <c r="K14" s="2271"/>
      <c r="L14" s="2271"/>
      <c r="M14" s="2271"/>
      <c r="N14" s="2271"/>
    </row>
    <row r="15" spans="1:14" ht="21" customHeight="1" thickBot="1" x14ac:dyDescent="0.25">
      <c r="E15" s="2267" t="s">
        <v>1773</v>
      </c>
      <c r="F15" s="2267"/>
      <c r="G15" s="2267"/>
      <c r="H15" s="2267"/>
      <c r="I15" s="2267"/>
    </row>
    <row r="16" spans="1:14" ht="40.5" customHeight="1" thickBot="1" x14ac:dyDescent="0.25">
      <c r="N16" s="2190" t="s">
        <v>947</v>
      </c>
    </row>
    <row r="17" spans="1:14" x14ac:dyDescent="0.2">
      <c r="A17" s="566" t="s">
        <v>948</v>
      </c>
      <c r="L17" s="2273" t="s">
        <v>744</v>
      </c>
      <c r="M17" s="2274"/>
      <c r="N17" s="2191"/>
    </row>
    <row r="18" spans="1:14" x14ac:dyDescent="0.2">
      <c r="A18" s="566" t="s">
        <v>1675</v>
      </c>
      <c r="B18" s="568"/>
      <c r="C18" s="568"/>
      <c r="D18" s="568"/>
      <c r="E18" s="568"/>
      <c r="F18" s="568"/>
      <c r="G18" s="568"/>
      <c r="H18" s="568"/>
      <c r="I18" s="568"/>
      <c r="J18" s="568"/>
      <c r="K18" s="568"/>
      <c r="L18" s="2274" t="s">
        <v>949</v>
      </c>
      <c r="M18" s="2274"/>
      <c r="N18" s="2192"/>
    </row>
    <row r="19" spans="1:14" x14ac:dyDescent="0.2">
      <c r="B19" s="758"/>
      <c r="M19" s="760" t="s">
        <v>950</v>
      </c>
      <c r="N19" s="2192"/>
    </row>
    <row r="20" spans="1:14" x14ac:dyDescent="0.2">
      <c r="B20" s="758"/>
      <c r="M20" s="760" t="s">
        <v>949</v>
      </c>
      <c r="N20" s="2192"/>
    </row>
    <row r="21" spans="1:14" x14ac:dyDescent="0.2">
      <c r="A21" s="566" t="s">
        <v>1674</v>
      </c>
      <c r="B21" s="568"/>
      <c r="C21" s="568"/>
      <c r="D21" s="568"/>
      <c r="E21" s="568"/>
      <c r="F21" s="568"/>
      <c r="G21" s="568"/>
      <c r="H21" s="568"/>
      <c r="I21" s="568"/>
      <c r="J21" s="568"/>
      <c r="K21" s="568"/>
      <c r="L21" s="568"/>
      <c r="M21" s="2181" t="s">
        <v>951</v>
      </c>
      <c r="N21" s="2192"/>
    </row>
    <row r="22" spans="1:14" x14ac:dyDescent="0.2">
      <c r="A22" s="566" t="s">
        <v>952</v>
      </c>
      <c r="B22" s="758"/>
      <c r="D22" s="2221">
        <f>D34-D58+D32</f>
        <v>0</v>
      </c>
      <c r="E22" s="2221">
        <f>E34-E58+E32</f>
        <v>0</v>
      </c>
      <c r="F22" s="2221">
        <f t="shared" ref="F22:L22" si="0">F34-F58</f>
        <v>0</v>
      </c>
      <c r="G22" s="2221">
        <f t="shared" si="0"/>
        <v>0</v>
      </c>
      <c r="H22" s="2221">
        <f t="shared" si="0"/>
        <v>0</v>
      </c>
      <c r="I22" s="2221">
        <f t="shared" si="0"/>
        <v>0</v>
      </c>
      <c r="J22" s="2221">
        <f t="shared" si="0"/>
        <v>0</v>
      </c>
      <c r="K22" s="2221">
        <f t="shared" si="0"/>
        <v>0</v>
      </c>
      <c r="L22" s="2221">
        <f t="shared" si="0"/>
        <v>0</v>
      </c>
      <c r="M22" s="2222" t="s">
        <v>953</v>
      </c>
      <c r="N22" s="2192"/>
    </row>
    <row r="23" spans="1:14" s="2142" customFormat="1" ht="16.5" thickBot="1" x14ac:dyDescent="0.25">
      <c r="B23" s="2143"/>
      <c r="D23" s="2221">
        <f>E34+F34+G34+H34+J34+L34+M34-D34+I34+K34+N34</f>
        <v>0</v>
      </c>
      <c r="E23" s="2221">
        <f>36195400-E34+231100</f>
        <v>0</v>
      </c>
      <c r="F23" s="2221">
        <f>0-F34</f>
        <v>0</v>
      </c>
      <c r="G23" s="2221">
        <f>860500-G34</f>
        <v>0</v>
      </c>
      <c r="H23" s="2221">
        <f>0-H34</f>
        <v>0</v>
      </c>
      <c r="I23" s="2221">
        <f>145800-I34</f>
        <v>0</v>
      </c>
      <c r="J23" s="2221">
        <f>0-J34</f>
        <v>0</v>
      </c>
      <c r="K23" s="2221">
        <f>0-K34</f>
        <v>0</v>
      </c>
      <c r="L23" s="2221">
        <f>0-L34</f>
        <v>0</v>
      </c>
      <c r="M23" s="2222" t="s">
        <v>954</v>
      </c>
      <c r="N23" s="2193">
        <v>383</v>
      </c>
    </row>
    <row r="24" spans="1:14" x14ac:dyDescent="0.2">
      <c r="B24" s="758"/>
      <c r="D24" s="2221"/>
      <c r="E24" s="2221"/>
      <c r="F24" s="2221"/>
      <c r="G24" s="2221"/>
      <c r="H24" s="2221"/>
      <c r="I24" s="2142"/>
      <c r="J24" s="2221"/>
      <c r="K24" s="2142"/>
      <c r="L24" s="2221"/>
      <c r="M24" s="2221">
        <f>2825400-M34</f>
        <v>0</v>
      </c>
      <c r="N24" s="759"/>
    </row>
    <row r="25" spans="1:14" x14ac:dyDescent="0.2">
      <c r="B25" s="758"/>
      <c r="D25" s="2142"/>
      <c r="E25" s="2142"/>
      <c r="F25" s="2142"/>
      <c r="G25" s="2142"/>
      <c r="H25" s="2142"/>
      <c r="I25" s="2142"/>
      <c r="J25" s="2142"/>
      <c r="K25" s="2142"/>
      <c r="L25" s="2142"/>
      <c r="M25" s="2221">
        <f>M34-M58+M32</f>
        <v>0</v>
      </c>
    </row>
    <row r="26" spans="1:14" ht="31.5" customHeight="1" x14ac:dyDescent="0.2">
      <c r="A26" s="2267" t="s">
        <v>955</v>
      </c>
      <c r="B26" s="2267"/>
      <c r="C26" s="2267"/>
      <c r="D26" s="2267"/>
      <c r="E26" s="2267"/>
      <c r="F26" s="2267"/>
      <c r="G26" s="2267"/>
      <c r="H26" s="2267"/>
      <c r="I26" s="2267"/>
      <c r="J26" s="2267"/>
      <c r="K26" s="2267"/>
      <c r="L26" s="2267"/>
      <c r="M26" s="2267"/>
      <c r="N26" s="2267"/>
    </row>
    <row r="27" spans="1:14" ht="17.25" customHeight="1" x14ac:dyDescent="0.2">
      <c r="A27" s="2275" t="s">
        <v>416</v>
      </c>
      <c r="B27" s="2278" t="s">
        <v>417</v>
      </c>
      <c r="C27" s="2278" t="s">
        <v>956</v>
      </c>
      <c r="D27" s="2281" t="s">
        <v>957</v>
      </c>
      <c r="E27" s="2281"/>
      <c r="F27" s="2281"/>
      <c r="G27" s="2281"/>
      <c r="H27" s="2281"/>
      <c r="I27" s="2281"/>
      <c r="J27" s="2281"/>
      <c r="K27" s="2281"/>
      <c r="L27" s="2281"/>
      <c r="M27" s="2281"/>
      <c r="N27" s="2281"/>
    </row>
    <row r="28" spans="1:14" ht="30" customHeight="1" x14ac:dyDescent="0.2">
      <c r="A28" s="2276"/>
      <c r="B28" s="2279"/>
      <c r="C28" s="2279"/>
      <c r="D28" s="2282" t="s">
        <v>958</v>
      </c>
      <c r="E28" s="2283"/>
      <c r="F28" s="2283"/>
      <c r="G28" s="2283"/>
      <c r="H28" s="2283"/>
      <c r="I28" s="2283"/>
      <c r="J28" s="2283"/>
      <c r="K28" s="2283"/>
      <c r="L28" s="2283"/>
      <c r="M28" s="2283"/>
      <c r="N28" s="2284"/>
    </row>
    <row r="29" spans="1:14" ht="24.75" customHeight="1" x14ac:dyDescent="0.2">
      <c r="A29" s="2276"/>
      <c r="B29" s="2279"/>
      <c r="C29" s="2279"/>
      <c r="D29" s="2282" t="s">
        <v>961</v>
      </c>
      <c r="E29" s="2283"/>
      <c r="F29" s="2283"/>
      <c r="G29" s="2283"/>
      <c r="H29" s="2283"/>
      <c r="I29" s="2283"/>
      <c r="J29" s="2283"/>
      <c r="K29" s="2283"/>
      <c r="L29" s="2283"/>
      <c r="M29" s="2283"/>
      <c r="N29" s="2284"/>
    </row>
    <row r="30" spans="1:14" ht="179.25" customHeight="1" x14ac:dyDescent="0.2">
      <c r="A30" s="2277"/>
      <c r="B30" s="2280"/>
      <c r="C30" s="2280"/>
      <c r="D30" s="761" t="s">
        <v>244</v>
      </c>
      <c r="E30" s="761" t="s">
        <v>962</v>
      </c>
      <c r="F30" s="761" t="s">
        <v>963</v>
      </c>
      <c r="G30" s="761" t="s">
        <v>906</v>
      </c>
      <c r="H30" s="761" t="s">
        <v>907</v>
      </c>
      <c r="I30" s="761" t="s">
        <v>908</v>
      </c>
      <c r="J30" s="761" t="s">
        <v>909</v>
      </c>
      <c r="K30" s="761" t="s">
        <v>910</v>
      </c>
      <c r="L30" s="761" t="s">
        <v>912</v>
      </c>
      <c r="M30" s="761" t="s">
        <v>931</v>
      </c>
      <c r="N30" s="573" t="s">
        <v>932</v>
      </c>
    </row>
    <row r="31" spans="1:14" ht="17.25" customHeight="1" x14ac:dyDescent="0.2">
      <c r="A31" s="574">
        <v>1</v>
      </c>
      <c r="B31" s="572">
        <v>2</v>
      </c>
      <c r="C31" s="572">
        <v>3</v>
      </c>
      <c r="D31" s="572">
        <v>4</v>
      </c>
      <c r="E31" s="572">
        <v>5</v>
      </c>
      <c r="F31" s="572">
        <v>6</v>
      </c>
      <c r="G31" s="572">
        <v>7</v>
      </c>
      <c r="H31" s="572">
        <v>8</v>
      </c>
      <c r="I31" s="572">
        <v>9</v>
      </c>
      <c r="J31" s="572">
        <v>10</v>
      </c>
      <c r="K31" s="572">
        <v>11</v>
      </c>
      <c r="L31" s="572">
        <v>12</v>
      </c>
      <c r="M31" s="572">
        <v>13</v>
      </c>
      <c r="N31" s="572">
        <v>14</v>
      </c>
    </row>
    <row r="32" spans="1:14" ht="22.5" customHeight="1" x14ac:dyDescent="0.2">
      <c r="A32" s="575" t="s">
        <v>964</v>
      </c>
      <c r="B32" s="572" t="s">
        <v>965</v>
      </c>
      <c r="C32" s="572" t="s">
        <v>859</v>
      </c>
      <c r="D32" s="576">
        <f>SUM(E32:N32)</f>
        <v>210823.62</v>
      </c>
      <c r="E32" s="577">
        <v>35767.089999999997</v>
      </c>
      <c r="F32" s="577"/>
      <c r="G32" s="577"/>
      <c r="H32" s="577"/>
      <c r="I32" s="577"/>
      <c r="J32" s="577"/>
      <c r="K32" s="577"/>
      <c r="L32" s="578"/>
      <c r="M32" s="577">
        <v>165825.38</v>
      </c>
      <c r="N32" s="577">
        <v>9231.15</v>
      </c>
    </row>
    <row r="33" spans="1:17" ht="31.5" customHeight="1" x14ac:dyDescent="0.2">
      <c r="A33" s="575" t="s">
        <v>966</v>
      </c>
      <c r="B33" s="572" t="s">
        <v>967</v>
      </c>
      <c r="C33" s="572" t="s">
        <v>859</v>
      </c>
      <c r="D33" s="576"/>
      <c r="E33" s="578"/>
      <c r="F33" s="578"/>
      <c r="G33" s="578"/>
      <c r="H33" s="578"/>
      <c r="I33" s="578"/>
      <c r="J33" s="578"/>
      <c r="K33" s="578"/>
      <c r="M33" s="578"/>
      <c r="N33" s="578"/>
    </row>
    <row r="34" spans="1:17" s="584" customFormat="1" ht="27" customHeight="1" x14ac:dyDescent="0.2">
      <c r="A34" s="580" t="s">
        <v>968</v>
      </c>
      <c r="B34" s="581" t="s">
        <v>969</v>
      </c>
      <c r="C34" s="581"/>
      <c r="D34" s="583">
        <f>SUM(E34:N34)</f>
        <v>41249707</v>
      </c>
      <c r="E34" s="583">
        <f t="shared" ref="E34:N34" si="1">E35+E38+E44+E47+E52+E54</f>
        <v>36426500</v>
      </c>
      <c r="F34" s="583">
        <f t="shared" si="1"/>
        <v>0</v>
      </c>
      <c r="G34" s="583">
        <f t="shared" si="1"/>
        <v>860500</v>
      </c>
      <c r="H34" s="583">
        <f t="shared" si="1"/>
        <v>0</v>
      </c>
      <c r="I34" s="583">
        <f t="shared" si="1"/>
        <v>145800</v>
      </c>
      <c r="J34" s="583">
        <f t="shared" si="1"/>
        <v>0</v>
      </c>
      <c r="K34" s="583">
        <f t="shared" si="1"/>
        <v>0</v>
      </c>
      <c r="L34" s="583">
        <f t="shared" si="1"/>
        <v>0</v>
      </c>
      <c r="M34" s="583">
        <f t="shared" si="1"/>
        <v>2825400</v>
      </c>
      <c r="N34" s="583">
        <f t="shared" si="1"/>
        <v>991507</v>
      </c>
    </row>
    <row r="35" spans="1:17" s="589" customFormat="1" ht="31.5" x14ac:dyDescent="0.2">
      <c r="A35" s="585" t="s">
        <v>970</v>
      </c>
      <c r="B35" s="586" t="s">
        <v>971</v>
      </c>
      <c r="C35" s="586">
        <v>120</v>
      </c>
      <c r="D35" s="587">
        <f>SUM(E35:N35)</f>
        <v>0</v>
      </c>
      <c r="E35" s="587">
        <f>E37</f>
        <v>0</v>
      </c>
      <c r="F35" s="587">
        <f t="shared" ref="F35:N35" si="2">F37</f>
        <v>0</v>
      </c>
      <c r="G35" s="587">
        <f t="shared" si="2"/>
        <v>0</v>
      </c>
      <c r="H35" s="587">
        <f t="shared" si="2"/>
        <v>0</v>
      </c>
      <c r="I35" s="587">
        <f t="shared" si="2"/>
        <v>0</v>
      </c>
      <c r="J35" s="587">
        <f t="shared" si="2"/>
        <v>0</v>
      </c>
      <c r="K35" s="587">
        <f t="shared" si="2"/>
        <v>0</v>
      </c>
      <c r="L35" s="587">
        <f t="shared" si="2"/>
        <v>0</v>
      </c>
      <c r="M35" s="587">
        <f t="shared" si="2"/>
        <v>0</v>
      </c>
      <c r="N35" s="587">
        <f t="shared" si="2"/>
        <v>0</v>
      </c>
    </row>
    <row r="36" spans="1:17" s="592" customFormat="1" ht="22.5" customHeight="1" x14ac:dyDescent="0.2">
      <c r="A36" s="575" t="s">
        <v>440</v>
      </c>
      <c r="B36" s="574"/>
      <c r="C36" s="574"/>
      <c r="D36" s="577">
        <f t="shared" ref="D36:D57" si="3">SUM(E36:N36)</f>
        <v>0</v>
      </c>
      <c r="E36" s="578"/>
      <c r="F36" s="578"/>
      <c r="G36" s="578"/>
      <c r="H36" s="578"/>
      <c r="I36" s="578"/>
      <c r="J36" s="578"/>
      <c r="K36" s="578"/>
      <c r="L36" s="578"/>
      <c r="M36" s="578"/>
      <c r="N36" s="578"/>
    </row>
    <row r="37" spans="1:17" s="592" customFormat="1" x14ac:dyDescent="0.2">
      <c r="A37" s="575" t="s">
        <v>972</v>
      </c>
      <c r="B37" s="574" t="s">
        <v>973</v>
      </c>
      <c r="C37" s="593" t="s">
        <v>1740</v>
      </c>
      <c r="D37" s="577">
        <f t="shared" si="3"/>
        <v>0</v>
      </c>
      <c r="E37" s="578"/>
      <c r="F37" s="578"/>
      <c r="G37" s="577"/>
      <c r="H37" s="577"/>
      <c r="I37" s="577"/>
      <c r="J37" s="577"/>
      <c r="K37" s="577"/>
      <c r="L37" s="577"/>
      <c r="M37" s="577">
        <f>'строка 1100 (120)+'!C13</f>
        <v>0</v>
      </c>
      <c r="N37" s="577"/>
    </row>
    <row r="38" spans="1:17" s="599" customFormat="1" ht="31.5" x14ac:dyDescent="0.2">
      <c r="A38" s="585" t="s">
        <v>974</v>
      </c>
      <c r="B38" s="594">
        <v>1200</v>
      </c>
      <c r="C38" s="595" t="s">
        <v>975</v>
      </c>
      <c r="D38" s="587">
        <f t="shared" si="3"/>
        <v>39251900</v>
      </c>
      <c r="E38" s="587">
        <f>E40+E41+E42+E43</f>
        <v>36426500</v>
      </c>
      <c r="F38" s="587">
        <f t="shared" ref="F38:N38" si="4">F40+F41+F42+F43</f>
        <v>0</v>
      </c>
      <c r="G38" s="587">
        <f t="shared" si="4"/>
        <v>0</v>
      </c>
      <c r="H38" s="587">
        <f t="shared" si="4"/>
        <v>0</v>
      </c>
      <c r="I38" s="587">
        <f t="shared" si="4"/>
        <v>0</v>
      </c>
      <c r="J38" s="587">
        <f t="shared" si="4"/>
        <v>0</v>
      </c>
      <c r="K38" s="587">
        <f t="shared" si="4"/>
        <v>0</v>
      </c>
      <c r="L38" s="587">
        <f t="shared" si="4"/>
        <v>0</v>
      </c>
      <c r="M38" s="587">
        <f t="shared" si="4"/>
        <v>2825400</v>
      </c>
      <c r="N38" s="587">
        <f t="shared" si="4"/>
        <v>0</v>
      </c>
    </row>
    <row r="39" spans="1:17" s="602" customFormat="1" ht="15.75" customHeight="1" x14ac:dyDescent="0.2">
      <c r="A39" s="575" t="s">
        <v>440</v>
      </c>
      <c r="B39" s="574"/>
      <c r="C39" s="600"/>
      <c r="D39" s="577">
        <f t="shared" si="3"/>
        <v>0</v>
      </c>
      <c r="E39" s="578"/>
      <c r="F39" s="578"/>
      <c r="G39" s="578"/>
      <c r="H39" s="578"/>
      <c r="I39" s="578"/>
      <c r="J39" s="578"/>
      <c r="K39" s="578"/>
      <c r="L39" s="578"/>
      <c r="M39" s="578"/>
      <c r="N39" s="578"/>
    </row>
    <row r="40" spans="1:17" s="602" customFormat="1" ht="68.25" customHeight="1" x14ac:dyDescent="0.2">
      <c r="A40" s="575" t="s">
        <v>976</v>
      </c>
      <c r="B40" s="574">
        <v>1210</v>
      </c>
      <c r="C40" s="593" t="s">
        <v>975</v>
      </c>
      <c r="D40" s="577">
        <f t="shared" si="3"/>
        <v>36426500</v>
      </c>
      <c r="E40" s="578">
        <f>'строка 1200(130)'!C12</f>
        <v>36426500</v>
      </c>
      <c r="F40" s="578">
        <f>'строка 1200(130)'!C13</f>
        <v>0</v>
      </c>
      <c r="G40" s="578"/>
      <c r="H40" s="578"/>
      <c r="I40" s="578"/>
      <c r="J40" s="578"/>
      <c r="K40" s="578"/>
      <c r="L40" s="578"/>
      <c r="M40" s="578"/>
      <c r="N40" s="578"/>
    </row>
    <row r="41" spans="1:17" x14ac:dyDescent="0.2">
      <c r="A41" s="575" t="s">
        <v>977</v>
      </c>
      <c r="B41" s="574">
        <v>1220</v>
      </c>
      <c r="C41" s="593" t="s">
        <v>1741</v>
      </c>
      <c r="D41" s="603">
        <f t="shared" si="3"/>
        <v>2825400</v>
      </c>
      <c r="E41" s="603"/>
      <c r="F41" s="603"/>
      <c r="G41" s="603"/>
      <c r="H41" s="603"/>
      <c r="I41" s="603"/>
      <c r="J41" s="603"/>
      <c r="K41" s="603"/>
      <c r="L41" s="603"/>
      <c r="M41" s="603">
        <f>'строка 1200(130)'!C14+'строка 1200(130)'!C15</f>
        <v>2825400</v>
      </c>
      <c r="N41" s="603"/>
    </row>
    <row r="42" spans="1:17" ht="15.75" customHeight="1" x14ac:dyDescent="0.2">
      <c r="A42" s="575" t="s">
        <v>978</v>
      </c>
      <c r="B42" s="574">
        <v>1230</v>
      </c>
      <c r="C42" s="574">
        <v>135</v>
      </c>
      <c r="D42" s="603">
        <f t="shared" si="3"/>
        <v>0</v>
      </c>
      <c r="E42" s="603"/>
      <c r="F42" s="603"/>
      <c r="G42" s="603"/>
      <c r="H42" s="603"/>
      <c r="I42" s="603"/>
      <c r="J42" s="603"/>
      <c r="K42" s="603"/>
      <c r="L42" s="603"/>
      <c r="M42" s="603"/>
      <c r="N42" s="603"/>
      <c r="O42" s="605"/>
      <c r="P42" s="605"/>
      <c r="Q42" s="605"/>
    </row>
    <row r="43" spans="1:17" ht="31.5" x14ac:dyDescent="0.2">
      <c r="A43" s="575" t="s">
        <v>979</v>
      </c>
      <c r="B43" s="574">
        <v>1240</v>
      </c>
      <c r="C43" s="574">
        <v>136</v>
      </c>
      <c r="D43" s="603">
        <f t="shared" si="3"/>
        <v>0</v>
      </c>
      <c r="E43" s="603"/>
      <c r="F43" s="603"/>
      <c r="G43" s="603"/>
      <c r="H43" s="603"/>
      <c r="I43" s="603"/>
      <c r="J43" s="603"/>
      <c r="K43" s="603"/>
      <c r="L43" s="603"/>
      <c r="M43" s="603"/>
      <c r="N43" s="603"/>
    </row>
    <row r="44" spans="1:17" s="589" customFormat="1" ht="31.5" x14ac:dyDescent="0.2">
      <c r="A44" s="585" t="s">
        <v>980</v>
      </c>
      <c r="B44" s="594">
        <v>1300</v>
      </c>
      <c r="C44" s="594">
        <v>140</v>
      </c>
      <c r="D44" s="607">
        <f t="shared" si="3"/>
        <v>0</v>
      </c>
      <c r="E44" s="607">
        <f>E46</f>
        <v>0</v>
      </c>
      <c r="F44" s="607">
        <f t="shared" ref="F44:N44" si="5">F46</f>
        <v>0</v>
      </c>
      <c r="G44" s="607">
        <f t="shared" si="5"/>
        <v>0</v>
      </c>
      <c r="H44" s="607">
        <f t="shared" si="5"/>
        <v>0</v>
      </c>
      <c r="I44" s="607">
        <f t="shared" si="5"/>
        <v>0</v>
      </c>
      <c r="J44" s="607">
        <f t="shared" si="5"/>
        <v>0</v>
      </c>
      <c r="K44" s="607">
        <f t="shared" si="5"/>
        <v>0</v>
      </c>
      <c r="L44" s="607">
        <f t="shared" si="5"/>
        <v>0</v>
      </c>
      <c r="M44" s="607">
        <f t="shared" si="5"/>
        <v>0</v>
      </c>
      <c r="N44" s="607">
        <f t="shared" si="5"/>
        <v>0</v>
      </c>
    </row>
    <row r="45" spans="1:17" x14ac:dyDescent="0.2">
      <c r="A45" s="609" t="s">
        <v>440</v>
      </c>
      <c r="B45" s="574"/>
      <c r="C45" s="574"/>
      <c r="D45" s="603">
        <f t="shared" si="3"/>
        <v>0</v>
      </c>
      <c r="E45" s="603"/>
      <c r="F45" s="603"/>
      <c r="G45" s="603"/>
      <c r="H45" s="603"/>
      <c r="I45" s="603"/>
      <c r="J45" s="603"/>
      <c r="K45" s="603"/>
      <c r="L45" s="603"/>
      <c r="M45" s="603"/>
      <c r="N45" s="603"/>
    </row>
    <row r="46" spans="1:17" x14ac:dyDescent="0.2">
      <c r="A46" s="609"/>
      <c r="B46" s="574">
        <v>1310</v>
      </c>
      <c r="C46" s="574">
        <v>140</v>
      </c>
      <c r="D46" s="603">
        <f t="shared" si="3"/>
        <v>0</v>
      </c>
      <c r="E46" s="603"/>
      <c r="F46" s="603"/>
      <c r="G46" s="603"/>
      <c r="H46" s="603"/>
      <c r="I46" s="603"/>
      <c r="J46" s="603"/>
      <c r="K46" s="603"/>
      <c r="L46" s="603"/>
      <c r="M46" s="603"/>
      <c r="N46" s="603"/>
    </row>
    <row r="47" spans="1:17" s="589" customFormat="1" x14ac:dyDescent="0.2">
      <c r="A47" s="585" t="s">
        <v>981</v>
      </c>
      <c r="B47" s="594">
        <v>1400</v>
      </c>
      <c r="C47" s="594">
        <v>150</v>
      </c>
      <c r="D47" s="607">
        <f t="shared" si="3"/>
        <v>1997807</v>
      </c>
      <c r="E47" s="607">
        <f>SUM(E49:E51)</f>
        <v>0</v>
      </c>
      <c r="F47" s="607">
        <f t="shared" ref="F47:M47" si="6">SUM(F49:F51)</f>
        <v>0</v>
      </c>
      <c r="G47" s="607">
        <f t="shared" si="6"/>
        <v>860500</v>
      </c>
      <c r="H47" s="607">
        <f t="shared" si="6"/>
        <v>0</v>
      </c>
      <c r="I47" s="607">
        <f t="shared" si="6"/>
        <v>145800</v>
      </c>
      <c r="J47" s="607">
        <f t="shared" si="6"/>
        <v>0</v>
      </c>
      <c r="K47" s="607">
        <f t="shared" si="6"/>
        <v>0</v>
      </c>
      <c r="L47" s="607">
        <f t="shared" si="6"/>
        <v>0</v>
      </c>
      <c r="M47" s="607">
        <f t="shared" si="6"/>
        <v>0</v>
      </c>
      <c r="N47" s="607">
        <f t="shared" ref="N47" si="7">N51</f>
        <v>991507</v>
      </c>
    </row>
    <row r="48" spans="1:17" x14ac:dyDescent="0.2">
      <c r="A48" s="575" t="s">
        <v>440</v>
      </c>
      <c r="B48" s="574"/>
      <c r="C48" s="574"/>
      <c r="D48" s="603">
        <f t="shared" si="3"/>
        <v>0</v>
      </c>
      <c r="E48" s="603"/>
      <c r="F48" s="603"/>
      <c r="G48" s="603"/>
      <c r="H48" s="603"/>
      <c r="I48" s="603"/>
      <c r="J48" s="603"/>
      <c r="K48" s="603"/>
      <c r="L48" s="603"/>
      <c r="M48" s="603"/>
      <c r="N48" s="603"/>
    </row>
    <row r="49" spans="1:14" x14ac:dyDescent="0.2">
      <c r="A49" s="575" t="s">
        <v>905</v>
      </c>
      <c r="B49" s="574">
        <v>1410</v>
      </c>
      <c r="C49" s="593" t="s">
        <v>1742</v>
      </c>
      <c r="D49" s="603">
        <f>SUM(E49:N49)</f>
        <v>1006300</v>
      </c>
      <c r="E49" s="603"/>
      <c r="F49" s="603"/>
      <c r="G49" s="603">
        <f>'безвоз строка 1400 (150)'!C13</f>
        <v>860500</v>
      </c>
      <c r="H49" s="603">
        <f>'безвоз строка 1400 (150)'!C14</f>
        <v>0</v>
      </c>
      <c r="I49" s="603">
        <f>'безвоз строка 1400 (150)'!C15</f>
        <v>145800</v>
      </c>
      <c r="J49" s="603">
        <f>'безвоз строка 1400 (150)'!C16</f>
        <v>0</v>
      </c>
      <c r="K49" s="603">
        <f>'иные стр1210(130)культ'!B14</f>
        <v>0</v>
      </c>
      <c r="M49" s="603"/>
      <c r="N49" s="603"/>
    </row>
    <row r="50" spans="1:14" x14ac:dyDescent="0.2">
      <c r="A50" s="575" t="s">
        <v>911</v>
      </c>
      <c r="B50" s="574">
        <v>1420</v>
      </c>
      <c r="C50" s="593" t="s">
        <v>1742</v>
      </c>
      <c r="D50" s="603">
        <f>SUM(E50:N50)</f>
        <v>0</v>
      </c>
      <c r="E50" s="603"/>
      <c r="F50" s="603"/>
      <c r="G50" s="603"/>
      <c r="H50" s="603"/>
      <c r="I50" s="603"/>
      <c r="J50" s="603"/>
      <c r="K50" s="603"/>
      <c r="L50" s="603">
        <f>'безвоз строка 1400 (150)'!C18</f>
        <v>0</v>
      </c>
      <c r="M50" s="610"/>
      <c r="N50" s="610"/>
    </row>
    <row r="51" spans="1:14" s="592" customFormat="1" x14ac:dyDescent="0.2">
      <c r="A51" s="575" t="s">
        <v>982</v>
      </c>
      <c r="B51" s="574">
        <v>1430</v>
      </c>
      <c r="C51" s="593" t="s">
        <v>1731</v>
      </c>
      <c r="D51" s="603">
        <f t="shared" si="3"/>
        <v>991507</v>
      </c>
      <c r="E51" s="603"/>
      <c r="F51" s="603"/>
      <c r="G51" s="603"/>
      <c r="H51" s="603"/>
      <c r="I51" s="603"/>
      <c r="J51" s="603"/>
      <c r="K51" s="603"/>
      <c r="L51" s="603"/>
      <c r="M51" s="603"/>
      <c r="N51" s="603">
        <f>'безвозм1430(155)'!C17</f>
        <v>991507</v>
      </c>
    </row>
    <row r="52" spans="1:14" s="589" customFormat="1" x14ac:dyDescent="0.2">
      <c r="A52" s="585" t="s">
        <v>983</v>
      </c>
      <c r="B52" s="594">
        <v>1500</v>
      </c>
      <c r="C52" s="595" t="s">
        <v>1760</v>
      </c>
      <c r="D52" s="607">
        <f t="shared" si="3"/>
        <v>0</v>
      </c>
      <c r="E52" s="607">
        <f>SUM(E53)</f>
        <v>0</v>
      </c>
      <c r="F52" s="607">
        <f t="shared" ref="F52:N52" si="8">SUM(F53)</f>
        <v>0</v>
      </c>
      <c r="G52" s="607">
        <f t="shared" si="8"/>
        <v>0</v>
      </c>
      <c r="H52" s="607">
        <f t="shared" si="8"/>
        <v>0</v>
      </c>
      <c r="I52" s="607">
        <f t="shared" si="8"/>
        <v>0</v>
      </c>
      <c r="J52" s="607">
        <f t="shared" si="8"/>
        <v>0</v>
      </c>
      <c r="K52" s="607">
        <f t="shared" si="8"/>
        <v>0</v>
      </c>
      <c r="L52" s="607">
        <f t="shared" si="8"/>
        <v>0</v>
      </c>
      <c r="M52" s="607">
        <f t="shared" si="8"/>
        <v>0</v>
      </c>
      <c r="N52" s="607">
        <f t="shared" si="8"/>
        <v>0</v>
      </c>
    </row>
    <row r="53" spans="1:14" s="592" customFormat="1" x14ac:dyDescent="0.2">
      <c r="A53" s="575" t="s">
        <v>440</v>
      </c>
      <c r="B53" s="574"/>
      <c r="C53" s="593"/>
      <c r="D53" s="603">
        <f t="shared" si="3"/>
        <v>0</v>
      </c>
      <c r="E53" s="603"/>
      <c r="F53" s="603"/>
      <c r="G53" s="610"/>
      <c r="H53" s="610"/>
      <c r="I53" s="610"/>
      <c r="J53" s="610"/>
      <c r="K53" s="610"/>
      <c r="L53" s="610"/>
      <c r="M53" s="610"/>
      <c r="N53" s="610"/>
    </row>
    <row r="54" spans="1:14" s="589" customFormat="1" ht="18.75" x14ac:dyDescent="0.2">
      <c r="A54" s="585" t="s">
        <v>984</v>
      </c>
      <c r="B54" s="594">
        <v>1980</v>
      </c>
      <c r="C54" s="594" t="s">
        <v>859</v>
      </c>
      <c r="D54" s="607">
        <f t="shared" si="3"/>
        <v>0</v>
      </c>
      <c r="E54" s="607">
        <f>E56</f>
        <v>0</v>
      </c>
      <c r="F54" s="607">
        <f t="shared" ref="F54:N54" si="9">F56</f>
        <v>0</v>
      </c>
      <c r="G54" s="607">
        <f t="shared" si="9"/>
        <v>0</v>
      </c>
      <c r="H54" s="607">
        <f t="shared" si="9"/>
        <v>0</v>
      </c>
      <c r="I54" s="607">
        <f t="shared" si="9"/>
        <v>0</v>
      </c>
      <c r="J54" s="607">
        <f t="shared" si="9"/>
        <v>0</v>
      </c>
      <c r="K54" s="607">
        <f t="shared" si="9"/>
        <v>0</v>
      </c>
      <c r="L54" s="607">
        <f t="shared" si="9"/>
        <v>0</v>
      </c>
      <c r="M54" s="607">
        <f t="shared" si="9"/>
        <v>0</v>
      </c>
      <c r="N54" s="607">
        <f t="shared" si="9"/>
        <v>0</v>
      </c>
    </row>
    <row r="55" spans="1:14" x14ac:dyDescent="0.2">
      <c r="A55" s="575" t="s">
        <v>800</v>
      </c>
      <c r="B55" s="574"/>
      <c r="C55" s="574"/>
      <c r="D55" s="578">
        <f t="shared" si="3"/>
        <v>0</v>
      </c>
      <c r="E55" s="577"/>
      <c r="F55" s="577"/>
      <c r="G55" s="577"/>
      <c r="H55" s="577"/>
      <c r="I55" s="577"/>
      <c r="J55" s="577"/>
      <c r="K55" s="577"/>
      <c r="L55" s="577"/>
      <c r="M55" s="577"/>
      <c r="N55" s="577"/>
    </row>
    <row r="56" spans="1:14" s="592" customFormat="1" ht="36.75" customHeight="1" x14ac:dyDescent="0.2">
      <c r="A56" s="575" t="s">
        <v>985</v>
      </c>
      <c r="B56" s="574">
        <v>1981</v>
      </c>
      <c r="C56" s="593" t="s">
        <v>986</v>
      </c>
      <c r="D56" s="661">
        <f t="shared" si="3"/>
        <v>0</v>
      </c>
      <c r="E56" s="612"/>
      <c r="F56" s="612"/>
      <c r="G56" s="612"/>
      <c r="H56" s="612"/>
      <c r="I56" s="612"/>
      <c r="J56" s="612"/>
      <c r="K56" s="612"/>
      <c r="L56" s="612"/>
      <c r="M56" s="612"/>
      <c r="N56" s="612"/>
    </row>
    <row r="57" spans="1:14" x14ac:dyDescent="0.2">
      <c r="A57" s="575"/>
      <c r="B57" s="574"/>
      <c r="C57" s="574"/>
      <c r="D57" s="578">
        <f t="shared" si="3"/>
        <v>0</v>
      </c>
      <c r="E57" s="577"/>
      <c r="F57" s="577"/>
      <c r="G57" s="577"/>
      <c r="H57" s="577"/>
      <c r="I57" s="577"/>
      <c r="J57" s="577"/>
      <c r="K57" s="577"/>
      <c r="L57" s="577"/>
      <c r="M57" s="577"/>
      <c r="N57" s="577"/>
    </row>
    <row r="58" spans="1:14" s="584" customFormat="1" x14ac:dyDescent="0.2">
      <c r="A58" s="580" t="s">
        <v>987</v>
      </c>
      <c r="B58" s="613">
        <v>2000</v>
      </c>
      <c r="C58" s="613" t="s">
        <v>859</v>
      </c>
      <c r="D58" s="614">
        <f>SUM(E58:N58)</f>
        <v>41460530.619999997</v>
      </c>
      <c r="E58" s="614">
        <f>E60+E69+E73+E77+E80+E82+E91+E95</f>
        <v>36462267.090000004</v>
      </c>
      <c r="F58" s="614">
        <f t="shared" ref="F58:N58" si="10">F60+F69+F73+F77+F80+F82+F91+F95</f>
        <v>0</v>
      </c>
      <c r="G58" s="614">
        <f t="shared" si="10"/>
        <v>860500</v>
      </c>
      <c r="H58" s="614">
        <f t="shared" si="10"/>
        <v>0</v>
      </c>
      <c r="I58" s="614">
        <f t="shared" si="10"/>
        <v>145800</v>
      </c>
      <c r="J58" s="614">
        <f t="shared" si="10"/>
        <v>0</v>
      </c>
      <c r="K58" s="614">
        <f t="shared" si="10"/>
        <v>0</v>
      </c>
      <c r="L58" s="614">
        <f t="shared" si="10"/>
        <v>0</v>
      </c>
      <c r="M58" s="614">
        <f t="shared" si="10"/>
        <v>2991225.38</v>
      </c>
      <c r="N58" s="614">
        <f t="shared" si="10"/>
        <v>1000738.15</v>
      </c>
    </row>
    <row r="59" spans="1:14" x14ac:dyDescent="0.2">
      <c r="A59" s="575" t="s">
        <v>440</v>
      </c>
      <c r="B59" s="574"/>
      <c r="C59" s="574"/>
      <c r="D59" s="577"/>
      <c r="E59" s="577"/>
      <c r="F59" s="577"/>
      <c r="G59" s="577"/>
      <c r="H59" s="577"/>
      <c r="I59" s="577"/>
      <c r="J59" s="577"/>
      <c r="K59" s="577"/>
      <c r="L59" s="577"/>
      <c r="M59" s="577"/>
      <c r="N59" s="577"/>
    </row>
    <row r="60" spans="1:14" s="589" customFormat="1" ht="36.75" customHeight="1" x14ac:dyDescent="0.2">
      <c r="A60" s="585" t="s">
        <v>988</v>
      </c>
      <c r="B60" s="594">
        <v>2100</v>
      </c>
      <c r="C60" s="594" t="s">
        <v>859</v>
      </c>
      <c r="D60" s="596">
        <f>SUM(E60:N60)</f>
        <v>33656700</v>
      </c>
      <c r="E60" s="596">
        <f>E62+E63+E64+E65</f>
        <v>32495200</v>
      </c>
      <c r="F60" s="596">
        <f t="shared" ref="F60:N60" si="11">F62+F63+F64+F65</f>
        <v>0</v>
      </c>
      <c r="G60" s="596">
        <f t="shared" si="11"/>
        <v>760500</v>
      </c>
      <c r="H60" s="596">
        <f t="shared" si="11"/>
        <v>0</v>
      </c>
      <c r="I60" s="596">
        <f t="shared" si="11"/>
        <v>9600</v>
      </c>
      <c r="J60" s="596">
        <f t="shared" si="11"/>
        <v>0</v>
      </c>
      <c r="K60" s="596">
        <f t="shared" si="11"/>
        <v>0</v>
      </c>
      <c r="L60" s="596">
        <f t="shared" si="11"/>
        <v>0</v>
      </c>
      <c r="M60" s="596">
        <f t="shared" si="11"/>
        <v>237400</v>
      </c>
      <c r="N60" s="596">
        <f t="shared" si="11"/>
        <v>154000</v>
      </c>
    </row>
    <row r="61" spans="1:14" ht="20.25" customHeight="1" x14ac:dyDescent="0.2">
      <c r="A61" s="575" t="s">
        <v>440</v>
      </c>
      <c r="B61" s="574"/>
      <c r="C61" s="574"/>
      <c r="D61" s="577"/>
      <c r="E61" s="577"/>
      <c r="F61" s="577"/>
      <c r="G61" s="577"/>
      <c r="H61" s="577"/>
      <c r="I61" s="577"/>
      <c r="J61" s="577"/>
      <c r="K61" s="577"/>
      <c r="L61" s="577"/>
      <c r="M61" s="577"/>
      <c r="N61" s="577"/>
    </row>
    <row r="62" spans="1:14" ht="20.25" customHeight="1" x14ac:dyDescent="0.2">
      <c r="A62" s="575" t="s">
        <v>989</v>
      </c>
      <c r="B62" s="574">
        <v>2110</v>
      </c>
      <c r="C62" s="574">
        <v>111</v>
      </c>
      <c r="D62" s="577">
        <f>SUM(E62:N62)</f>
        <v>24846200</v>
      </c>
      <c r="E62" s="577">
        <f>'субс РК КВР 111 (14.02.20)'!C13</f>
        <v>24846200</v>
      </c>
      <c r="F62" s="577"/>
      <c r="G62" s="577"/>
      <c r="H62" s="577"/>
      <c r="I62" s="577"/>
      <c r="J62" s="577"/>
      <c r="K62" s="577"/>
      <c r="L62" s="577"/>
      <c r="M62" s="577">
        <f>'внебКВР 111 (01.01.20)+'!C13</f>
        <v>0</v>
      </c>
      <c r="N62" s="577"/>
    </row>
    <row r="63" spans="1:14" ht="33.75" customHeight="1" x14ac:dyDescent="0.2">
      <c r="A63" s="575" t="s">
        <v>990</v>
      </c>
      <c r="B63" s="574">
        <v>2120</v>
      </c>
      <c r="C63" s="574">
        <v>112</v>
      </c>
      <c r="D63" s="577">
        <f>SUM(E63:N63)</f>
        <v>1016300</v>
      </c>
      <c r="E63" s="577">
        <f>'субс РК КВР 112 (01.01.20)'!C22</f>
        <v>18400</v>
      </c>
      <c r="F63" s="577"/>
      <c r="G63" s="577">
        <f>'иные КВР 112 (01.01.20)'!C10</f>
        <v>760500</v>
      </c>
      <c r="H63" s="577"/>
      <c r="I63" s="577"/>
      <c r="J63" s="577"/>
      <c r="K63" s="577"/>
      <c r="L63" s="577"/>
      <c r="M63" s="577">
        <f>'внеб КВР 112 (01.01.20)'!C21</f>
        <v>237400</v>
      </c>
      <c r="N63" s="577"/>
    </row>
    <row r="64" spans="1:14" ht="31.5" x14ac:dyDescent="0.2">
      <c r="A64" s="575" t="s">
        <v>991</v>
      </c>
      <c r="B64" s="574">
        <v>2130</v>
      </c>
      <c r="C64" s="574">
        <v>113</v>
      </c>
      <c r="D64" s="577">
        <f>SUM(E64:N64)</f>
        <v>352200</v>
      </c>
      <c r="E64" s="577">
        <f>'субс РК КВР 113(01.01.20)'!C14</f>
        <v>188600</v>
      </c>
      <c r="F64" s="577">
        <f>'субс РТ КВР 113(01.01.20)'!C14</f>
        <v>0</v>
      </c>
      <c r="G64" s="577"/>
      <c r="H64" s="577"/>
      <c r="I64" s="577">
        <f>'ОД КВР 113(01.01.20)'!C14</f>
        <v>9600</v>
      </c>
      <c r="J64" s="577">
        <f>'75 лет КВР 113(01.01.20)'!C14</f>
        <v>0</v>
      </c>
      <c r="K64" s="577"/>
      <c r="L64" s="577"/>
      <c r="M64" s="577">
        <f>'внеб КВР 113(01.01.20)'!C14</f>
        <v>0</v>
      </c>
      <c r="N64" s="577">
        <f>'безв.пост. КВР 113'!C14</f>
        <v>154000</v>
      </c>
    </row>
    <row r="65" spans="1:14" ht="47.25" x14ac:dyDescent="0.2">
      <c r="A65" s="575" t="s">
        <v>992</v>
      </c>
      <c r="B65" s="574">
        <v>2140</v>
      </c>
      <c r="C65" s="574">
        <v>119</v>
      </c>
      <c r="D65" s="577">
        <f>SUM(E65:N65)</f>
        <v>7442000</v>
      </c>
      <c r="E65" s="663">
        <f>E67+E68</f>
        <v>7442000</v>
      </c>
      <c r="F65" s="577"/>
      <c r="G65" s="577"/>
      <c r="H65" s="577"/>
      <c r="I65" s="577"/>
      <c r="J65" s="577"/>
      <c r="K65" s="577"/>
      <c r="L65" s="577"/>
      <c r="M65" s="577">
        <f>M67+M68</f>
        <v>0</v>
      </c>
      <c r="N65" s="577"/>
    </row>
    <row r="66" spans="1:14" x14ac:dyDescent="0.2">
      <c r="A66" s="575" t="s">
        <v>440</v>
      </c>
      <c r="B66" s="574"/>
      <c r="C66" s="574"/>
      <c r="D66" s="577"/>
      <c r="E66" s="577"/>
      <c r="F66" s="577"/>
      <c r="G66" s="577"/>
      <c r="H66" s="577"/>
      <c r="I66" s="577"/>
      <c r="J66" s="577"/>
      <c r="K66" s="577"/>
      <c r="L66" s="577"/>
      <c r="M66" s="577"/>
      <c r="N66" s="577"/>
    </row>
    <row r="67" spans="1:14" x14ac:dyDescent="0.2">
      <c r="A67" s="575" t="s">
        <v>993</v>
      </c>
      <c r="B67" s="574">
        <v>2141</v>
      </c>
      <c r="C67" s="574">
        <v>119</v>
      </c>
      <c r="D67" s="577">
        <f>SUM(E67:N67)</f>
        <v>7442000</v>
      </c>
      <c r="E67" s="577">
        <f>'субс РК КВР 119 (14.02.20)'!C13</f>
        <v>7442000</v>
      </c>
      <c r="F67" s="577"/>
      <c r="G67" s="577"/>
      <c r="H67" s="577"/>
      <c r="I67" s="577"/>
      <c r="J67" s="577"/>
      <c r="K67" s="577"/>
      <c r="L67" s="577"/>
      <c r="M67" s="577">
        <f>'внебКВР 119 (01.01.20)+'!C13</f>
        <v>0</v>
      </c>
      <c r="N67" s="577"/>
    </row>
    <row r="68" spans="1:14" x14ac:dyDescent="0.2">
      <c r="A68" s="575" t="s">
        <v>994</v>
      </c>
      <c r="B68" s="574">
        <v>2142</v>
      </c>
      <c r="C68" s="574">
        <v>119</v>
      </c>
      <c r="D68" s="577"/>
      <c r="E68" s="577"/>
      <c r="F68" s="577"/>
      <c r="G68" s="577"/>
      <c r="H68" s="577"/>
      <c r="I68" s="577"/>
      <c r="J68" s="577"/>
      <c r="K68" s="577"/>
      <c r="L68" s="577"/>
      <c r="M68" s="577"/>
      <c r="N68" s="577"/>
    </row>
    <row r="69" spans="1:14" s="589" customFormat="1" x14ac:dyDescent="0.2">
      <c r="A69" s="585" t="s">
        <v>995</v>
      </c>
      <c r="B69" s="594">
        <v>2200</v>
      </c>
      <c r="C69" s="594">
        <v>300</v>
      </c>
      <c r="D69" s="596">
        <f>SUM(E69:N69)</f>
        <v>100000</v>
      </c>
      <c r="E69" s="596">
        <f>E71</f>
        <v>0</v>
      </c>
      <c r="F69" s="596">
        <f t="shared" ref="F69:N69" si="12">F71</f>
        <v>0</v>
      </c>
      <c r="G69" s="596">
        <f t="shared" si="12"/>
        <v>100000</v>
      </c>
      <c r="H69" s="596">
        <f t="shared" si="12"/>
        <v>0</v>
      </c>
      <c r="I69" s="596">
        <f t="shared" si="12"/>
        <v>0</v>
      </c>
      <c r="J69" s="596">
        <f t="shared" si="12"/>
        <v>0</v>
      </c>
      <c r="K69" s="596">
        <f t="shared" si="12"/>
        <v>0</v>
      </c>
      <c r="L69" s="596">
        <f t="shared" si="12"/>
        <v>0</v>
      </c>
      <c r="M69" s="596">
        <f t="shared" si="12"/>
        <v>0</v>
      </c>
      <c r="N69" s="596">
        <f t="shared" si="12"/>
        <v>0</v>
      </c>
    </row>
    <row r="70" spans="1:14" x14ac:dyDescent="0.2">
      <c r="A70" s="575" t="s">
        <v>440</v>
      </c>
      <c r="B70" s="574"/>
      <c r="C70" s="574"/>
      <c r="D70" s="577"/>
      <c r="E70" s="577"/>
      <c r="F70" s="577"/>
      <c r="G70" s="577"/>
      <c r="H70" s="577"/>
      <c r="I70" s="577"/>
      <c r="J70" s="577"/>
      <c r="K70" s="577"/>
      <c r="L70" s="577"/>
      <c r="M70" s="577"/>
      <c r="N70" s="577"/>
    </row>
    <row r="71" spans="1:14" ht="31.5" x14ac:dyDescent="0.2">
      <c r="A71" s="575" t="s">
        <v>996</v>
      </c>
      <c r="B71" s="574">
        <v>2210</v>
      </c>
      <c r="C71" s="574">
        <v>320</v>
      </c>
      <c r="D71" s="577">
        <f t="shared" ref="D71:D86" si="13">SUM(E71:N71)</f>
        <v>100000</v>
      </c>
      <c r="E71" s="577">
        <f>E72</f>
        <v>0</v>
      </c>
      <c r="F71" s="577">
        <f t="shared" ref="F71:N71" si="14">F72</f>
        <v>0</v>
      </c>
      <c r="G71" s="577">
        <f t="shared" si="14"/>
        <v>100000</v>
      </c>
      <c r="H71" s="577">
        <f t="shared" si="14"/>
        <v>0</v>
      </c>
      <c r="I71" s="577">
        <f t="shared" si="14"/>
        <v>0</v>
      </c>
      <c r="J71" s="577">
        <f t="shared" si="14"/>
        <v>0</v>
      </c>
      <c r="K71" s="577">
        <f t="shared" si="14"/>
        <v>0</v>
      </c>
      <c r="L71" s="577">
        <f t="shared" si="14"/>
        <v>0</v>
      </c>
      <c r="M71" s="577">
        <f t="shared" si="14"/>
        <v>0</v>
      </c>
      <c r="N71" s="577">
        <f t="shared" si="14"/>
        <v>0</v>
      </c>
    </row>
    <row r="72" spans="1:14" ht="54.75" customHeight="1" x14ac:dyDescent="0.2">
      <c r="A72" s="575" t="s">
        <v>997</v>
      </c>
      <c r="B72" s="574">
        <v>2211</v>
      </c>
      <c r="C72" s="574">
        <v>321</v>
      </c>
      <c r="D72" s="577">
        <f t="shared" si="13"/>
        <v>100000</v>
      </c>
      <c r="E72" s="577"/>
      <c r="F72" s="577"/>
      <c r="G72" s="577">
        <f>'иные КВР 321(01.01.20)'!C17</f>
        <v>100000</v>
      </c>
      <c r="H72" s="577"/>
      <c r="I72" s="577"/>
      <c r="J72" s="577"/>
      <c r="K72" s="577"/>
      <c r="L72" s="577"/>
      <c r="M72" s="577"/>
      <c r="N72" s="577"/>
    </row>
    <row r="73" spans="1:14" s="589" customFormat="1" x14ac:dyDescent="0.2">
      <c r="A73" s="585" t="s">
        <v>998</v>
      </c>
      <c r="B73" s="594">
        <v>2300</v>
      </c>
      <c r="C73" s="594">
        <v>850</v>
      </c>
      <c r="D73" s="596">
        <f t="shared" si="13"/>
        <v>0</v>
      </c>
      <c r="E73" s="596">
        <f>E74+E75+E76</f>
        <v>0</v>
      </c>
      <c r="F73" s="596">
        <f t="shared" ref="F73:N73" si="15">F74+F75+F76</f>
        <v>0</v>
      </c>
      <c r="G73" s="596">
        <f t="shared" si="15"/>
        <v>0</v>
      </c>
      <c r="H73" s="596">
        <f t="shared" si="15"/>
        <v>0</v>
      </c>
      <c r="I73" s="596">
        <f t="shared" si="15"/>
        <v>0</v>
      </c>
      <c r="J73" s="596">
        <f t="shared" si="15"/>
        <v>0</v>
      </c>
      <c r="K73" s="596">
        <f t="shared" si="15"/>
        <v>0</v>
      </c>
      <c r="L73" s="596">
        <f t="shared" si="15"/>
        <v>0</v>
      </c>
      <c r="M73" s="596">
        <f t="shared" si="15"/>
        <v>0</v>
      </c>
      <c r="N73" s="596">
        <f t="shared" si="15"/>
        <v>0</v>
      </c>
    </row>
    <row r="74" spans="1:14" ht="31.5" x14ac:dyDescent="0.2">
      <c r="A74" s="575" t="s">
        <v>999</v>
      </c>
      <c r="B74" s="574">
        <v>2310</v>
      </c>
      <c r="C74" s="574">
        <v>851</v>
      </c>
      <c r="D74" s="577">
        <f t="shared" si="13"/>
        <v>0</v>
      </c>
      <c r="E74" s="577"/>
      <c r="F74" s="577"/>
      <c r="G74" s="577"/>
      <c r="H74" s="577"/>
      <c r="I74" s="577"/>
      <c r="J74" s="577"/>
      <c r="K74" s="577"/>
      <c r="L74" s="577"/>
      <c r="M74" s="577"/>
      <c r="N74" s="577"/>
    </row>
    <row r="75" spans="1:14" ht="47.25" x14ac:dyDescent="0.2">
      <c r="A75" s="575" t="s">
        <v>1000</v>
      </c>
      <c r="B75" s="574">
        <v>2320</v>
      </c>
      <c r="C75" s="574">
        <v>852</v>
      </c>
      <c r="D75" s="577">
        <f t="shared" si="13"/>
        <v>0</v>
      </c>
      <c r="E75" s="577"/>
      <c r="F75" s="577"/>
      <c r="G75" s="577"/>
      <c r="H75" s="577"/>
      <c r="I75" s="577"/>
      <c r="J75" s="577"/>
      <c r="K75" s="577"/>
      <c r="L75" s="577"/>
      <c r="M75" s="577"/>
      <c r="N75" s="577"/>
    </row>
    <row r="76" spans="1:14" ht="31.5" x14ac:dyDescent="0.2">
      <c r="A76" s="575" t="s">
        <v>1001</v>
      </c>
      <c r="B76" s="574">
        <v>2330</v>
      </c>
      <c r="C76" s="574">
        <v>853</v>
      </c>
      <c r="D76" s="577">
        <f t="shared" si="13"/>
        <v>0</v>
      </c>
      <c r="E76" s="577"/>
      <c r="F76" s="577"/>
      <c r="G76" s="577"/>
      <c r="H76" s="577"/>
      <c r="I76" s="577"/>
      <c r="J76" s="577"/>
      <c r="K76" s="577"/>
      <c r="L76" s="577"/>
      <c r="M76" s="577">
        <f>'КВР 850'!C18</f>
        <v>0</v>
      </c>
      <c r="N76" s="577"/>
    </row>
    <row r="77" spans="1:14" s="589" customFormat="1" ht="31.5" x14ac:dyDescent="0.2">
      <c r="A77" s="585" t="s">
        <v>1002</v>
      </c>
      <c r="B77" s="594">
        <v>2400</v>
      </c>
      <c r="C77" s="594" t="s">
        <v>859</v>
      </c>
      <c r="D77" s="596">
        <f t="shared" si="13"/>
        <v>0</v>
      </c>
      <c r="E77" s="596">
        <f>E78+E79</f>
        <v>0</v>
      </c>
      <c r="F77" s="596">
        <f t="shared" ref="F77:N77" si="16">F78+F79</f>
        <v>0</v>
      </c>
      <c r="G77" s="596">
        <f t="shared" si="16"/>
        <v>0</v>
      </c>
      <c r="H77" s="596">
        <f t="shared" si="16"/>
        <v>0</v>
      </c>
      <c r="I77" s="596">
        <f t="shared" si="16"/>
        <v>0</v>
      </c>
      <c r="J77" s="596">
        <f t="shared" si="16"/>
        <v>0</v>
      </c>
      <c r="K77" s="596">
        <f t="shared" si="16"/>
        <v>0</v>
      </c>
      <c r="L77" s="596">
        <f t="shared" si="16"/>
        <v>0</v>
      </c>
      <c r="M77" s="596">
        <f t="shared" si="16"/>
        <v>0</v>
      </c>
      <c r="N77" s="596">
        <f t="shared" si="16"/>
        <v>0</v>
      </c>
    </row>
    <row r="78" spans="1:14" ht="47.25" x14ac:dyDescent="0.2">
      <c r="A78" s="575" t="s">
        <v>1761</v>
      </c>
      <c r="B78" s="574">
        <v>2410</v>
      </c>
      <c r="C78" s="574">
        <v>613</v>
      </c>
      <c r="D78" s="577">
        <f t="shared" si="13"/>
        <v>0</v>
      </c>
      <c r="E78" s="577"/>
      <c r="F78" s="577"/>
      <c r="G78" s="577"/>
      <c r="H78" s="577"/>
      <c r="I78" s="577"/>
      <c r="J78" s="577"/>
      <c r="K78" s="577"/>
      <c r="L78" s="577"/>
      <c r="M78" s="577"/>
      <c r="N78" s="577"/>
    </row>
    <row r="79" spans="1:14" x14ac:dyDescent="0.2">
      <c r="A79" s="575" t="s">
        <v>1762</v>
      </c>
      <c r="B79" s="574">
        <v>2420</v>
      </c>
      <c r="C79" s="574">
        <v>623</v>
      </c>
      <c r="D79" s="577">
        <f t="shared" si="13"/>
        <v>0</v>
      </c>
      <c r="E79" s="577"/>
      <c r="F79" s="577"/>
      <c r="G79" s="577"/>
      <c r="H79" s="577"/>
      <c r="I79" s="577"/>
      <c r="J79" s="577"/>
      <c r="K79" s="577"/>
      <c r="L79" s="577"/>
      <c r="M79" s="577"/>
      <c r="N79" s="577"/>
    </row>
    <row r="80" spans="1:14" s="589" customFormat="1" ht="31.5" x14ac:dyDescent="0.2">
      <c r="A80" s="585" t="s">
        <v>1005</v>
      </c>
      <c r="B80" s="594">
        <v>2500</v>
      </c>
      <c r="C80" s="594" t="s">
        <v>859</v>
      </c>
      <c r="D80" s="596">
        <f t="shared" si="13"/>
        <v>0</v>
      </c>
      <c r="E80" s="596">
        <f>E81</f>
        <v>0</v>
      </c>
      <c r="F80" s="596">
        <f t="shared" ref="F80:N80" si="17">F81</f>
        <v>0</v>
      </c>
      <c r="G80" s="596">
        <f t="shared" si="17"/>
        <v>0</v>
      </c>
      <c r="H80" s="596">
        <f t="shared" si="17"/>
        <v>0</v>
      </c>
      <c r="I80" s="596">
        <f t="shared" si="17"/>
        <v>0</v>
      </c>
      <c r="J80" s="596">
        <f t="shared" si="17"/>
        <v>0</v>
      </c>
      <c r="K80" s="596">
        <f t="shared" si="17"/>
        <v>0</v>
      </c>
      <c r="L80" s="596">
        <f t="shared" si="17"/>
        <v>0</v>
      </c>
      <c r="M80" s="596">
        <f t="shared" si="17"/>
        <v>0</v>
      </c>
      <c r="N80" s="596">
        <f t="shared" si="17"/>
        <v>0</v>
      </c>
    </row>
    <row r="81" spans="1:14" ht="47.25" x14ac:dyDescent="0.2">
      <c r="A81" s="575" t="s">
        <v>1006</v>
      </c>
      <c r="B81" s="574">
        <v>252</v>
      </c>
      <c r="C81" s="574">
        <v>831</v>
      </c>
      <c r="D81" s="577">
        <f t="shared" si="13"/>
        <v>0</v>
      </c>
      <c r="E81" s="577"/>
      <c r="F81" s="577"/>
      <c r="G81" s="577"/>
      <c r="H81" s="577"/>
      <c r="I81" s="577"/>
      <c r="J81" s="577"/>
      <c r="K81" s="577"/>
      <c r="L81" s="577"/>
      <c r="M81" s="577"/>
      <c r="N81" s="577"/>
    </row>
    <row r="82" spans="1:14" s="589" customFormat="1" ht="18.75" x14ac:dyDescent="0.2">
      <c r="A82" s="585" t="s">
        <v>1007</v>
      </c>
      <c r="B82" s="594">
        <v>2600</v>
      </c>
      <c r="C82" s="594" t="s">
        <v>859</v>
      </c>
      <c r="D82" s="596">
        <f t="shared" si="13"/>
        <v>7703830.6200000001</v>
      </c>
      <c r="E82" s="596">
        <f>E83+E84+E85+E86</f>
        <v>3967067.09</v>
      </c>
      <c r="F82" s="596">
        <f t="shared" ref="F82:N82" si="18">F83+F84+F85+F86</f>
        <v>0</v>
      </c>
      <c r="G82" s="596">
        <f t="shared" si="18"/>
        <v>0</v>
      </c>
      <c r="H82" s="596">
        <f t="shared" si="18"/>
        <v>0</v>
      </c>
      <c r="I82" s="596">
        <f t="shared" si="18"/>
        <v>136200</v>
      </c>
      <c r="J82" s="596">
        <f t="shared" si="18"/>
        <v>0</v>
      </c>
      <c r="K82" s="596">
        <f t="shared" si="18"/>
        <v>0</v>
      </c>
      <c r="L82" s="596">
        <f t="shared" si="18"/>
        <v>0</v>
      </c>
      <c r="M82" s="596">
        <f t="shared" si="18"/>
        <v>2753825.38</v>
      </c>
      <c r="N82" s="596">
        <f t="shared" si="18"/>
        <v>846738.15</v>
      </c>
    </row>
    <row r="83" spans="1:14" ht="47.25" x14ac:dyDescent="0.2">
      <c r="A83" s="575" t="s">
        <v>1008</v>
      </c>
      <c r="B83" s="574">
        <v>2610</v>
      </c>
      <c r="C83" s="574">
        <v>241</v>
      </c>
      <c r="D83" s="577">
        <f t="shared" si="13"/>
        <v>0</v>
      </c>
      <c r="E83" s="577"/>
      <c r="F83" s="577"/>
      <c r="G83" s="577"/>
      <c r="H83" s="577"/>
      <c r="I83" s="577"/>
      <c r="J83" s="577"/>
      <c r="K83" s="577"/>
      <c r="L83" s="577"/>
      <c r="M83" s="577"/>
      <c r="N83" s="577"/>
    </row>
    <row r="84" spans="1:14" ht="31.5" x14ac:dyDescent="0.2">
      <c r="A84" s="575" t="s">
        <v>1009</v>
      </c>
      <c r="B84" s="574">
        <v>2620</v>
      </c>
      <c r="C84" s="574">
        <v>242</v>
      </c>
      <c r="D84" s="577">
        <f t="shared" si="13"/>
        <v>0</v>
      </c>
      <c r="E84" s="577"/>
      <c r="F84" s="577"/>
      <c r="G84" s="577"/>
      <c r="H84" s="577"/>
      <c r="I84" s="577"/>
      <c r="J84" s="577"/>
      <c r="K84" s="577"/>
      <c r="L84" s="577"/>
      <c r="M84" s="577"/>
      <c r="N84" s="577"/>
    </row>
    <row r="85" spans="1:14" ht="31.5" x14ac:dyDescent="0.2">
      <c r="A85" s="575" t="s">
        <v>1010</v>
      </c>
      <c r="B85" s="574">
        <v>2630</v>
      </c>
      <c r="C85" s="574">
        <v>243</v>
      </c>
      <c r="D85" s="577">
        <f t="shared" si="13"/>
        <v>0</v>
      </c>
      <c r="E85" s="577"/>
      <c r="F85" s="577"/>
      <c r="G85" s="577"/>
      <c r="H85" s="577"/>
      <c r="I85" s="577"/>
      <c r="J85" s="577"/>
      <c r="K85" s="577"/>
      <c r="L85" s="577"/>
      <c r="M85" s="577"/>
      <c r="N85" s="577"/>
    </row>
    <row r="86" spans="1:14" x14ac:dyDescent="0.2">
      <c r="A86" s="575" t="s">
        <v>1011</v>
      </c>
      <c r="B86" s="574">
        <v>2640</v>
      </c>
      <c r="C86" s="574">
        <v>244</v>
      </c>
      <c r="D86" s="577">
        <f t="shared" si="13"/>
        <v>7703830.6200000001</v>
      </c>
      <c r="E86" s="577">
        <f>'субс РК КВР 244 (01.01.20)'!C10+35767.09</f>
        <v>3967067.09</v>
      </c>
      <c r="F86" s="577">
        <f>'субс РТ КВР 244 (01.01.20)'!C10</f>
        <v>0</v>
      </c>
      <c r="G86" s="577"/>
      <c r="H86" s="577"/>
      <c r="I86" s="577">
        <f>'ОД КВР 244 (13.04.20)'!C33</f>
        <v>136200</v>
      </c>
      <c r="J86" s="577">
        <f>'75 лет КВР 244 (01.01.20)'!C10</f>
        <v>0</v>
      </c>
      <c r="K86" s="577"/>
      <c r="L86" s="577">
        <f>L88</f>
        <v>0</v>
      </c>
      <c r="M86" s="577">
        <f>'внеб КВР 244'!C10+165825.38</f>
        <v>2753825.38</v>
      </c>
      <c r="N86" s="577">
        <f>'безв.пост. КВР 244 '!C30+9231.15</f>
        <v>846738.15</v>
      </c>
    </row>
    <row r="87" spans="1:14" x14ac:dyDescent="0.2">
      <c r="A87" s="575" t="s">
        <v>800</v>
      </c>
      <c r="B87" s="574"/>
      <c r="C87" s="574"/>
      <c r="D87" s="577"/>
      <c r="E87" s="577"/>
      <c r="F87" s="577"/>
      <c r="G87" s="577"/>
      <c r="H87" s="577"/>
      <c r="I87" s="577"/>
      <c r="J87" s="577"/>
      <c r="K87" s="577"/>
      <c r="L87" s="577"/>
      <c r="M87" s="577"/>
      <c r="N87" s="577"/>
    </row>
    <row r="88" spans="1:14" ht="31.5" x14ac:dyDescent="0.2">
      <c r="A88" s="575" t="s">
        <v>1012</v>
      </c>
      <c r="B88" s="574">
        <v>2650</v>
      </c>
      <c r="C88" s="574">
        <v>400</v>
      </c>
      <c r="D88" s="577">
        <f>SUM(E88:N88)</f>
        <v>1160600</v>
      </c>
      <c r="E88" s="577">
        <f>'субс РК КВР 244 (01.01.20)'!C28</f>
        <v>0</v>
      </c>
      <c r="F88" s="577"/>
      <c r="G88" s="577"/>
      <c r="H88" s="577"/>
      <c r="I88" s="577"/>
      <c r="J88" s="577">
        <f>'75 лет КВР 244 (01.01.20)'!C28</f>
        <v>0</v>
      </c>
      <c r="K88" s="577"/>
      <c r="L88" s="577">
        <f>'(81600) КВР 244 (01.01.20)'!C10</f>
        <v>0</v>
      </c>
      <c r="M88" s="577">
        <f>'внеб КВР 244'!C26</f>
        <v>999600</v>
      </c>
      <c r="N88" s="577">
        <f>'безв.пост. КВР 244 '!C26</f>
        <v>161000</v>
      </c>
    </row>
    <row r="89" spans="1:14" ht="55.5" customHeight="1" x14ac:dyDescent="0.2">
      <c r="A89" s="617" t="s">
        <v>1013</v>
      </c>
      <c r="B89" s="574">
        <v>2651</v>
      </c>
      <c r="C89" s="574">
        <v>406</v>
      </c>
      <c r="D89" s="577"/>
      <c r="E89" s="577"/>
      <c r="F89" s="577"/>
      <c r="G89" s="577"/>
      <c r="H89" s="577"/>
      <c r="I89" s="577"/>
      <c r="J89" s="577"/>
      <c r="K89" s="577"/>
      <c r="L89" s="577"/>
      <c r="M89" s="577"/>
      <c r="N89" s="577"/>
    </row>
    <row r="90" spans="1:14" ht="31.5" x14ac:dyDescent="0.2">
      <c r="A90" s="575" t="s">
        <v>1014</v>
      </c>
      <c r="B90" s="574">
        <v>2652</v>
      </c>
      <c r="C90" s="574">
        <v>407</v>
      </c>
      <c r="D90" s="577"/>
      <c r="E90" s="577"/>
      <c r="F90" s="577"/>
      <c r="G90" s="577"/>
      <c r="H90" s="577"/>
      <c r="I90" s="577"/>
      <c r="J90" s="577"/>
      <c r="K90" s="577"/>
      <c r="L90" s="577"/>
      <c r="M90" s="577"/>
      <c r="N90" s="577"/>
    </row>
    <row r="91" spans="1:14" s="589" customFormat="1" ht="30.75" customHeight="1" x14ac:dyDescent="0.2">
      <c r="A91" s="585" t="s">
        <v>1015</v>
      </c>
      <c r="B91" s="594">
        <v>3000</v>
      </c>
      <c r="C91" s="594">
        <v>100</v>
      </c>
      <c r="D91" s="596">
        <f t="shared" ref="D91:D96" si="19">SUM(E91:N91)</f>
        <v>0</v>
      </c>
      <c r="E91" s="596">
        <f>E92+E93+E94</f>
        <v>0</v>
      </c>
      <c r="F91" s="596">
        <f t="shared" ref="F91:N91" si="20">F92+F93+F94</f>
        <v>0</v>
      </c>
      <c r="G91" s="596">
        <f t="shared" si="20"/>
        <v>0</v>
      </c>
      <c r="H91" s="596">
        <f t="shared" si="20"/>
        <v>0</v>
      </c>
      <c r="I91" s="596">
        <f t="shared" si="20"/>
        <v>0</v>
      </c>
      <c r="J91" s="596">
        <f t="shared" si="20"/>
        <v>0</v>
      </c>
      <c r="K91" s="596">
        <f t="shared" si="20"/>
        <v>0</v>
      </c>
      <c r="L91" s="596">
        <f t="shared" si="20"/>
        <v>0</v>
      </c>
      <c r="M91" s="596">
        <f t="shared" si="20"/>
        <v>0</v>
      </c>
      <c r="N91" s="596">
        <f t="shared" si="20"/>
        <v>0</v>
      </c>
    </row>
    <row r="92" spans="1:14" ht="44.25" customHeight="1" x14ac:dyDescent="0.2">
      <c r="A92" s="575" t="s">
        <v>1016</v>
      </c>
      <c r="B92" s="574">
        <v>3010</v>
      </c>
      <c r="C92" s="574"/>
      <c r="D92" s="577">
        <f t="shared" si="19"/>
        <v>0</v>
      </c>
      <c r="E92" s="577"/>
      <c r="F92" s="577"/>
      <c r="G92" s="577"/>
      <c r="H92" s="577"/>
      <c r="I92" s="577"/>
      <c r="J92" s="577"/>
      <c r="K92" s="577"/>
      <c r="L92" s="577"/>
      <c r="M92" s="577"/>
      <c r="N92" s="577"/>
    </row>
    <row r="93" spans="1:14" ht="43.5" customHeight="1" x14ac:dyDescent="0.2">
      <c r="A93" s="575" t="s">
        <v>1017</v>
      </c>
      <c r="B93" s="574">
        <v>3020</v>
      </c>
      <c r="C93" s="574"/>
      <c r="D93" s="577">
        <f t="shared" si="19"/>
        <v>0</v>
      </c>
      <c r="E93" s="577"/>
      <c r="F93" s="577"/>
      <c r="G93" s="577"/>
      <c r="H93" s="577"/>
      <c r="I93" s="577"/>
      <c r="J93" s="577"/>
      <c r="K93" s="577"/>
      <c r="L93" s="577"/>
      <c r="M93" s="577"/>
      <c r="N93" s="577"/>
    </row>
    <row r="94" spans="1:14" ht="15.75" customHeight="1" x14ac:dyDescent="0.2">
      <c r="A94" s="575" t="s">
        <v>1018</v>
      </c>
      <c r="B94" s="574">
        <v>3030</v>
      </c>
      <c r="C94" s="574"/>
      <c r="D94" s="577">
        <f t="shared" si="19"/>
        <v>0</v>
      </c>
      <c r="E94" s="577"/>
      <c r="F94" s="577"/>
      <c r="G94" s="577"/>
      <c r="H94" s="577"/>
      <c r="I94" s="577"/>
      <c r="J94" s="577"/>
      <c r="K94" s="577"/>
      <c r="L94" s="577"/>
      <c r="M94" s="577"/>
      <c r="N94" s="577"/>
    </row>
    <row r="95" spans="1:14" s="589" customFormat="1" ht="15.75" customHeight="1" x14ac:dyDescent="0.2">
      <c r="A95" s="585" t="s">
        <v>1019</v>
      </c>
      <c r="B95" s="594">
        <v>4000</v>
      </c>
      <c r="C95" s="594" t="s">
        <v>859</v>
      </c>
      <c r="D95" s="596">
        <f t="shared" si="19"/>
        <v>0</v>
      </c>
      <c r="E95" s="596">
        <f>E96</f>
        <v>0</v>
      </c>
      <c r="F95" s="596">
        <f t="shared" ref="F95:N95" si="21">F96</f>
        <v>0</v>
      </c>
      <c r="G95" s="596">
        <f t="shared" si="21"/>
        <v>0</v>
      </c>
      <c r="H95" s="596">
        <f t="shared" si="21"/>
        <v>0</v>
      </c>
      <c r="I95" s="596">
        <f t="shared" si="21"/>
        <v>0</v>
      </c>
      <c r="J95" s="596">
        <f t="shared" si="21"/>
        <v>0</v>
      </c>
      <c r="K95" s="596">
        <f t="shared" si="21"/>
        <v>0</v>
      </c>
      <c r="L95" s="596">
        <f t="shared" si="21"/>
        <v>0</v>
      </c>
      <c r="M95" s="596">
        <f t="shared" si="21"/>
        <v>0</v>
      </c>
      <c r="N95" s="596">
        <f t="shared" si="21"/>
        <v>0</v>
      </c>
    </row>
    <row r="96" spans="1:14" ht="32.25" customHeight="1" x14ac:dyDescent="0.2">
      <c r="A96" s="575" t="s">
        <v>1020</v>
      </c>
      <c r="B96" s="574">
        <v>4010</v>
      </c>
      <c r="C96" s="574">
        <v>610</v>
      </c>
      <c r="D96" s="577">
        <f t="shared" si="19"/>
        <v>0</v>
      </c>
      <c r="E96" s="577"/>
      <c r="F96" s="577"/>
      <c r="G96" s="577"/>
      <c r="H96" s="577"/>
      <c r="I96" s="577"/>
      <c r="J96" s="577"/>
      <c r="K96" s="577"/>
      <c r="L96" s="577"/>
      <c r="M96" s="577"/>
      <c r="N96" s="577"/>
    </row>
    <row r="97" spans="1:14" ht="15.75" customHeight="1" x14ac:dyDescent="0.2">
      <c r="A97" s="575"/>
      <c r="B97" s="574"/>
      <c r="C97" s="574"/>
      <c r="D97" s="577"/>
      <c r="E97" s="577"/>
      <c r="F97" s="577"/>
      <c r="G97" s="577"/>
      <c r="H97" s="577"/>
      <c r="I97" s="577"/>
      <c r="J97" s="577"/>
      <c r="K97" s="577"/>
      <c r="L97" s="577"/>
      <c r="M97" s="577"/>
      <c r="N97" s="577"/>
    </row>
    <row r="98" spans="1:14" s="592" customFormat="1" ht="22.5" customHeight="1" x14ac:dyDescent="0.2"/>
    <row r="102" spans="1:14" x14ac:dyDescent="0.2">
      <c r="A102" s="566" t="s">
        <v>1730</v>
      </c>
      <c r="B102" s="2272" t="s">
        <v>166</v>
      </c>
      <c r="C102" s="2272"/>
      <c r="D102" s="2272"/>
    </row>
    <row r="103" spans="1:14" x14ac:dyDescent="0.2">
      <c r="B103" s="2077"/>
    </row>
    <row r="104" spans="1:14" ht="42" customHeight="1" x14ac:dyDescent="0.2">
      <c r="B104" s="2272"/>
      <c r="C104" s="2272"/>
      <c r="D104" s="2272"/>
    </row>
    <row r="106" spans="1:14" ht="33" customHeight="1" x14ac:dyDescent="0.2"/>
    <row r="107" spans="1:14" ht="30.75" customHeight="1" x14ac:dyDescent="0.2"/>
    <row r="110" spans="1:14" ht="33.75" customHeight="1" x14ac:dyDescent="0.2"/>
    <row r="111" spans="1:14" x14ac:dyDescent="0.2">
      <c r="A111" s="2286" t="s">
        <v>1021</v>
      </c>
      <c r="B111" s="2286"/>
      <c r="C111" s="2286"/>
      <c r="D111" s="2286"/>
      <c r="E111" s="2286"/>
      <c r="F111" s="2286"/>
      <c r="G111" s="2286"/>
      <c r="H111" s="2286"/>
      <c r="I111" s="2286"/>
      <c r="J111" s="2286"/>
      <c r="K111" s="2286"/>
      <c r="L111" s="2286"/>
      <c r="M111" s="2286"/>
      <c r="N111" s="2286"/>
    </row>
    <row r="112" spans="1:14" x14ac:dyDescent="0.2">
      <c r="A112" s="2272" t="s">
        <v>1022</v>
      </c>
      <c r="B112" s="2272"/>
      <c r="C112" s="2272"/>
      <c r="D112" s="2272"/>
      <c r="E112" s="2272"/>
      <c r="F112" s="2272"/>
      <c r="G112" s="2272"/>
      <c r="H112" s="2272"/>
      <c r="I112" s="2272"/>
      <c r="J112" s="2272"/>
      <c r="K112" s="2272"/>
      <c r="L112" s="2272"/>
      <c r="M112" s="2272"/>
      <c r="N112" s="2272"/>
    </row>
    <row r="113" spans="1:14" x14ac:dyDescent="0.2">
      <c r="A113" s="2272" t="s">
        <v>1023</v>
      </c>
      <c r="B113" s="2272"/>
      <c r="C113" s="2272"/>
      <c r="D113" s="2272"/>
      <c r="E113" s="2272"/>
      <c r="F113" s="2272"/>
      <c r="G113" s="2272"/>
      <c r="H113" s="2272"/>
      <c r="I113" s="2272"/>
      <c r="J113" s="2272"/>
      <c r="K113" s="2272"/>
      <c r="L113" s="2272"/>
      <c r="M113" s="2272"/>
      <c r="N113" s="2272"/>
    </row>
    <row r="114" spans="1:14" x14ac:dyDescent="0.2">
      <c r="A114" s="2272" t="s">
        <v>1024</v>
      </c>
      <c r="B114" s="2272"/>
      <c r="C114" s="2272"/>
      <c r="D114" s="2272"/>
      <c r="E114" s="2272"/>
      <c r="F114" s="2272"/>
      <c r="G114" s="2272"/>
      <c r="H114" s="2272"/>
      <c r="I114" s="2272"/>
      <c r="J114" s="2272"/>
      <c r="K114" s="2272"/>
      <c r="L114" s="2272"/>
      <c r="M114" s="2272"/>
      <c r="N114" s="2272"/>
    </row>
    <row r="115" spans="1:14" x14ac:dyDescent="0.2">
      <c r="A115" s="2272" t="s">
        <v>1025</v>
      </c>
      <c r="B115" s="2272"/>
      <c r="C115" s="2272"/>
      <c r="D115" s="2272"/>
      <c r="E115" s="2272"/>
      <c r="F115" s="2272"/>
      <c r="G115" s="2272"/>
      <c r="H115" s="2272"/>
      <c r="I115" s="2272"/>
      <c r="J115" s="2272"/>
      <c r="K115" s="2272"/>
      <c r="L115" s="2272"/>
      <c r="M115" s="2272"/>
      <c r="N115" s="2272"/>
    </row>
    <row r="116" spans="1:14" x14ac:dyDescent="0.2">
      <c r="A116" s="2272" t="s">
        <v>1026</v>
      </c>
      <c r="B116" s="2272"/>
      <c r="C116" s="2272"/>
      <c r="D116" s="2272"/>
      <c r="E116" s="2272"/>
      <c r="F116" s="2272"/>
      <c r="G116" s="2272"/>
      <c r="H116" s="2272"/>
      <c r="I116" s="2272"/>
      <c r="J116" s="2272"/>
      <c r="K116" s="2272"/>
      <c r="L116" s="2272"/>
      <c r="M116" s="2272"/>
      <c r="N116" s="2272"/>
    </row>
    <row r="117" spans="1:14" x14ac:dyDescent="0.2">
      <c r="A117" s="2285" t="s">
        <v>1027</v>
      </c>
      <c r="B117" s="2285"/>
      <c r="C117" s="2285"/>
      <c r="D117" s="2285"/>
      <c r="E117" s="2285"/>
      <c r="F117" s="2285"/>
      <c r="G117" s="2285"/>
      <c r="H117" s="2285"/>
      <c r="I117" s="2285"/>
      <c r="J117" s="2285"/>
      <c r="K117" s="2285"/>
      <c r="L117" s="2285"/>
      <c r="M117" s="2285"/>
      <c r="N117" s="2285"/>
    </row>
    <row r="118" spans="1:14" x14ac:dyDescent="0.2">
      <c r="A118" s="2272" t="s">
        <v>1028</v>
      </c>
      <c r="B118" s="2272"/>
      <c r="C118" s="2272"/>
      <c r="D118" s="2272"/>
      <c r="E118" s="2272"/>
      <c r="F118" s="2272"/>
      <c r="G118" s="2272"/>
      <c r="H118" s="2272"/>
      <c r="I118" s="2272"/>
      <c r="J118" s="2272"/>
      <c r="K118" s="2272"/>
      <c r="L118" s="2272"/>
      <c r="M118" s="2272"/>
      <c r="N118" s="2272"/>
    </row>
    <row r="119" spans="1:14" x14ac:dyDescent="0.2">
      <c r="A119" s="2285" t="s">
        <v>1029</v>
      </c>
      <c r="B119" s="2285"/>
      <c r="C119" s="2285"/>
      <c r="D119" s="2285"/>
      <c r="E119" s="2285"/>
      <c r="F119" s="2285"/>
      <c r="G119" s="2285"/>
      <c r="H119" s="2285"/>
      <c r="I119" s="2285"/>
      <c r="J119" s="2285"/>
      <c r="K119" s="2285"/>
      <c r="L119" s="2285"/>
      <c r="M119" s="2285"/>
      <c r="N119" s="2285"/>
    </row>
    <row r="120" spans="1:14" x14ac:dyDescent="0.2">
      <c r="A120" s="2285" t="s">
        <v>1030</v>
      </c>
      <c r="B120" s="2285"/>
      <c r="C120" s="2285"/>
      <c r="D120" s="2285"/>
      <c r="E120" s="2285"/>
      <c r="F120" s="2285"/>
      <c r="G120" s="2285"/>
      <c r="H120" s="2285"/>
      <c r="I120" s="2285"/>
      <c r="J120" s="2285"/>
      <c r="K120" s="2285"/>
      <c r="L120" s="2285"/>
      <c r="M120" s="2285"/>
      <c r="N120" s="2285"/>
    </row>
    <row r="121" spans="1:14" x14ac:dyDescent="0.2">
      <c r="A121" s="2272" t="s">
        <v>1031</v>
      </c>
      <c r="B121" s="2272"/>
      <c r="C121" s="2272"/>
      <c r="D121" s="2272"/>
      <c r="E121" s="2272"/>
      <c r="F121" s="2272"/>
      <c r="G121" s="2272"/>
      <c r="H121" s="2272"/>
      <c r="I121" s="2272"/>
      <c r="J121" s="2272"/>
      <c r="K121" s="2272"/>
      <c r="L121" s="2272"/>
      <c r="M121" s="2272"/>
      <c r="N121" s="2272"/>
    </row>
    <row r="122" spans="1:14" x14ac:dyDescent="0.2">
      <c r="A122" s="2272" t="s">
        <v>1032</v>
      </c>
      <c r="B122" s="2272"/>
      <c r="C122" s="2272"/>
      <c r="D122" s="2272"/>
      <c r="E122" s="2272"/>
      <c r="F122" s="2272"/>
      <c r="G122" s="2272"/>
      <c r="H122" s="2272"/>
      <c r="I122" s="2272"/>
      <c r="J122" s="2272"/>
      <c r="K122" s="2272"/>
      <c r="L122" s="2272"/>
      <c r="M122" s="2272"/>
      <c r="N122" s="2272"/>
    </row>
    <row r="123" spans="1:14" x14ac:dyDescent="0.2">
      <c r="A123" s="2285" t="s">
        <v>1033</v>
      </c>
      <c r="B123" s="2285"/>
      <c r="C123" s="2285"/>
      <c r="D123" s="2285"/>
      <c r="E123" s="2285"/>
      <c r="F123" s="2285"/>
      <c r="G123" s="2285"/>
      <c r="H123" s="2285"/>
      <c r="I123" s="2285"/>
      <c r="J123" s="2285"/>
      <c r="K123" s="2285"/>
      <c r="L123" s="2285"/>
      <c r="M123" s="2285"/>
      <c r="N123" s="2285"/>
    </row>
  </sheetData>
  <mergeCells count="34">
    <mergeCell ref="A118:N118"/>
    <mergeCell ref="A119:N119"/>
    <mergeCell ref="B104:D104"/>
    <mergeCell ref="A114:N114"/>
    <mergeCell ref="A123:N123"/>
    <mergeCell ref="A120:N120"/>
    <mergeCell ref="A121:N121"/>
    <mergeCell ref="A122:N122"/>
    <mergeCell ref="A117:N117"/>
    <mergeCell ref="A111:N111"/>
    <mergeCell ref="A112:N112"/>
    <mergeCell ref="A115:N115"/>
    <mergeCell ref="A116:N116"/>
    <mergeCell ref="B102:D102"/>
    <mergeCell ref="A113:N113"/>
    <mergeCell ref="L17:M17"/>
    <mergeCell ref="L18:M18"/>
    <mergeCell ref="A26:N26"/>
    <mergeCell ref="A27:A30"/>
    <mergeCell ref="B27:B30"/>
    <mergeCell ref="C27:C30"/>
    <mergeCell ref="D27:N27"/>
    <mergeCell ref="D28:N28"/>
    <mergeCell ref="D29:N29"/>
    <mergeCell ref="J10:N10"/>
    <mergeCell ref="A12:N12"/>
    <mergeCell ref="A13:N13"/>
    <mergeCell ref="A14:N14"/>
    <mergeCell ref="E15:I15"/>
    <mergeCell ref="J2:N2"/>
    <mergeCell ref="J5:N5"/>
    <mergeCell ref="J4:N4"/>
    <mergeCell ref="J6:N6"/>
    <mergeCell ref="M8:N8"/>
  </mergeCells>
  <printOptions horizontalCentered="1"/>
  <pageMargins left="0.19685039370078741" right="0.15748031496062992" top="0.23622047244094491" bottom="0.31496062992125984" header="0.27559055118110237" footer="0"/>
  <pageSetup paperSize="9" scale="22" fitToHeight="2" orientation="landscape" r:id="rId1"/>
  <headerFooter alignWithMargins="0"/>
  <rowBreaks count="1" manualBreakCount="1">
    <brk id="68" max="1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FFFF"/>
  </sheetPr>
  <dimension ref="A1:F22"/>
  <sheetViews>
    <sheetView view="pageBreakPreview" zoomScale="80" zoomScaleNormal="100" zoomScaleSheetLayoutView="80" workbookViewId="0">
      <selection activeCell="C9" sqref="C9"/>
    </sheetView>
  </sheetViews>
  <sheetFormatPr defaultRowHeight="39.75" customHeight="1" x14ac:dyDescent="0.25"/>
  <cols>
    <col min="1" max="1" width="81.33203125" style="365" customWidth="1"/>
    <col min="2" max="2" width="10" style="365" customWidth="1"/>
    <col min="3" max="5" width="25.83203125" style="365" customWidth="1"/>
    <col min="6" max="16384" width="9.33203125" style="365"/>
  </cols>
  <sheetData>
    <row r="1" spans="1:6" ht="39.75" customHeight="1" x14ac:dyDescent="0.25">
      <c r="A1" s="2509" t="s">
        <v>921</v>
      </c>
      <c r="B1" s="2509"/>
      <c r="C1" s="2509"/>
      <c r="D1" s="2509"/>
      <c r="E1" s="2509"/>
    </row>
    <row r="2" spans="1:6" ht="39.75" customHeight="1" x14ac:dyDescent="0.25">
      <c r="A2" s="2509" t="s">
        <v>1253</v>
      </c>
      <c r="B2" s="2509"/>
      <c r="C2" s="2509"/>
      <c r="D2" s="2509"/>
      <c r="E2" s="2509"/>
    </row>
    <row r="3" spans="1:6" ht="13.5" customHeight="1" x14ac:dyDescent="0.25">
      <c r="A3" s="377"/>
      <c r="B3" s="377"/>
      <c r="C3" s="377"/>
      <c r="D3" s="377"/>
      <c r="E3" s="367">
        <v>43829</v>
      </c>
    </row>
    <row r="4" spans="1:6" ht="39.75" customHeight="1" x14ac:dyDescent="0.25">
      <c r="A4" s="2454" t="s">
        <v>416</v>
      </c>
      <c r="B4" s="2454" t="s">
        <v>417</v>
      </c>
      <c r="C4" s="2454" t="s">
        <v>418</v>
      </c>
      <c r="D4" s="2454"/>
      <c r="E4" s="2454"/>
    </row>
    <row r="5" spans="1:6" ht="39.75" customHeight="1" x14ac:dyDescent="0.25">
      <c r="A5" s="2454"/>
      <c r="B5" s="2454"/>
      <c r="C5" s="378" t="s">
        <v>428</v>
      </c>
      <c r="D5" s="378" t="s">
        <v>429</v>
      </c>
      <c r="E5" s="378" t="s">
        <v>430</v>
      </c>
    </row>
    <row r="6" spans="1:6" ht="39.75" customHeight="1" x14ac:dyDescent="0.25">
      <c r="A6" s="2454"/>
      <c r="B6" s="2454"/>
      <c r="C6" s="378" t="s">
        <v>419</v>
      </c>
      <c r="D6" s="378" t="s">
        <v>420</v>
      </c>
      <c r="E6" s="378" t="s">
        <v>421</v>
      </c>
    </row>
    <row r="7" spans="1:6" ht="16.5" customHeight="1" x14ac:dyDescent="0.25">
      <c r="A7" s="378">
        <v>1</v>
      </c>
      <c r="B7" s="378">
        <v>2</v>
      </c>
      <c r="C7" s="378">
        <v>3</v>
      </c>
      <c r="D7" s="378">
        <v>4</v>
      </c>
      <c r="E7" s="378">
        <v>5</v>
      </c>
    </row>
    <row r="8" spans="1:6" ht="48.75" customHeight="1" x14ac:dyDescent="0.25">
      <c r="A8" s="369" t="s">
        <v>502</v>
      </c>
      <c r="B8" s="378">
        <v>100</v>
      </c>
      <c r="C8" s="370"/>
      <c r="D8" s="370"/>
      <c r="E8" s="370"/>
    </row>
    <row r="9" spans="1:6" ht="44.25" customHeight="1" x14ac:dyDescent="0.25">
      <c r="A9" s="369" t="s">
        <v>423</v>
      </c>
      <c r="B9" s="378">
        <v>200</v>
      </c>
      <c r="C9" s="370">
        <v>60000</v>
      </c>
      <c r="D9" s="370"/>
      <c r="E9" s="370"/>
    </row>
    <row r="10" spans="1:6" ht="33.75" customHeight="1" x14ac:dyDescent="0.25">
      <c r="A10" s="369" t="s">
        <v>493</v>
      </c>
      <c r="B10" s="378">
        <v>300</v>
      </c>
      <c r="C10" s="370">
        <f>SUM(C11:C19)</f>
        <v>760500</v>
      </c>
      <c r="D10" s="370">
        <f t="shared" ref="D10:E10" si="0">SUM(D11:D19)</f>
        <v>760500</v>
      </c>
      <c r="E10" s="370">
        <f t="shared" si="0"/>
        <v>760500</v>
      </c>
    </row>
    <row r="11" spans="1:6" ht="43.5" customHeight="1" x14ac:dyDescent="0.25">
      <c r="A11" s="369" t="s">
        <v>494</v>
      </c>
      <c r="B11" s="378">
        <v>301</v>
      </c>
      <c r="C11" s="370"/>
      <c r="D11" s="370"/>
      <c r="E11" s="370"/>
      <c r="F11" s="365" t="s">
        <v>511</v>
      </c>
    </row>
    <row r="12" spans="1:6" ht="17.25" customHeight="1" x14ac:dyDescent="0.25">
      <c r="A12" s="369" t="s">
        <v>495</v>
      </c>
      <c r="B12" s="378">
        <v>302</v>
      </c>
      <c r="C12" s="370">
        <f>'б-т 991,992,911 (14.02.20)-2020'!S26*1000</f>
        <v>760500</v>
      </c>
      <c r="D12" s="370">
        <f>'б-т 991,992,911 (01.01.20)-2021'!S26*1000</f>
        <v>760500</v>
      </c>
      <c r="E12" s="370">
        <f>'б-т 991,992,911 (01.01.20)-2022'!S26*1000</f>
        <v>760500</v>
      </c>
      <c r="F12" s="375">
        <v>911</v>
      </c>
    </row>
    <row r="13" spans="1:6" ht="22.5" customHeight="1" x14ac:dyDescent="0.25">
      <c r="A13" s="369" t="s">
        <v>496</v>
      </c>
      <c r="B13" s="378">
        <v>303</v>
      </c>
      <c r="C13" s="370"/>
      <c r="D13" s="370"/>
      <c r="E13" s="370"/>
      <c r="F13" s="375" t="s">
        <v>505</v>
      </c>
    </row>
    <row r="14" spans="1:6" ht="57" customHeight="1" x14ac:dyDescent="0.25">
      <c r="A14" s="369" t="s">
        <v>497</v>
      </c>
      <c r="B14" s="378">
        <v>304</v>
      </c>
      <c r="C14" s="370"/>
      <c r="D14" s="370"/>
      <c r="E14" s="370"/>
      <c r="F14" s="375" t="s">
        <v>506</v>
      </c>
    </row>
    <row r="15" spans="1:6" ht="18.75" customHeight="1" x14ac:dyDescent="0.25">
      <c r="A15" s="369" t="s">
        <v>498</v>
      </c>
      <c r="B15" s="378">
        <v>305</v>
      </c>
      <c r="C15" s="370"/>
      <c r="D15" s="370"/>
      <c r="E15" s="370"/>
      <c r="F15" s="375" t="s">
        <v>507</v>
      </c>
    </row>
    <row r="16" spans="1:6" ht="24" customHeight="1" x14ac:dyDescent="0.25">
      <c r="A16" s="369" t="s">
        <v>499</v>
      </c>
      <c r="B16" s="378">
        <v>306</v>
      </c>
      <c r="C16" s="370"/>
      <c r="D16" s="370"/>
      <c r="E16" s="370"/>
      <c r="F16" s="375" t="s">
        <v>508</v>
      </c>
    </row>
    <row r="17" spans="1:6" ht="61.5" customHeight="1" x14ac:dyDescent="0.25">
      <c r="A17" s="369" t="s">
        <v>497</v>
      </c>
      <c r="B17" s="378">
        <v>307</v>
      </c>
      <c r="C17" s="370"/>
      <c r="D17" s="370"/>
      <c r="E17" s="370"/>
      <c r="F17" s="375" t="s">
        <v>506</v>
      </c>
    </row>
    <row r="18" spans="1:6" ht="31.5" customHeight="1" x14ac:dyDescent="0.25">
      <c r="A18" s="369" t="s">
        <v>500</v>
      </c>
      <c r="B18" s="378">
        <v>308</v>
      </c>
      <c r="C18" s="370"/>
      <c r="D18" s="370"/>
      <c r="E18" s="370"/>
      <c r="F18" s="375" t="s">
        <v>509</v>
      </c>
    </row>
    <row r="19" spans="1:6" ht="21.75" customHeight="1" x14ac:dyDescent="0.25">
      <c r="A19" s="369" t="s">
        <v>501</v>
      </c>
      <c r="B19" s="378">
        <v>309</v>
      </c>
      <c r="C19" s="370"/>
      <c r="D19" s="370"/>
      <c r="E19" s="370"/>
      <c r="F19" s="375" t="s">
        <v>510</v>
      </c>
    </row>
    <row r="20" spans="1:6" ht="28.5" customHeight="1" x14ac:dyDescent="0.25">
      <c r="A20" s="369" t="s">
        <v>503</v>
      </c>
      <c r="B20" s="378">
        <v>400</v>
      </c>
      <c r="C20" s="370"/>
      <c r="D20" s="370"/>
      <c r="E20" s="370"/>
    </row>
    <row r="21" spans="1:6" ht="30.75" customHeight="1" x14ac:dyDescent="0.25">
      <c r="A21" s="369" t="s">
        <v>426</v>
      </c>
      <c r="B21" s="378">
        <v>500</v>
      </c>
      <c r="C21" s="370"/>
      <c r="D21" s="370"/>
      <c r="E21" s="370"/>
    </row>
    <row r="22" spans="1:6" s="374" customFormat="1" ht="39.75" customHeight="1" x14ac:dyDescent="0.2">
      <c r="A22" s="371" t="s">
        <v>504</v>
      </c>
      <c r="B22" s="372">
        <v>600</v>
      </c>
      <c r="C22" s="373">
        <f>C8-C9+C10-C20+C21</f>
        <v>700500</v>
      </c>
      <c r="D22" s="373">
        <f t="shared" ref="D22:E22" si="1">D8-D9+D10-D20+D21</f>
        <v>760500</v>
      </c>
      <c r="E22" s="373">
        <f t="shared" si="1"/>
        <v>760500</v>
      </c>
    </row>
  </sheetData>
  <mergeCells count="5">
    <mergeCell ref="A1:E1"/>
    <mergeCell ref="A2:E2"/>
    <mergeCell ref="A4:A6"/>
    <mergeCell ref="B4:B6"/>
    <mergeCell ref="C4:E4"/>
  </mergeCells>
  <pageMargins left="0.7" right="0.7" top="0.75" bottom="0.75" header="0.3" footer="0.3"/>
  <pageSetup paperSize="9" scale="56"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FFFF"/>
  </sheetPr>
  <dimension ref="A1:F17"/>
  <sheetViews>
    <sheetView view="pageBreakPreview" topLeftCell="A4" zoomScale="80" zoomScaleNormal="100" zoomScaleSheetLayoutView="80" workbookViewId="0">
      <selection activeCell="C4" sqref="C4:E4"/>
    </sheetView>
  </sheetViews>
  <sheetFormatPr defaultRowHeight="39.75" customHeight="1" x14ac:dyDescent="0.25"/>
  <cols>
    <col min="1" max="1" width="81.33203125" style="313" customWidth="1"/>
    <col min="2" max="2" width="10" style="313" customWidth="1"/>
    <col min="3" max="5" width="25.83203125" style="313" customWidth="1"/>
    <col min="6" max="16384" width="9.33203125" style="313"/>
  </cols>
  <sheetData>
    <row r="1" spans="1:6" ht="55.5" customHeight="1" x14ac:dyDescent="0.25">
      <c r="A1" s="2584" t="s">
        <v>922</v>
      </c>
      <c r="B1" s="2584"/>
      <c r="C1" s="2584"/>
      <c r="D1" s="2584"/>
      <c r="E1" s="2584"/>
    </row>
    <row r="2" spans="1:6" ht="34.5" customHeight="1" x14ac:dyDescent="0.25">
      <c r="A2" s="2584" t="s">
        <v>1253</v>
      </c>
      <c r="B2" s="2584"/>
      <c r="C2" s="2584"/>
      <c r="D2" s="2584"/>
      <c r="E2" s="2584"/>
    </row>
    <row r="3" spans="1:6" ht="13.5" customHeight="1" x14ac:dyDescent="0.25">
      <c r="A3" s="379"/>
      <c r="B3" s="379"/>
      <c r="C3" s="379"/>
      <c r="D3" s="379"/>
      <c r="E3" s="320">
        <v>43829</v>
      </c>
    </row>
    <row r="4" spans="1:6" ht="39.75" customHeight="1" x14ac:dyDescent="0.25">
      <c r="A4" s="2585" t="s">
        <v>416</v>
      </c>
      <c r="B4" s="2585" t="s">
        <v>417</v>
      </c>
      <c r="C4" s="2585" t="s">
        <v>418</v>
      </c>
      <c r="D4" s="2585"/>
      <c r="E4" s="2585"/>
    </row>
    <row r="5" spans="1:6" ht="39.75" customHeight="1" x14ac:dyDescent="0.25">
      <c r="A5" s="2585"/>
      <c r="B5" s="2585"/>
      <c r="C5" s="380" t="s">
        <v>428</v>
      </c>
      <c r="D5" s="380" t="s">
        <v>429</v>
      </c>
      <c r="E5" s="380" t="s">
        <v>430</v>
      </c>
    </row>
    <row r="6" spans="1:6" ht="39.75" customHeight="1" x14ac:dyDescent="0.25">
      <c r="A6" s="2585"/>
      <c r="B6" s="2585"/>
      <c r="C6" s="380" t="s">
        <v>419</v>
      </c>
      <c r="D6" s="380" t="s">
        <v>420</v>
      </c>
      <c r="E6" s="380" t="s">
        <v>421</v>
      </c>
    </row>
    <row r="7" spans="1:6" ht="16.5" customHeight="1" x14ac:dyDescent="0.25">
      <c r="A7" s="380">
        <v>1</v>
      </c>
      <c r="B7" s="380">
        <v>2</v>
      </c>
      <c r="C7" s="380">
        <v>3</v>
      </c>
      <c r="D7" s="380">
        <v>4</v>
      </c>
      <c r="E7" s="380">
        <v>5</v>
      </c>
    </row>
    <row r="8" spans="1:6" ht="20.25" customHeight="1" x14ac:dyDescent="0.25">
      <c r="A8" s="364" t="s">
        <v>539</v>
      </c>
      <c r="B8" s="380">
        <v>100</v>
      </c>
      <c r="C8" s="556"/>
      <c r="D8" s="556"/>
      <c r="E8" s="556"/>
    </row>
    <row r="9" spans="1:6" ht="20.25" customHeight="1" x14ac:dyDescent="0.25">
      <c r="A9" s="364" t="s">
        <v>540</v>
      </c>
      <c r="B9" s="380">
        <v>200</v>
      </c>
      <c r="C9" s="556"/>
      <c r="D9" s="556"/>
      <c r="E9" s="556"/>
    </row>
    <row r="10" spans="1:6" s="555" customFormat="1" ht="30.75" customHeight="1" x14ac:dyDescent="0.25">
      <c r="A10" s="553" t="s">
        <v>541</v>
      </c>
      <c r="B10" s="554">
        <v>300</v>
      </c>
      <c r="C10" s="557">
        <f>C11+C12+C13+C14</f>
        <v>100000</v>
      </c>
      <c r="D10" s="557">
        <f t="shared" ref="D10:E10" si="0">D11+D12+D13+D14</f>
        <v>0</v>
      </c>
      <c r="E10" s="557">
        <f t="shared" si="0"/>
        <v>0</v>
      </c>
    </row>
    <row r="11" spans="1:6" ht="30.75" customHeight="1" x14ac:dyDescent="0.25">
      <c r="A11" s="364" t="s">
        <v>542</v>
      </c>
      <c r="B11" s="380">
        <v>301</v>
      </c>
      <c r="C11" s="556"/>
      <c r="D11" s="556"/>
      <c r="E11" s="556"/>
    </row>
    <row r="12" spans="1:6" ht="20.25" customHeight="1" x14ac:dyDescent="0.25">
      <c r="A12" s="364" t="s">
        <v>543</v>
      </c>
      <c r="B12" s="380">
        <v>302</v>
      </c>
      <c r="C12" s="556"/>
      <c r="D12" s="556"/>
      <c r="E12" s="556"/>
    </row>
    <row r="13" spans="1:6" ht="30.75" customHeight="1" x14ac:dyDescent="0.25">
      <c r="A13" s="364" t="s">
        <v>544</v>
      </c>
      <c r="B13" s="380">
        <v>303</v>
      </c>
      <c r="C13" s="556"/>
      <c r="D13" s="556"/>
      <c r="E13" s="556"/>
    </row>
    <row r="14" spans="1:6" ht="30.75" customHeight="1" x14ac:dyDescent="0.25">
      <c r="A14" s="364" t="s">
        <v>545</v>
      </c>
      <c r="B14" s="380">
        <v>304</v>
      </c>
      <c r="C14" s="558">
        <f>'иные 212 (917) 2020'!N15*1000</f>
        <v>100000</v>
      </c>
      <c r="D14" s="558"/>
      <c r="E14" s="558"/>
      <c r="F14" s="313">
        <v>917</v>
      </c>
    </row>
    <row r="15" spans="1:6" ht="22.5" customHeight="1" x14ac:dyDescent="0.25">
      <c r="A15" s="364" t="s">
        <v>516</v>
      </c>
      <c r="B15" s="380">
        <v>400</v>
      </c>
      <c r="C15" s="556"/>
      <c r="D15" s="556"/>
      <c r="E15" s="556"/>
    </row>
    <row r="16" spans="1:6" ht="22.5" customHeight="1" x14ac:dyDescent="0.25">
      <c r="A16" s="364" t="s">
        <v>517</v>
      </c>
      <c r="B16" s="380">
        <v>500</v>
      </c>
      <c r="C16" s="556"/>
      <c r="D16" s="556"/>
      <c r="E16" s="556"/>
    </row>
    <row r="17" spans="1:5" s="319" customFormat="1" ht="49.5" customHeight="1" x14ac:dyDescent="0.25">
      <c r="A17" s="317" t="s">
        <v>546</v>
      </c>
      <c r="B17" s="318">
        <v>600</v>
      </c>
      <c r="C17" s="322">
        <f>C8-C9+C10-C15+C16</f>
        <v>100000</v>
      </c>
      <c r="D17" s="322">
        <f t="shared" ref="D17:E17" si="1">D8-D9+D10-D15+D16</f>
        <v>0</v>
      </c>
      <c r="E17" s="322">
        <f t="shared" si="1"/>
        <v>0</v>
      </c>
    </row>
  </sheetData>
  <mergeCells count="5">
    <mergeCell ref="A1:E1"/>
    <mergeCell ref="A2:E2"/>
    <mergeCell ref="A4:A6"/>
    <mergeCell ref="B4:B6"/>
    <mergeCell ref="C4:E4"/>
  </mergeCells>
  <pageMargins left="0.7" right="0.7" top="0.75" bottom="0.75" header="0.3" footer="0.3"/>
  <pageSetup paperSize="9" scale="5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C000"/>
  </sheetPr>
  <dimension ref="A1:HO37"/>
  <sheetViews>
    <sheetView view="pageBreakPreview" zoomScale="90" zoomScaleNormal="100" zoomScaleSheetLayoutView="90" workbookViewId="0">
      <pane xSplit="2" ySplit="13" topLeftCell="C14" activePane="bottomRight" state="frozen"/>
      <selection pane="topRight" activeCell="C1" sqref="C1"/>
      <selection pane="bottomLeft" activeCell="A14" sqref="A14"/>
      <selection pane="bottomRight" activeCell="M28" sqref="M28"/>
    </sheetView>
  </sheetViews>
  <sheetFormatPr defaultRowHeight="12.75" x14ac:dyDescent="0.2"/>
  <cols>
    <col min="1" max="1" width="7.5" style="1987" bestFit="1" customWidth="1"/>
    <col min="2" max="2" width="40.1640625" style="1988" customWidth="1"/>
    <col min="3" max="3" width="18" style="1989" customWidth="1"/>
    <col min="4" max="4" width="15.5" style="1987" customWidth="1"/>
    <col min="5" max="5" width="16.83203125" style="1987" customWidth="1"/>
    <col min="6" max="6" width="14.33203125" style="1987" customWidth="1"/>
    <col min="7" max="7" width="17.5" style="1987" customWidth="1"/>
    <col min="8" max="8" width="21.6640625" style="1987" customWidth="1"/>
    <col min="9" max="9" width="16.5" style="1987" customWidth="1"/>
    <col min="10" max="10" width="14.6640625" style="1987" bestFit="1" customWidth="1"/>
    <col min="11" max="11" width="19" style="1987" customWidth="1"/>
    <col min="12" max="13" width="16.5" style="1987" customWidth="1"/>
    <col min="14" max="14" width="16.33203125" style="1987" customWidth="1"/>
    <col min="15" max="15" width="13" style="1987" customWidth="1"/>
    <col min="16" max="16" width="20.6640625" style="1987" customWidth="1"/>
    <col min="17" max="17" width="14.5" style="1987" bestFit="1" customWidth="1"/>
    <col min="18" max="18" width="13.1640625" style="1987" customWidth="1"/>
    <col min="19" max="16384" width="9.33203125" style="1987"/>
  </cols>
  <sheetData>
    <row r="1" spans="1:223" ht="15" customHeight="1" x14ac:dyDescent="0.25">
      <c r="R1" s="1990" t="s">
        <v>1639</v>
      </c>
    </row>
    <row r="2" spans="1:223" ht="15" customHeight="1" x14ac:dyDescent="0.25">
      <c r="R2" s="1990" t="s">
        <v>323</v>
      </c>
    </row>
    <row r="3" spans="1:223" ht="15" customHeight="1" x14ac:dyDescent="0.25">
      <c r="R3" s="1990" t="s">
        <v>324</v>
      </c>
    </row>
    <row r="4" spans="1:223" ht="15" customHeight="1" x14ac:dyDescent="0.25">
      <c r="R4" s="1990" t="s">
        <v>325</v>
      </c>
    </row>
    <row r="5" spans="1:223" ht="15" customHeight="1" x14ac:dyDescent="0.25">
      <c r="R5" s="1990" t="s">
        <v>458</v>
      </c>
    </row>
    <row r="6" spans="1:223" ht="15" customHeight="1" x14ac:dyDescent="0.25">
      <c r="R6" s="1990" t="s">
        <v>459</v>
      </c>
    </row>
    <row r="7" spans="1:223" ht="15" customHeight="1" x14ac:dyDescent="0.25">
      <c r="R7" s="1990" t="s">
        <v>460</v>
      </c>
    </row>
    <row r="8" spans="1:223" ht="15.75" customHeight="1" x14ac:dyDescent="0.2">
      <c r="A8" s="2732" t="s">
        <v>1660</v>
      </c>
      <c r="B8" s="2732"/>
      <c r="C8" s="2732"/>
      <c r="D8" s="2732"/>
      <c r="E8" s="2732"/>
      <c r="F8" s="2732"/>
      <c r="G8" s="2732"/>
      <c r="H8" s="2732"/>
      <c r="I8" s="2732"/>
      <c r="J8" s="2732"/>
      <c r="K8" s="2732"/>
      <c r="L8" s="2732"/>
      <c r="M8" s="2732"/>
      <c r="N8" s="2732"/>
      <c r="O8" s="2732"/>
      <c r="P8" s="2732"/>
      <c r="Q8" s="2732"/>
      <c r="R8" s="2732"/>
    </row>
    <row r="9" spans="1:223" ht="15.75" customHeight="1" x14ac:dyDescent="0.2">
      <c r="A9" s="2733" t="s">
        <v>1253</v>
      </c>
      <c r="B9" s="2733"/>
      <c r="C9" s="2733"/>
      <c r="D9" s="2733"/>
      <c r="E9" s="2733"/>
      <c r="F9" s="2733"/>
      <c r="G9" s="2733"/>
      <c r="H9" s="2733"/>
      <c r="I9" s="2733"/>
      <c r="J9" s="2733"/>
      <c r="K9" s="2733"/>
      <c r="L9" s="2733"/>
      <c r="M9" s="2733"/>
      <c r="N9" s="2733"/>
      <c r="O9" s="2733"/>
      <c r="P9" s="2733"/>
      <c r="Q9" s="2733"/>
      <c r="R9" s="2733"/>
    </row>
    <row r="10" spans="1:223" ht="12.75" customHeight="1" x14ac:dyDescent="0.2">
      <c r="R10" s="1987" t="s">
        <v>176</v>
      </c>
    </row>
    <row r="11" spans="1:223" ht="47.25" customHeight="1" x14ac:dyDescent="0.2">
      <c r="A11" s="2725" t="s">
        <v>78</v>
      </c>
      <c r="B11" s="2735" t="s">
        <v>1640</v>
      </c>
      <c r="C11" s="2738" t="s">
        <v>461</v>
      </c>
      <c r="D11" s="2741" t="s">
        <v>462</v>
      </c>
      <c r="E11" s="2742"/>
      <c r="F11" s="2743"/>
      <c r="G11" s="2744" t="s">
        <v>232</v>
      </c>
      <c r="H11" s="2745"/>
      <c r="I11" s="2745"/>
      <c r="J11" s="2745"/>
      <c r="K11" s="2745"/>
      <c r="L11" s="2745"/>
      <c r="M11" s="2745"/>
      <c r="N11" s="2746"/>
      <c r="O11" s="2725" t="s">
        <v>1641</v>
      </c>
      <c r="P11" s="2747" t="s">
        <v>463</v>
      </c>
      <c r="Q11" s="2725" t="s">
        <v>233</v>
      </c>
      <c r="R11" s="2725" t="s">
        <v>234</v>
      </c>
    </row>
    <row r="12" spans="1:223" ht="12.75" customHeight="1" x14ac:dyDescent="0.2">
      <c r="A12" s="2734"/>
      <c r="B12" s="2736"/>
      <c r="C12" s="2739"/>
      <c r="D12" s="2738" t="s">
        <v>464</v>
      </c>
      <c r="E12" s="2738" t="s">
        <v>1642</v>
      </c>
      <c r="F12" s="2738" t="s">
        <v>466</v>
      </c>
      <c r="G12" s="2725" t="s">
        <v>1643</v>
      </c>
      <c r="H12" s="2725" t="s">
        <v>1644</v>
      </c>
      <c r="I12" s="2725" t="s">
        <v>1645</v>
      </c>
      <c r="J12" s="2725" t="s">
        <v>1646</v>
      </c>
      <c r="K12" s="2725" t="s">
        <v>1647</v>
      </c>
      <c r="L12" s="2725" t="s">
        <v>1648</v>
      </c>
      <c r="M12" s="2725" t="s">
        <v>1649</v>
      </c>
      <c r="N12" s="2725" t="s">
        <v>1650</v>
      </c>
      <c r="O12" s="2734"/>
      <c r="P12" s="2747"/>
      <c r="Q12" s="2734"/>
      <c r="R12" s="2734"/>
    </row>
    <row r="13" spans="1:223" ht="57.75" customHeight="1" x14ac:dyDescent="0.2">
      <c r="A13" s="2726"/>
      <c r="B13" s="2737"/>
      <c r="C13" s="2740"/>
      <c r="D13" s="2740"/>
      <c r="E13" s="2740"/>
      <c r="F13" s="2740"/>
      <c r="G13" s="2726"/>
      <c r="H13" s="2726"/>
      <c r="I13" s="2726"/>
      <c r="J13" s="2726"/>
      <c r="K13" s="2726"/>
      <c r="L13" s="2726"/>
      <c r="M13" s="2726"/>
      <c r="N13" s="2726"/>
      <c r="O13" s="2726"/>
      <c r="P13" s="2747"/>
      <c r="Q13" s="2726"/>
      <c r="R13" s="2726"/>
    </row>
    <row r="14" spans="1:223" ht="12.75" customHeight="1" x14ac:dyDescent="0.2">
      <c r="A14" s="1991">
        <v>1</v>
      </c>
      <c r="B14" s="1991">
        <v>2</v>
      </c>
      <c r="C14" s="1991">
        <v>3</v>
      </c>
      <c r="D14" s="1991">
        <v>4</v>
      </c>
      <c r="E14" s="1991">
        <v>5</v>
      </c>
      <c r="F14" s="1991">
        <v>6</v>
      </c>
      <c r="G14" s="1991">
        <v>7</v>
      </c>
      <c r="H14" s="1991">
        <v>8</v>
      </c>
      <c r="I14" s="1991">
        <v>9</v>
      </c>
      <c r="J14" s="1991">
        <v>10</v>
      </c>
      <c r="K14" s="1991">
        <v>11</v>
      </c>
      <c r="L14" s="1991">
        <v>12</v>
      </c>
      <c r="M14" s="1991">
        <v>13</v>
      </c>
      <c r="N14" s="1991">
        <v>14</v>
      </c>
      <c r="O14" s="1991">
        <v>15</v>
      </c>
      <c r="P14" s="1991">
        <v>16</v>
      </c>
      <c r="Q14" s="1991">
        <v>17</v>
      </c>
      <c r="R14" s="1991">
        <v>18</v>
      </c>
    </row>
    <row r="15" spans="1:223" ht="25.5" customHeight="1" x14ac:dyDescent="0.2">
      <c r="A15" s="1992">
        <v>1</v>
      </c>
      <c r="B15" s="1993" t="s">
        <v>1651</v>
      </c>
      <c r="C15" s="1994">
        <f>SUM(C16:C16)</f>
        <v>0</v>
      </c>
      <c r="D15" s="1994">
        <f>SUM(D16:D16)</f>
        <v>0</v>
      </c>
      <c r="E15" s="1994">
        <f>SUM(E16:E16)</f>
        <v>0</v>
      </c>
      <c r="F15" s="1994">
        <f>SUM(F16:F16)</f>
        <v>0</v>
      </c>
      <c r="G15" s="1994"/>
      <c r="H15" s="1994"/>
      <c r="I15" s="1994">
        <f t="shared" ref="I15:N15" si="0">SUM(I16:I16)</f>
        <v>1</v>
      </c>
      <c r="J15" s="1994">
        <f t="shared" si="0"/>
        <v>53</v>
      </c>
      <c r="K15" s="1994">
        <f t="shared" si="0"/>
        <v>17</v>
      </c>
      <c r="L15" s="1994">
        <f t="shared" si="0"/>
        <v>65</v>
      </c>
      <c r="M15" s="1994">
        <f t="shared" si="0"/>
        <v>0</v>
      </c>
      <c r="N15" s="1994">
        <f t="shared" si="0"/>
        <v>100</v>
      </c>
      <c r="O15" s="1994">
        <f>N15-D15</f>
        <v>100</v>
      </c>
      <c r="P15" s="1994"/>
      <c r="Q15" s="1994">
        <f>SUM(Q16:Q16)</f>
        <v>0</v>
      </c>
      <c r="R15" s="1994">
        <f>SUM(R16:R16)</f>
        <v>0</v>
      </c>
      <c r="S15" s="1998"/>
      <c r="T15" s="1998"/>
      <c r="U15" s="1998"/>
      <c r="V15" s="1998"/>
      <c r="W15" s="1998"/>
      <c r="X15" s="1998"/>
      <c r="Y15" s="1998"/>
      <c r="Z15" s="1998"/>
      <c r="AA15" s="1998"/>
      <c r="AB15" s="1998"/>
      <c r="AC15" s="1998"/>
      <c r="AD15" s="1998"/>
      <c r="AE15" s="1998"/>
      <c r="AF15" s="1998"/>
      <c r="AG15" s="1998"/>
      <c r="AH15" s="1998"/>
      <c r="AI15" s="1998"/>
      <c r="AJ15" s="1998"/>
      <c r="AK15" s="1998"/>
      <c r="AL15" s="1998"/>
      <c r="AM15" s="1998"/>
      <c r="AN15" s="1998"/>
      <c r="AO15" s="1998"/>
      <c r="AP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c r="CF15" s="1998"/>
      <c r="CG15" s="1998"/>
      <c r="CH15" s="1998"/>
      <c r="CI15" s="1998"/>
      <c r="CJ15" s="1998"/>
      <c r="CK15" s="1998"/>
      <c r="CL15" s="1998"/>
      <c r="CM15" s="1998"/>
      <c r="CN15" s="1998"/>
      <c r="CO15" s="1998"/>
      <c r="CP15" s="1998"/>
      <c r="CQ15" s="1998"/>
      <c r="CR15" s="1998"/>
      <c r="CS15" s="1998"/>
      <c r="CT15" s="1998"/>
      <c r="CU15" s="1998"/>
      <c r="CV15" s="1998"/>
      <c r="CW15" s="1998"/>
      <c r="CX15" s="1998"/>
      <c r="CY15" s="1998"/>
      <c r="CZ15" s="1998"/>
      <c r="DA15" s="1998"/>
      <c r="DB15" s="1998"/>
      <c r="DC15" s="1998"/>
      <c r="DD15" s="1998"/>
      <c r="DE15" s="1998"/>
      <c r="DF15" s="1998"/>
      <c r="DG15" s="1998"/>
      <c r="DH15" s="1998"/>
      <c r="DI15" s="1998"/>
      <c r="DJ15" s="1998"/>
      <c r="DK15" s="1998"/>
      <c r="DL15" s="1998"/>
      <c r="DM15" s="1998"/>
      <c r="DN15" s="1998"/>
      <c r="DO15" s="1998"/>
      <c r="DP15" s="1998"/>
      <c r="DQ15" s="1998"/>
      <c r="DR15" s="1998"/>
      <c r="DS15" s="1998"/>
      <c r="DT15" s="1998"/>
      <c r="DU15" s="1998"/>
      <c r="DV15" s="1998"/>
      <c r="DW15" s="1998"/>
      <c r="DX15" s="1998"/>
      <c r="DY15" s="1998"/>
      <c r="DZ15" s="1998"/>
      <c r="EA15" s="1998"/>
      <c r="EB15" s="1998"/>
      <c r="EC15" s="1998"/>
      <c r="ED15" s="1998"/>
      <c r="EE15" s="1998"/>
      <c r="EF15" s="1998"/>
      <c r="EG15" s="1998"/>
      <c r="EH15" s="1998"/>
      <c r="EI15" s="1998"/>
      <c r="EJ15" s="1998"/>
      <c r="EK15" s="1998"/>
      <c r="EL15" s="1998"/>
      <c r="EM15" s="1998"/>
      <c r="EN15" s="1998"/>
      <c r="EO15" s="1998"/>
      <c r="EP15" s="1998"/>
      <c r="EQ15" s="1998"/>
      <c r="ER15" s="1998"/>
      <c r="ES15" s="1998"/>
      <c r="ET15" s="1998"/>
      <c r="EU15" s="1998"/>
      <c r="EV15" s="1998"/>
      <c r="EW15" s="1998"/>
      <c r="EX15" s="1998"/>
      <c r="EY15" s="1998"/>
      <c r="EZ15" s="1998"/>
      <c r="FA15" s="1998"/>
      <c r="FB15" s="1998"/>
      <c r="FC15" s="1998"/>
      <c r="FD15" s="1998"/>
      <c r="FE15" s="1998"/>
      <c r="FF15" s="1998"/>
      <c r="FG15" s="1998"/>
      <c r="FH15" s="1998"/>
      <c r="FI15" s="1998"/>
      <c r="FJ15" s="1998"/>
      <c r="FK15" s="1998"/>
      <c r="FL15" s="1998"/>
      <c r="FM15" s="1998"/>
      <c r="FN15" s="1998"/>
      <c r="FO15" s="1998"/>
      <c r="FP15" s="1998"/>
      <c r="FQ15" s="1998"/>
      <c r="FR15" s="1998"/>
      <c r="FS15" s="1998"/>
      <c r="FT15" s="1998"/>
      <c r="FU15" s="1998"/>
      <c r="FV15" s="1998"/>
      <c r="FW15" s="1998"/>
      <c r="FX15" s="1998"/>
      <c r="FY15" s="1998"/>
      <c r="FZ15" s="1998"/>
      <c r="GA15" s="1998"/>
      <c r="GB15" s="1998"/>
      <c r="GC15" s="1998"/>
      <c r="GD15" s="1998"/>
      <c r="GE15" s="1998"/>
      <c r="GF15" s="1998"/>
      <c r="GG15" s="1998"/>
      <c r="GH15" s="1998"/>
      <c r="GI15" s="1998"/>
      <c r="GJ15" s="1998"/>
      <c r="GK15" s="1998"/>
      <c r="GL15" s="1998"/>
      <c r="GM15" s="1998"/>
      <c r="GN15" s="1998"/>
      <c r="GO15" s="1998"/>
      <c r="GP15" s="1998"/>
      <c r="GQ15" s="1998"/>
      <c r="GR15" s="1998"/>
      <c r="GS15" s="1998"/>
      <c r="GT15" s="1998"/>
      <c r="GU15" s="1998"/>
      <c r="GV15" s="1998"/>
      <c r="GW15" s="1998"/>
      <c r="GX15" s="1998"/>
      <c r="GY15" s="1998"/>
      <c r="GZ15" s="1998"/>
      <c r="HA15" s="1998"/>
      <c r="HB15" s="1998"/>
      <c r="HC15" s="1998"/>
      <c r="HD15" s="1998"/>
      <c r="HE15" s="1998"/>
      <c r="HF15" s="1998"/>
      <c r="HG15" s="1998"/>
      <c r="HH15" s="1998"/>
      <c r="HI15" s="1998"/>
      <c r="HJ15" s="1998"/>
      <c r="HK15" s="1998"/>
      <c r="HL15" s="1998"/>
      <c r="HM15" s="1998"/>
      <c r="HN15" s="1998"/>
      <c r="HO15" s="1998"/>
    </row>
    <row r="16" spans="1:223" s="1997" customFormat="1" ht="15" x14ac:dyDescent="0.2">
      <c r="A16" s="1995">
        <v>1</v>
      </c>
      <c r="B16" s="1999" t="s">
        <v>1652</v>
      </c>
      <c r="C16" s="1996"/>
      <c r="D16" s="1996"/>
      <c r="E16" s="1996"/>
      <c r="F16" s="1996"/>
      <c r="G16" s="2000" t="s">
        <v>1653</v>
      </c>
      <c r="H16" s="2000" t="s">
        <v>1654</v>
      </c>
      <c r="I16" s="2000">
        <v>1</v>
      </c>
      <c r="J16" s="2000">
        <v>53</v>
      </c>
      <c r="K16" s="2001">
        <v>17</v>
      </c>
      <c r="L16" s="2002">
        <v>65</v>
      </c>
      <c r="M16" s="1996"/>
      <c r="N16" s="1996">
        <f>(I16+1)*K16+L16+M16+1</f>
        <v>100</v>
      </c>
      <c r="O16" s="1996">
        <f>N16-D16</f>
        <v>100</v>
      </c>
      <c r="P16" s="1996"/>
      <c r="Q16" s="1996"/>
      <c r="R16" s="1996"/>
    </row>
    <row r="17" spans="1:18" s="2007" customFormat="1" ht="12.75" customHeight="1" x14ac:dyDescent="0.2">
      <c r="A17" s="2003"/>
      <c r="B17" s="2004"/>
      <c r="C17" s="2005"/>
      <c r="D17" s="2003"/>
      <c r="E17" s="2003"/>
      <c r="F17" s="2003"/>
      <c r="G17" s="2006"/>
      <c r="H17" s="2003"/>
      <c r="I17" s="2003"/>
      <c r="J17" s="2003"/>
      <c r="K17" s="2006"/>
      <c r="L17" s="2006"/>
      <c r="M17" s="2006"/>
      <c r="N17" s="2006"/>
      <c r="O17" s="2006"/>
      <c r="P17" s="2006"/>
    </row>
    <row r="18" spans="1:18" s="2007" customFormat="1" ht="12.75" customHeight="1" x14ac:dyDescent="0.2">
      <c r="A18" s="2003"/>
      <c r="B18" s="2008" t="s">
        <v>1655</v>
      </c>
      <c r="C18" s="2005"/>
      <c r="D18" s="2009"/>
      <c r="E18" s="2003"/>
      <c r="F18" s="2003"/>
      <c r="G18" s="2006"/>
      <c r="H18" s="2003"/>
      <c r="I18" s="2003"/>
      <c r="J18" s="2003"/>
      <c r="K18" s="2006"/>
      <c r="L18" s="2006"/>
      <c r="M18" s="2006"/>
      <c r="N18" s="2006"/>
      <c r="O18" s="2006"/>
      <c r="P18" s="2006"/>
    </row>
    <row r="19" spans="1:18" s="2007" customFormat="1" ht="12.75" customHeight="1" x14ac:dyDescent="0.2">
      <c r="A19" s="2010">
        <v>1</v>
      </c>
      <c r="B19" s="2729" t="s">
        <v>1656</v>
      </c>
      <c r="C19" s="2729"/>
      <c r="D19" s="2729"/>
      <c r="E19" s="2729"/>
      <c r="F19" s="2729"/>
      <c r="G19" s="2729"/>
      <c r="H19" s="2729"/>
      <c r="I19" s="2729"/>
      <c r="J19" s="2729"/>
      <c r="K19" s="2729"/>
      <c r="L19" s="2729"/>
      <c r="M19" s="2729"/>
      <c r="N19" s="2729"/>
      <c r="O19" s="2729"/>
      <c r="P19" s="2729"/>
      <c r="Q19" s="2729"/>
      <c r="R19" s="2729"/>
    </row>
    <row r="20" spans="1:18" s="2007" customFormat="1" ht="44.25" customHeight="1" x14ac:dyDescent="0.2">
      <c r="A20" s="2010"/>
      <c r="B20" s="2011" t="s">
        <v>201</v>
      </c>
      <c r="C20" s="2011" t="s">
        <v>1657</v>
      </c>
      <c r="D20" s="2012"/>
      <c r="E20" s="2012"/>
      <c r="F20" s="2012"/>
      <c r="G20" s="2012"/>
      <c r="H20" s="2012"/>
      <c r="I20" s="2012"/>
      <c r="J20" s="2012"/>
      <c r="K20" s="2012"/>
      <c r="L20" s="2012"/>
      <c r="M20" s="2012"/>
      <c r="N20" s="2012"/>
      <c r="O20" s="2012"/>
      <c r="P20" s="2012"/>
      <c r="Q20" s="2012"/>
      <c r="R20" s="2012"/>
    </row>
    <row r="21" spans="1:18" s="2007" customFormat="1" ht="12.75" customHeight="1" x14ac:dyDescent="0.2">
      <c r="A21" s="2010"/>
      <c r="B21" s="2013" t="s">
        <v>203</v>
      </c>
      <c r="C21" s="2014">
        <f>22/2</f>
        <v>11</v>
      </c>
      <c r="D21" s="2012"/>
      <c r="E21" s="2012"/>
      <c r="F21" s="2012"/>
      <c r="G21" s="2012"/>
      <c r="H21" s="2012"/>
      <c r="I21" s="2012"/>
      <c r="J21" s="2012"/>
      <c r="K21" s="2012"/>
      <c r="L21" s="2012"/>
      <c r="M21" s="2012"/>
      <c r="N21" s="2012"/>
      <c r="O21" s="2012"/>
      <c r="P21" s="2012"/>
      <c r="Q21" s="2012"/>
      <c r="R21" s="2012"/>
    </row>
    <row r="22" spans="1:18" s="2007" customFormat="1" ht="12.75" customHeight="1" x14ac:dyDescent="0.2">
      <c r="A22" s="2010"/>
      <c r="B22" s="2013" t="s">
        <v>204</v>
      </c>
      <c r="C22" s="2014">
        <f>33.2/2</f>
        <v>16.600000000000001</v>
      </c>
      <c r="D22" s="2012"/>
      <c r="E22" s="2012"/>
      <c r="F22" s="2012"/>
      <c r="G22" s="2012"/>
      <c r="H22" s="2012"/>
      <c r="I22" s="2012"/>
      <c r="J22" s="2012"/>
      <c r="K22" s="2012"/>
      <c r="L22" s="2012"/>
      <c r="M22" s="2012"/>
      <c r="N22" s="2012"/>
      <c r="O22" s="2012"/>
      <c r="P22" s="2012"/>
      <c r="Q22" s="2012"/>
      <c r="R22" s="2012"/>
    </row>
    <row r="23" spans="1:18" s="2007" customFormat="1" ht="12.75" customHeight="1" x14ac:dyDescent="0.2">
      <c r="A23" s="2010"/>
      <c r="B23" s="2013" t="s">
        <v>205</v>
      </c>
      <c r="C23" s="2014">
        <f>38/2</f>
        <v>19</v>
      </c>
      <c r="D23" s="2012"/>
      <c r="E23" s="2012"/>
      <c r="F23" s="2012"/>
      <c r="G23" s="2012"/>
      <c r="H23" s="2012"/>
      <c r="I23" s="2012"/>
      <c r="J23" s="2012"/>
      <c r="K23" s="2012"/>
      <c r="L23" s="2012"/>
      <c r="M23" s="2012"/>
      <c r="N23" s="2012"/>
      <c r="O23" s="2012"/>
      <c r="P23" s="2012"/>
      <c r="Q23" s="2012"/>
      <c r="R23" s="2012"/>
    </row>
    <row r="24" spans="1:18" s="2007" customFormat="1" ht="12.75" customHeight="1" x14ac:dyDescent="0.2">
      <c r="A24" s="2010"/>
      <c r="B24" s="2013" t="s">
        <v>206</v>
      </c>
      <c r="C24" s="2014">
        <f>24.4/2</f>
        <v>12.2</v>
      </c>
      <c r="D24" s="2012"/>
      <c r="E24" s="2012"/>
      <c r="F24" s="2012"/>
      <c r="G24" s="2012"/>
      <c r="H24" s="2012"/>
      <c r="I24" s="2012"/>
      <c r="J24" s="2012"/>
      <c r="K24" s="2012"/>
      <c r="L24" s="2012"/>
      <c r="M24" s="2012"/>
      <c r="N24" s="2012"/>
      <c r="O24" s="2012"/>
      <c r="P24" s="2012"/>
      <c r="Q24" s="2012"/>
      <c r="R24" s="2012"/>
    </row>
    <row r="25" spans="1:18" s="2007" customFormat="1" ht="12.75" customHeight="1" x14ac:dyDescent="0.2">
      <c r="A25" s="2010"/>
      <c r="B25" s="2013" t="s">
        <v>207</v>
      </c>
      <c r="C25" s="2014">
        <f>34/2</f>
        <v>17</v>
      </c>
      <c r="D25" s="2012"/>
      <c r="E25" s="2012"/>
      <c r="F25" s="2012"/>
      <c r="G25" s="2012"/>
      <c r="H25" s="2012"/>
      <c r="I25" s="2012"/>
      <c r="J25" s="2012"/>
      <c r="K25" s="2012"/>
      <c r="L25" s="2012"/>
      <c r="M25" s="2012"/>
      <c r="N25" s="2012"/>
      <c r="O25" s="2012"/>
      <c r="P25" s="2012"/>
      <c r="Q25" s="2012"/>
      <c r="R25" s="2012"/>
    </row>
    <row r="26" spans="1:18" s="2007" customFormat="1" ht="12.75" customHeight="1" x14ac:dyDescent="0.2">
      <c r="A26" s="2010"/>
      <c r="B26" s="2013" t="s">
        <v>208</v>
      </c>
      <c r="C26" s="2014">
        <f>30.4/2</f>
        <v>15.2</v>
      </c>
      <c r="D26" s="2012"/>
      <c r="E26" s="2012"/>
      <c r="F26" s="2012"/>
      <c r="G26" s="2012"/>
      <c r="H26" s="2012"/>
      <c r="I26" s="2012"/>
      <c r="J26" s="2012"/>
      <c r="K26" s="2012"/>
      <c r="L26" s="2012"/>
      <c r="M26" s="2012"/>
      <c r="N26" s="2012"/>
      <c r="O26" s="2012"/>
      <c r="P26" s="2012"/>
      <c r="Q26" s="2012"/>
      <c r="R26" s="2012"/>
    </row>
    <row r="27" spans="1:18" s="2007" customFormat="1" ht="12.75" customHeight="1" x14ac:dyDescent="0.2">
      <c r="A27" s="2010"/>
      <c r="B27" s="2012"/>
      <c r="C27" s="2012"/>
      <c r="D27" s="2012"/>
      <c r="E27" s="2012"/>
      <c r="F27" s="2012"/>
      <c r="G27" s="2012"/>
      <c r="H27" s="2012"/>
      <c r="I27" s="2012"/>
      <c r="J27" s="2012"/>
      <c r="K27" s="2012"/>
      <c r="L27" s="2012"/>
      <c r="M27" s="2012"/>
      <c r="N27" s="2012"/>
      <c r="O27" s="2012"/>
      <c r="P27" s="2012"/>
      <c r="Q27" s="2012"/>
      <c r="R27" s="2012"/>
    </row>
    <row r="28" spans="1:18" s="2007" customFormat="1" ht="138" customHeight="1" x14ac:dyDescent="0.2">
      <c r="A28" s="2010">
        <v>2</v>
      </c>
      <c r="B28" s="2729" t="s">
        <v>1658</v>
      </c>
      <c r="C28" s="2729"/>
      <c r="D28" s="2729"/>
      <c r="E28" s="2729"/>
      <c r="F28" s="2729"/>
      <c r="G28" s="2729"/>
      <c r="H28" s="2003"/>
      <c r="I28" s="2003"/>
      <c r="J28" s="2003"/>
      <c r="K28" s="2006"/>
      <c r="L28" s="2006"/>
      <c r="M28" s="2006"/>
      <c r="N28" s="2006"/>
      <c r="O28" s="2006"/>
      <c r="P28" s="2006"/>
    </row>
    <row r="29" spans="1:18" s="2007" customFormat="1" ht="12.75" customHeight="1" x14ac:dyDescent="0.2">
      <c r="A29" s="2003"/>
      <c r="B29" s="2004"/>
      <c r="C29" s="2005"/>
      <c r="D29" s="2003"/>
      <c r="E29" s="2003"/>
      <c r="F29" s="2003"/>
      <c r="G29" s="2006"/>
      <c r="H29" s="2003"/>
      <c r="I29" s="2003"/>
      <c r="J29" s="2003"/>
      <c r="K29" s="2006"/>
      <c r="L29" s="2006"/>
      <c r="M29" s="2006"/>
      <c r="N29" s="2006"/>
      <c r="O29" s="2006"/>
      <c r="P29" s="2006"/>
    </row>
    <row r="30" spans="1:18" s="2015" customFormat="1" ht="18.75" customHeight="1" x14ac:dyDescent="0.3">
      <c r="B30" s="2730" t="s">
        <v>469</v>
      </c>
      <c r="C30" s="2730"/>
      <c r="D30" s="2730"/>
      <c r="F30" s="2016"/>
      <c r="G30" s="2016"/>
      <c r="H30" s="2016"/>
      <c r="J30" s="2731" t="s">
        <v>175</v>
      </c>
      <c r="K30" s="2731"/>
      <c r="L30" s="2731"/>
    </row>
    <row r="31" spans="1:18" s="2017" customFormat="1" ht="15.75" x14ac:dyDescent="0.25">
      <c r="B31" s="1988"/>
      <c r="C31" s="1989"/>
      <c r="D31" s="1987"/>
      <c r="F31" s="2727" t="s">
        <v>217</v>
      </c>
      <c r="G31" s="2727"/>
      <c r="H31" s="2727"/>
      <c r="I31" s="2018"/>
      <c r="J31" s="2727" t="s">
        <v>211</v>
      </c>
      <c r="K31" s="2727"/>
      <c r="L31" s="2727"/>
    </row>
    <row r="32" spans="1:18" s="2017" customFormat="1" ht="15.75" x14ac:dyDescent="0.25">
      <c r="B32" s="1988" t="s">
        <v>733</v>
      </c>
      <c r="C32" s="1989"/>
      <c r="D32" s="1987"/>
    </row>
    <row r="33" spans="1:16" s="2017" customFormat="1" ht="15.75" x14ac:dyDescent="0.25">
      <c r="B33" s="1988" t="s">
        <v>1659</v>
      </c>
      <c r="C33" s="1989"/>
      <c r="D33" s="1987"/>
    </row>
    <row r="34" spans="1:16" ht="12.75" customHeight="1" x14ac:dyDescent="0.2">
      <c r="C34" s="2019"/>
      <c r="D34" s="2020"/>
      <c r="E34" s="2020"/>
      <c r="F34" s="2020"/>
      <c r="G34" s="2020"/>
      <c r="H34" s="2020"/>
      <c r="I34" s="2020"/>
      <c r="J34" s="2020"/>
      <c r="K34" s="2020"/>
      <c r="L34" s="2020"/>
      <c r="M34" s="2020"/>
      <c r="N34" s="2020"/>
      <c r="O34" s="2020"/>
      <c r="P34" s="2020"/>
    </row>
    <row r="35" spans="1:16" ht="15" customHeight="1" x14ac:dyDescent="0.2">
      <c r="A35" s="2021"/>
      <c r="B35" s="2008"/>
      <c r="C35" s="2022"/>
      <c r="D35" s="2023"/>
      <c r="E35" s="2023"/>
      <c r="F35" s="2023"/>
      <c r="G35" s="2023"/>
      <c r="H35" s="2023"/>
      <c r="I35" s="2023"/>
      <c r="J35" s="2023"/>
      <c r="K35" s="2023"/>
      <c r="L35" s="2023"/>
      <c r="M35" s="2023"/>
      <c r="N35" s="2020"/>
      <c r="O35" s="2020"/>
      <c r="P35" s="2020"/>
    </row>
    <row r="36" spans="1:16" ht="15" customHeight="1" x14ac:dyDescent="0.2">
      <c r="A36" s="2024"/>
      <c r="B36" s="2728"/>
      <c r="C36" s="2728"/>
      <c r="D36" s="2728"/>
      <c r="E36" s="2728"/>
      <c r="F36" s="2728"/>
      <c r="G36" s="2728"/>
      <c r="H36" s="2728"/>
      <c r="I36" s="2728"/>
      <c r="J36" s="2728"/>
      <c r="K36" s="2728"/>
      <c r="L36" s="2728"/>
      <c r="M36" s="2025"/>
    </row>
    <row r="37" spans="1:16" ht="15" customHeight="1" x14ac:dyDescent="0.2">
      <c r="A37" s="2024"/>
      <c r="B37" s="2728"/>
      <c r="C37" s="2728"/>
      <c r="D37" s="2728"/>
      <c r="E37" s="2728"/>
      <c r="F37" s="2728"/>
      <c r="G37" s="2728"/>
      <c r="H37" s="2728"/>
      <c r="I37" s="2728"/>
      <c r="J37" s="2728"/>
      <c r="K37" s="2728"/>
      <c r="L37" s="2728"/>
      <c r="M37" s="2025"/>
    </row>
  </sheetData>
  <autoFilter ref="A14:HO16" xr:uid="{00000000-0009-0000-0000-000033000000}"/>
  <mergeCells count="30">
    <mergeCell ref="A8:R8"/>
    <mergeCell ref="A9:R9"/>
    <mergeCell ref="A11:A13"/>
    <mergeCell ref="B11:B13"/>
    <mergeCell ref="C11:C13"/>
    <mergeCell ref="D11:F11"/>
    <mergeCell ref="G11:N11"/>
    <mergeCell ref="O11:O13"/>
    <mergeCell ref="P11:P13"/>
    <mergeCell ref="Q11:Q13"/>
    <mergeCell ref="M12:M13"/>
    <mergeCell ref="N12:N13"/>
    <mergeCell ref="R11:R13"/>
    <mergeCell ref="D12:D13"/>
    <mergeCell ref="E12:E13"/>
    <mergeCell ref="F12:F13"/>
    <mergeCell ref="L12:L13"/>
    <mergeCell ref="F31:H31"/>
    <mergeCell ref="J31:L31"/>
    <mergeCell ref="B36:L36"/>
    <mergeCell ref="B37:L37"/>
    <mergeCell ref="B19:R19"/>
    <mergeCell ref="B28:G28"/>
    <mergeCell ref="B30:D30"/>
    <mergeCell ref="J30:L30"/>
    <mergeCell ref="G12:G13"/>
    <mergeCell ref="H12:H13"/>
    <mergeCell ref="I12:I13"/>
    <mergeCell ref="J12:J13"/>
    <mergeCell ref="K12:K13"/>
  </mergeCells>
  <printOptions horizontalCentered="1"/>
  <pageMargins left="3.937007874015748E-2" right="3.937007874015748E-2" top="0.39370078740157483" bottom="0.39370078740157483" header="0.31496062992125984" footer="0.31496062992125984"/>
  <pageSetup paperSize="9" scale="51" fitToHeight="4"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FFFF"/>
  </sheetPr>
  <dimension ref="A1:E14"/>
  <sheetViews>
    <sheetView view="pageBreakPreview" zoomScale="80" zoomScaleNormal="100" zoomScaleSheetLayoutView="80" workbookViewId="0">
      <selection activeCell="C12" sqref="C12"/>
    </sheetView>
  </sheetViews>
  <sheetFormatPr defaultRowHeight="39.75" customHeight="1" x14ac:dyDescent="0.25"/>
  <cols>
    <col min="1" max="1" width="81.33203125" style="365" customWidth="1"/>
    <col min="2" max="2" width="10" style="365" customWidth="1"/>
    <col min="3" max="5" width="25.83203125" style="365" customWidth="1"/>
    <col min="6" max="16384" width="9.33203125" style="365"/>
  </cols>
  <sheetData>
    <row r="1" spans="1:5" ht="55.5" customHeight="1" x14ac:dyDescent="0.25">
      <c r="A1" s="2509" t="s">
        <v>1242</v>
      </c>
      <c r="B1" s="2509"/>
      <c r="C1" s="2509"/>
      <c r="D1" s="2509"/>
      <c r="E1" s="2509"/>
    </row>
    <row r="2" spans="1:5" ht="34.5" customHeight="1" x14ac:dyDescent="0.25">
      <c r="A2" s="2509" t="s">
        <v>1253</v>
      </c>
      <c r="B2" s="2509"/>
      <c r="C2" s="2509"/>
      <c r="D2" s="2509"/>
      <c r="E2" s="2509"/>
    </row>
    <row r="3" spans="1:5" ht="13.5" customHeight="1" x14ac:dyDescent="0.25">
      <c r="A3" s="768"/>
      <c r="B3" s="768"/>
      <c r="C3" s="768"/>
      <c r="D3" s="768"/>
      <c r="E3" s="367">
        <v>43829</v>
      </c>
    </row>
    <row r="4" spans="1:5" ht="39.75" customHeight="1" x14ac:dyDescent="0.25">
      <c r="A4" s="2454" t="s">
        <v>416</v>
      </c>
      <c r="B4" s="2454" t="s">
        <v>417</v>
      </c>
      <c r="C4" s="2454" t="s">
        <v>418</v>
      </c>
      <c r="D4" s="2454"/>
      <c r="E4" s="2454"/>
    </row>
    <row r="5" spans="1:5" ht="39.75" customHeight="1" x14ac:dyDescent="0.25">
      <c r="A5" s="2454"/>
      <c r="B5" s="2454"/>
      <c r="C5" s="769" t="s">
        <v>428</v>
      </c>
      <c r="D5" s="769" t="s">
        <v>429</v>
      </c>
      <c r="E5" s="769" t="s">
        <v>430</v>
      </c>
    </row>
    <row r="6" spans="1:5" ht="39.75" customHeight="1" x14ac:dyDescent="0.25">
      <c r="A6" s="2454"/>
      <c r="B6" s="2454"/>
      <c r="C6" s="769" t="s">
        <v>419</v>
      </c>
      <c r="D6" s="769" t="s">
        <v>420</v>
      </c>
      <c r="E6" s="769" t="s">
        <v>421</v>
      </c>
    </row>
    <row r="7" spans="1:5" ht="16.5" customHeight="1" x14ac:dyDescent="0.25">
      <c r="A7" s="769">
        <v>1</v>
      </c>
      <c r="B7" s="769">
        <v>2</v>
      </c>
      <c r="C7" s="769">
        <v>3</v>
      </c>
      <c r="D7" s="769">
        <v>4</v>
      </c>
      <c r="E7" s="769">
        <v>5</v>
      </c>
    </row>
    <row r="8" spans="1:5" ht="17.25" customHeight="1" x14ac:dyDescent="0.25">
      <c r="A8" s="369" t="s">
        <v>512</v>
      </c>
      <c r="B8" s="769">
        <v>100</v>
      </c>
      <c r="C8" s="370"/>
      <c r="D8" s="370"/>
      <c r="E8" s="370"/>
    </row>
    <row r="9" spans="1:5" ht="17.25" customHeight="1" x14ac:dyDescent="0.25">
      <c r="A9" s="369" t="s">
        <v>513</v>
      </c>
      <c r="B9" s="769">
        <v>200</v>
      </c>
      <c r="C9" s="370"/>
      <c r="D9" s="370"/>
      <c r="E9" s="370"/>
    </row>
    <row r="10" spans="1:5" ht="44.25" customHeight="1" x14ac:dyDescent="0.25">
      <c r="A10" s="369" t="s">
        <v>514</v>
      </c>
      <c r="B10" s="769">
        <v>300</v>
      </c>
      <c r="C10" s="370">
        <f>C11</f>
        <v>9600</v>
      </c>
      <c r="D10" s="370">
        <f t="shared" ref="D10:E10" si="0">D11</f>
        <v>145800</v>
      </c>
      <c r="E10" s="370">
        <f t="shared" si="0"/>
        <v>145800</v>
      </c>
    </row>
    <row r="11" spans="1:5" ht="104.25" customHeight="1" x14ac:dyDescent="0.25">
      <c r="A11" s="369" t="s">
        <v>515</v>
      </c>
      <c r="B11" s="769">
        <v>301</v>
      </c>
      <c r="C11" s="370">
        <f>'ОД 966 (21.02.20)'!Q23*1000</f>
        <v>9600</v>
      </c>
      <c r="D11" s="370">
        <f>'ОД 966 (21.02.20)'!T24*1000</f>
        <v>145800</v>
      </c>
      <c r="E11" s="370">
        <f>'ОД 966 (21.02.20)'!W24*1000</f>
        <v>145800</v>
      </c>
    </row>
    <row r="12" spans="1:5" ht="18" customHeight="1" x14ac:dyDescent="0.25">
      <c r="A12" s="369" t="s">
        <v>516</v>
      </c>
      <c r="B12" s="769">
        <v>400</v>
      </c>
      <c r="C12" s="370"/>
      <c r="D12" s="370"/>
      <c r="E12" s="370"/>
    </row>
    <row r="13" spans="1:5" ht="18" customHeight="1" x14ac:dyDescent="0.25">
      <c r="A13" s="369" t="s">
        <v>517</v>
      </c>
      <c r="B13" s="769">
        <v>500</v>
      </c>
      <c r="C13" s="370"/>
      <c r="D13" s="370"/>
      <c r="E13" s="370"/>
    </row>
    <row r="14" spans="1:5" s="374" customFormat="1" ht="66.75" customHeight="1" x14ac:dyDescent="0.2">
      <c r="A14" s="371" t="s">
        <v>538</v>
      </c>
      <c r="B14" s="372">
        <v>600</v>
      </c>
      <c r="C14" s="373">
        <f>C8-C9+C10-C12+C13</f>
        <v>9600</v>
      </c>
      <c r="D14" s="373">
        <f t="shared" ref="D14:E14" si="1">D8-D9+D10-D12+D13</f>
        <v>145800</v>
      </c>
      <c r="E14" s="373">
        <f t="shared" si="1"/>
        <v>145800</v>
      </c>
    </row>
  </sheetData>
  <mergeCells count="5">
    <mergeCell ref="A1:E1"/>
    <mergeCell ref="A2:E2"/>
    <mergeCell ref="A4:A6"/>
    <mergeCell ref="B4:B6"/>
    <mergeCell ref="C4:E4"/>
  </mergeCells>
  <pageMargins left="0.7" right="0.7" top="0.75" bottom="0.75" header="0.3" footer="0.3"/>
  <pageSetup paperSize="9" scale="56"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00FFFF"/>
  </sheetPr>
  <dimension ref="A1:H35"/>
  <sheetViews>
    <sheetView view="pageBreakPreview" zoomScale="90" zoomScaleNormal="100" zoomScaleSheetLayoutView="90" workbookViewId="0">
      <pane xSplit="4" ySplit="7" topLeftCell="E20" activePane="bottomRight" state="frozen"/>
      <selection pane="topRight" activeCell="E1" sqref="E1"/>
      <selection pane="bottomLeft" activeCell="A8" sqref="A8"/>
      <selection pane="bottomRight" activeCell="C22" sqref="C22"/>
    </sheetView>
  </sheetViews>
  <sheetFormatPr defaultRowHeight="15" x14ac:dyDescent="0.25"/>
  <cols>
    <col min="1" max="1" width="67.83203125" style="511" customWidth="1"/>
    <col min="2" max="2" width="10.83203125" style="511" customWidth="1"/>
    <col min="3" max="5" width="29" style="511" customWidth="1"/>
    <col min="6" max="6" width="13" style="511" customWidth="1"/>
    <col min="7" max="7" width="10.83203125" style="511" bestFit="1" customWidth="1"/>
    <col min="8" max="16384" width="9.33203125" style="511"/>
  </cols>
  <sheetData>
    <row r="1" spans="1:5" ht="42" customHeight="1" x14ac:dyDescent="0.25">
      <c r="A1" s="2586" t="s">
        <v>1767</v>
      </c>
      <c r="B1" s="2586"/>
      <c r="C1" s="2586"/>
      <c r="D1" s="2586"/>
      <c r="E1" s="2586"/>
    </row>
    <row r="2" spans="1:5" x14ac:dyDescent="0.25">
      <c r="A2" s="2587" t="s">
        <v>1768</v>
      </c>
      <c r="B2" s="2587"/>
      <c r="C2" s="2587"/>
      <c r="D2" s="2587"/>
      <c r="E2" s="2587"/>
    </row>
    <row r="3" spans="1:5" x14ac:dyDescent="0.25">
      <c r="A3" s="2215"/>
      <c r="B3" s="2215"/>
      <c r="C3" s="2215"/>
      <c r="D3" s="2215"/>
      <c r="E3" s="2216">
        <v>43875</v>
      </c>
    </row>
    <row r="4" spans="1:5" x14ac:dyDescent="0.25">
      <c r="A4" s="2494" t="s">
        <v>416</v>
      </c>
      <c r="B4" s="2494" t="s">
        <v>417</v>
      </c>
      <c r="C4" s="2494" t="s">
        <v>418</v>
      </c>
      <c r="D4" s="2494"/>
      <c r="E4" s="2494"/>
    </row>
    <row r="5" spans="1:5" ht="20.25" customHeight="1" x14ac:dyDescent="0.25">
      <c r="A5" s="2494"/>
      <c r="B5" s="2494"/>
      <c r="C5" s="2214" t="s">
        <v>428</v>
      </c>
      <c r="D5" s="2214" t="s">
        <v>429</v>
      </c>
      <c r="E5" s="2214" t="s">
        <v>430</v>
      </c>
    </row>
    <row r="6" spans="1:5" ht="47.25" customHeight="1" x14ac:dyDescent="0.25">
      <c r="A6" s="2494"/>
      <c r="B6" s="2494"/>
      <c r="C6" s="2214" t="s">
        <v>419</v>
      </c>
      <c r="D6" s="2214" t="s">
        <v>420</v>
      </c>
      <c r="E6" s="2214" t="s">
        <v>421</v>
      </c>
    </row>
    <row r="7" spans="1:5" x14ac:dyDescent="0.25">
      <c r="A7" s="2214">
        <v>1</v>
      </c>
      <c r="B7" s="2214">
        <v>2</v>
      </c>
      <c r="C7" s="2214">
        <v>3</v>
      </c>
      <c r="D7" s="2214">
        <v>4</v>
      </c>
      <c r="E7" s="2214">
        <v>5</v>
      </c>
    </row>
    <row r="8" spans="1:5" ht="60" customHeight="1" x14ac:dyDescent="0.25">
      <c r="A8" s="517" t="s">
        <v>437</v>
      </c>
      <c r="B8" s="2214">
        <v>100</v>
      </c>
      <c r="C8" s="518"/>
      <c r="D8" s="518"/>
      <c r="E8" s="518"/>
    </row>
    <row r="9" spans="1:5" ht="42" customHeight="1" x14ac:dyDescent="0.25">
      <c r="A9" s="517" t="s">
        <v>438</v>
      </c>
      <c r="B9" s="2214">
        <v>200</v>
      </c>
      <c r="C9" s="518"/>
      <c r="D9" s="518"/>
      <c r="E9" s="518"/>
    </row>
    <row r="10" spans="1:5" ht="19.5" customHeight="1" x14ac:dyDescent="0.25">
      <c r="A10" s="517" t="s">
        <v>439</v>
      </c>
      <c r="B10" s="2214">
        <v>300</v>
      </c>
      <c r="C10" s="518">
        <f>SUM(C12:C30)</f>
        <v>136200</v>
      </c>
      <c r="D10" s="518"/>
      <c r="E10" s="518"/>
    </row>
    <row r="11" spans="1:5" x14ac:dyDescent="0.25">
      <c r="A11" s="517" t="s">
        <v>440</v>
      </c>
      <c r="B11" s="517"/>
      <c r="C11" s="518"/>
      <c r="D11" s="518"/>
      <c r="E11" s="518"/>
    </row>
    <row r="12" spans="1:5" x14ac:dyDescent="0.25">
      <c r="A12" s="517" t="s">
        <v>442</v>
      </c>
      <c r="B12" s="2214">
        <v>301</v>
      </c>
      <c r="C12" s="518"/>
      <c r="D12" s="518"/>
      <c r="E12" s="518"/>
    </row>
    <row r="13" spans="1:5" x14ac:dyDescent="0.25">
      <c r="A13" s="517" t="s">
        <v>441</v>
      </c>
      <c r="B13" s="2214">
        <v>302</v>
      </c>
      <c r="C13" s="518"/>
      <c r="D13" s="518"/>
      <c r="E13" s="518"/>
    </row>
    <row r="14" spans="1:5" x14ac:dyDescent="0.25">
      <c r="A14" s="517" t="s">
        <v>443</v>
      </c>
      <c r="B14" s="2214">
        <v>303</v>
      </c>
      <c r="C14" s="518"/>
      <c r="D14" s="518"/>
      <c r="E14" s="518"/>
    </row>
    <row r="15" spans="1:5" x14ac:dyDescent="0.25">
      <c r="A15" s="517" t="s">
        <v>824</v>
      </c>
      <c r="B15" s="2214">
        <v>304</v>
      </c>
      <c r="C15" s="518"/>
      <c r="D15" s="518"/>
      <c r="E15" s="518"/>
    </row>
    <row r="16" spans="1:5" x14ac:dyDescent="0.25">
      <c r="A16" s="517" t="s">
        <v>575</v>
      </c>
      <c r="B16" s="2214">
        <v>305</v>
      </c>
      <c r="C16" s="518"/>
      <c r="D16" s="518"/>
      <c r="E16" s="518"/>
    </row>
    <row r="17" spans="1:8" x14ac:dyDescent="0.25">
      <c r="A17" s="517" t="s">
        <v>444</v>
      </c>
      <c r="B17" s="2214">
        <v>306</v>
      </c>
      <c r="C17" s="518"/>
      <c r="D17" s="518"/>
      <c r="E17" s="518"/>
    </row>
    <row r="18" spans="1:8" x14ac:dyDescent="0.25">
      <c r="A18" s="517" t="s">
        <v>445</v>
      </c>
      <c r="B18" s="2214">
        <v>307</v>
      </c>
      <c r="C18" s="518"/>
      <c r="D18" s="518"/>
      <c r="E18" s="518"/>
    </row>
    <row r="19" spans="1:8" ht="22.5" customHeight="1" x14ac:dyDescent="0.25">
      <c r="A19" s="517" t="s">
        <v>716</v>
      </c>
      <c r="B19" s="2214">
        <v>308</v>
      </c>
      <c r="C19" s="518"/>
      <c r="D19" s="518"/>
      <c r="E19" s="518"/>
    </row>
    <row r="20" spans="1:8" x14ac:dyDescent="0.25">
      <c r="A20" s="517" t="s">
        <v>446</v>
      </c>
      <c r="B20" s="2214">
        <v>309</v>
      </c>
      <c r="C20" s="518"/>
      <c r="D20" s="518"/>
      <c r="E20" s="518"/>
    </row>
    <row r="21" spans="1:8" x14ac:dyDescent="0.25">
      <c r="A21" s="517" t="s">
        <v>454</v>
      </c>
      <c r="B21" s="2214">
        <v>310</v>
      </c>
      <c r="C21" s="729">
        <f>'ОД 966 (21.02.20)'!Q24*1000</f>
        <v>136200</v>
      </c>
      <c r="D21" s="729"/>
      <c r="E21" s="729"/>
    </row>
    <row r="22" spans="1:8" ht="18" customHeight="1" x14ac:dyDescent="0.25">
      <c r="A22" s="517" t="s">
        <v>447</v>
      </c>
      <c r="B22" s="2214">
        <v>311</v>
      </c>
      <c r="C22" s="518"/>
      <c r="D22" s="518"/>
      <c r="E22" s="518"/>
    </row>
    <row r="23" spans="1:8" ht="26.25" customHeight="1" x14ac:dyDescent="0.25">
      <c r="A23" s="517" t="s">
        <v>735</v>
      </c>
      <c r="B23" s="2214">
        <v>312</v>
      </c>
      <c r="C23" s="518"/>
      <c r="D23" s="518"/>
      <c r="E23" s="518"/>
    </row>
    <row r="24" spans="1:8" ht="26.25" customHeight="1" x14ac:dyDescent="0.25">
      <c r="A24" s="517" t="s">
        <v>736</v>
      </c>
      <c r="B24" s="2214">
        <v>313</v>
      </c>
      <c r="C24" s="518"/>
      <c r="D24" s="518"/>
      <c r="E24" s="518"/>
    </row>
    <row r="25" spans="1:8" ht="28.5" customHeight="1" x14ac:dyDescent="0.25">
      <c r="A25" s="517" t="s">
        <v>455</v>
      </c>
      <c r="B25" s="2214">
        <v>314</v>
      </c>
      <c r="C25" s="518"/>
      <c r="D25" s="518"/>
      <c r="E25" s="518"/>
    </row>
    <row r="26" spans="1:8" ht="15" customHeight="1" x14ac:dyDescent="0.25">
      <c r="A26" s="517" t="s">
        <v>456</v>
      </c>
      <c r="B26" s="2214">
        <v>315</v>
      </c>
      <c r="C26" s="518"/>
      <c r="D26" s="518"/>
      <c r="E26" s="518"/>
    </row>
    <row r="27" spans="1:8" ht="63.75" customHeight="1" x14ac:dyDescent="0.25">
      <c r="A27" s="517" t="s">
        <v>448</v>
      </c>
      <c r="B27" s="2214">
        <v>316</v>
      </c>
      <c r="C27" s="518"/>
      <c r="D27" s="518"/>
      <c r="E27" s="518"/>
    </row>
    <row r="28" spans="1:8" ht="20.25" customHeight="1" x14ac:dyDescent="0.25">
      <c r="A28" s="517" t="s">
        <v>449</v>
      </c>
      <c r="B28" s="2214">
        <v>317</v>
      </c>
      <c r="C28" s="518"/>
      <c r="D28" s="518"/>
      <c r="E28" s="518"/>
    </row>
    <row r="29" spans="1:8" ht="20.25" customHeight="1" x14ac:dyDescent="0.25">
      <c r="A29" s="517" t="s">
        <v>450</v>
      </c>
      <c r="B29" s="2214">
        <v>318</v>
      </c>
      <c r="C29" s="518"/>
      <c r="D29" s="518"/>
      <c r="E29" s="518"/>
      <c r="F29" s="728"/>
      <c r="G29" s="728"/>
      <c r="H29" s="728"/>
    </row>
    <row r="30" spans="1:8" ht="20.25" customHeight="1" x14ac:dyDescent="0.25">
      <c r="A30" s="517" t="s">
        <v>745</v>
      </c>
      <c r="B30" s="2214">
        <v>319</v>
      </c>
      <c r="C30" s="518"/>
      <c r="D30" s="518"/>
      <c r="E30" s="518"/>
      <c r="G30" s="728"/>
    </row>
    <row r="31" spans="1:8" ht="59.25" customHeight="1" x14ac:dyDescent="0.25">
      <c r="A31" s="517" t="s">
        <v>451</v>
      </c>
      <c r="B31" s="2214">
        <v>400</v>
      </c>
      <c r="C31" s="518"/>
      <c r="D31" s="518"/>
      <c r="E31" s="518"/>
      <c r="F31" s="728"/>
    </row>
    <row r="32" spans="1:8" ht="49.5" customHeight="1" x14ac:dyDescent="0.25">
      <c r="A32" s="517" t="s">
        <v>452</v>
      </c>
      <c r="B32" s="2214">
        <v>500</v>
      </c>
      <c r="C32" s="518"/>
      <c r="D32" s="518"/>
      <c r="E32" s="518"/>
    </row>
    <row r="33" spans="1:6" s="524" customFormat="1" ht="31.5" customHeight="1" x14ac:dyDescent="0.2">
      <c r="A33" s="521" t="s">
        <v>1241</v>
      </c>
      <c r="B33" s="522">
        <v>600</v>
      </c>
      <c r="C33" s="523">
        <f>C8-C9+C10-C31+C32</f>
        <v>136200</v>
      </c>
      <c r="D33" s="523">
        <f>D8-D9+D10-D31+D32</f>
        <v>0</v>
      </c>
      <c r="E33" s="523">
        <f>E8-E9+E10-E31+E32</f>
        <v>0</v>
      </c>
    </row>
    <row r="34" spans="1:6" x14ac:dyDescent="0.25">
      <c r="A34" s="511" t="s">
        <v>197</v>
      </c>
      <c r="C34" s="728"/>
      <c r="D34" s="728"/>
      <c r="E34" s="728"/>
      <c r="F34" s="728"/>
    </row>
    <row r="35" spans="1:6" x14ac:dyDescent="0.25">
      <c r="C35" s="728"/>
      <c r="D35" s="728"/>
      <c r="E35" s="728"/>
    </row>
  </sheetData>
  <mergeCells count="5">
    <mergeCell ref="A1:E1"/>
    <mergeCell ref="A2:E2"/>
    <mergeCell ref="A4:A6"/>
    <mergeCell ref="B4:B6"/>
    <mergeCell ref="C4:E4"/>
  </mergeCells>
  <pageMargins left="0.70866141732283472" right="0.70866141732283472" top="0.74803149606299213" bottom="0.74803149606299213" header="0.31496062992125984" footer="0.31496062992125984"/>
  <pageSetup paperSize="9" scale="58"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C000"/>
    <pageSetUpPr fitToPage="1"/>
  </sheetPr>
  <dimension ref="A1:AF67"/>
  <sheetViews>
    <sheetView showZeros="0" view="pageBreakPreview" zoomScale="70" zoomScaleNormal="80" zoomScaleSheetLayoutView="70" workbookViewId="0">
      <pane xSplit="4" ySplit="9" topLeftCell="E10" activePane="bottomRight" state="frozen"/>
      <selection pane="topRight" activeCell="E1" sqref="E1"/>
      <selection pane="bottomLeft" activeCell="A10" sqref="A10"/>
      <selection pane="bottomRight" activeCell="Q25" sqref="Q25"/>
    </sheetView>
  </sheetViews>
  <sheetFormatPr defaultColWidth="10.6640625" defaultRowHeight="15" x14ac:dyDescent="0.25"/>
  <cols>
    <col min="1" max="1" width="9.33203125" style="475" customWidth="1"/>
    <col min="2" max="2" width="66.33203125" style="463" customWidth="1"/>
    <col min="3" max="3" width="17.1640625" style="476" customWidth="1"/>
    <col min="4" max="4" width="16.83203125" style="463" customWidth="1"/>
    <col min="5" max="5" width="14.6640625" style="463" customWidth="1"/>
    <col min="6" max="8" width="16.5" style="464" hidden="1" customWidth="1"/>
    <col min="9" max="9" width="10.83203125" style="462" hidden="1" customWidth="1"/>
    <col min="10" max="10" width="17.33203125" style="462" hidden="1" customWidth="1"/>
    <col min="11" max="11" width="14.1640625" style="464" hidden="1" customWidth="1"/>
    <col min="12" max="12" width="10.83203125" style="462" hidden="1" customWidth="1"/>
    <col min="13" max="13" width="17.33203125" style="462" hidden="1" customWidth="1"/>
    <col min="14" max="14" width="14.1640625" style="464" hidden="1" customWidth="1"/>
    <col min="15" max="20" width="14.1640625" style="464" customWidth="1"/>
    <col min="21" max="21" width="11.6640625" style="462" customWidth="1"/>
    <col min="22" max="22" width="15" style="462" customWidth="1"/>
    <col min="23" max="24" width="15.5" style="462" customWidth="1"/>
    <col min="25" max="25" width="18.83203125" style="462" customWidth="1"/>
    <col min="26" max="26" width="68.6640625" style="462" customWidth="1"/>
    <col min="27" max="27" width="10.6640625" style="463"/>
    <col min="28" max="28" width="12.83203125" style="463" bestFit="1" customWidth="1"/>
    <col min="29" max="29" width="10.83203125" style="463" bestFit="1" customWidth="1"/>
    <col min="30" max="16384" width="10.6640625" style="463"/>
  </cols>
  <sheetData>
    <row r="1" spans="1:32" x14ac:dyDescent="0.25">
      <c r="A1" s="2026"/>
      <c r="B1" s="2027"/>
      <c r="C1" s="2027"/>
      <c r="D1" s="2027"/>
      <c r="E1" s="2027"/>
      <c r="F1" s="478"/>
      <c r="G1" s="478"/>
      <c r="H1" s="478"/>
      <c r="I1" s="478"/>
      <c r="J1" s="2028"/>
      <c r="K1" s="478"/>
      <c r="L1" s="478"/>
      <c r="M1" s="2028"/>
      <c r="N1" s="478"/>
      <c r="O1" s="478"/>
      <c r="P1" s="478"/>
      <c r="Q1" s="478"/>
      <c r="R1" s="478"/>
      <c r="S1" s="478"/>
      <c r="T1" s="478"/>
      <c r="U1" s="2029"/>
      <c r="V1" s="2029"/>
      <c r="W1" s="2029"/>
      <c r="X1" s="2029"/>
      <c r="Y1" s="2029"/>
      <c r="AA1" s="462"/>
      <c r="AB1" s="462"/>
      <c r="AC1" s="462"/>
      <c r="AD1" s="462"/>
      <c r="AE1" s="462"/>
      <c r="AF1" s="462"/>
    </row>
    <row r="2" spans="1:32" ht="42.75" customHeight="1" x14ac:dyDescent="0.25">
      <c r="A2" s="2748" t="s">
        <v>1670</v>
      </c>
      <c r="B2" s="2748"/>
      <c r="C2" s="2748"/>
      <c r="D2" s="2748"/>
      <c r="E2" s="2748"/>
      <c r="F2" s="2748"/>
      <c r="G2" s="2748"/>
      <c r="H2" s="2748"/>
      <c r="I2" s="2748"/>
      <c r="J2" s="2748"/>
      <c r="K2" s="2748"/>
      <c r="L2" s="2748"/>
      <c r="M2" s="2748"/>
      <c r="N2" s="2748"/>
      <c r="O2" s="2748"/>
      <c r="P2" s="2748"/>
      <c r="Q2" s="2748"/>
      <c r="R2" s="2748"/>
      <c r="S2" s="2748"/>
      <c r="T2" s="2748"/>
      <c r="U2" s="2748"/>
      <c r="V2" s="2748"/>
      <c r="W2" s="2748"/>
      <c r="X2" s="2748"/>
      <c r="Y2" s="2748"/>
      <c r="Z2" s="2748"/>
      <c r="AA2" s="462"/>
      <c r="AB2" s="462"/>
      <c r="AC2" s="462"/>
      <c r="AD2" s="462"/>
      <c r="AE2" s="462"/>
      <c r="AF2" s="462"/>
    </row>
    <row r="3" spans="1:32" ht="18.75" customHeight="1" x14ac:dyDescent="0.25">
      <c r="A3" s="2749" t="s">
        <v>1253</v>
      </c>
      <c r="B3" s="2749"/>
      <c r="C3" s="2749"/>
      <c r="D3" s="2749"/>
      <c r="E3" s="2749"/>
      <c r="F3" s="2749"/>
      <c r="G3" s="2749"/>
      <c r="H3" s="2749"/>
      <c r="I3" s="2749"/>
      <c r="J3" s="2749"/>
      <c r="K3" s="2749"/>
      <c r="L3" s="2749"/>
      <c r="M3" s="2749"/>
      <c r="N3" s="2749"/>
      <c r="O3" s="2749"/>
      <c r="P3" s="2749"/>
      <c r="Q3" s="2749"/>
      <c r="R3" s="2749"/>
      <c r="S3" s="2749"/>
      <c r="T3" s="2749"/>
      <c r="U3" s="2749"/>
      <c r="V3" s="2749"/>
      <c r="W3" s="2749"/>
      <c r="X3" s="2749"/>
      <c r="Y3" s="2749"/>
      <c r="Z3" s="2749"/>
      <c r="AA3" s="462"/>
      <c r="AB3" s="462"/>
      <c r="AC3" s="462"/>
      <c r="AD3" s="462"/>
      <c r="AE3" s="462"/>
      <c r="AF3" s="462"/>
    </row>
    <row r="4" spans="1:32" x14ac:dyDescent="0.25">
      <c r="A4" s="2026"/>
      <c r="B4" s="2027"/>
      <c r="C4" s="2027"/>
      <c r="D4" s="2027"/>
      <c r="E4" s="2027"/>
      <c r="F4" s="478"/>
      <c r="G4" s="478"/>
      <c r="H4" s="478"/>
      <c r="I4" s="478"/>
      <c r="J4" s="478"/>
      <c r="K4" s="478"/>
      <c r="L4" s="478"/>
      <c r="M4" s="478"/>
      <c r="N4" s="478"/>
      <c r="O4" s="478"/>
      <c r="P4" s="478"/>
      <c r="Q4" s="478"/>
      <c r="R4" s="478"/>
      <c r="S4" s="478"/>
      <c r="T4" s="478"/>
      <c r="U4" s="2029"/>
      <c r="V4" s="2029"/>
      <c r="W4" s="2029"/>
      <c r="X4" s="2029"/>
      <c r="Y4" s="2029"/>
      <c r="Z4" s="2059">
        <v>43829</v>
      </c>
      <c r="AA4" s="462"/>
      <c r="AB4" s="462"/>
      <c r="AC4" s="462"/>
      <c r="AD4" s="462"/>
      <c r="AE4" s="462"/>
      <c r="AF4" s="462"/>
    </row>
    <row r="5" spans="1:32" ht="48" customHeight="1" x14ac:dyDescent="0.25">
      <c r="A5" s="2764" t="s">
        <v>78</v>
      </c>
      <c r="B5" s="2764" t="s">
        <v>518</v>
      </c>
      <c r="C5" s="2765" t="s">
        <v>519</v>
      </c>
      <c r="D5" s="2764" t="s">
        <v>520</v>
      </c>
      <c r="E5" s="2764" t="s">
        <v>249</v>
      </c>
      <c r="F5" s="2759" t="s">
        <v>370</v>
      </c>
      <c r="G5" s="2759"/>
      <c r="H5" s="2759"/>
      <c r="I5" s="2759" t="s">
        <v>521</v>
      </c>
      <c r="J5" s="2759"/>
      <c r="K5" s="2759"/>
      <c r="L5" s="2760" t="s">
        <v>522</v>
      </c>
      <c r="M5" s="2761"/>
      <c r="N5" s="2762"/>
      <c r="O5" s="2763" t="s">
        <v>232</v>
      </c>
      <c r="P5" s="2763"/>
      <c r="Q5" s="2763"/>
      <c r="R5" s="2763" t="s">
        <v>233</v>
      </c>
      <c r="S5" s="2763"/>
      <c r="T5" s="2763"/>
      <c r="U5" s="2763" t="s">
        <v>234</v>
      </c>
      <c r="V5" s="2763"/>
      <c r="W5" s="2763"/>
      <c r="X5" s="2755" t="s">
        <v>120</v>
      </c>
      <c r="Y5" s="2755"/>
      <c r="Z5" s="2754" t="s">
        <v>524</v>
      </c>
      <c r="AA5" s="462"/>
      <c r="AB5" s="462"/>
      <c r="AC5" s="462"/>
      <c r="AD5" s="462"/>
      <c r="AE5" s="462"/>
      <c r="AF5" s="462"/>
    </row>
    <row r="6" spans="1:32" ht="15" customHeight="1" x14ac:dyDescent="0.25">
      <c r="A6" s="2764"/>
      <c r="B6" s="2764"/>
      <c r="C6" s="2765"/>
      <c r="D6" s="2764"/>
      <c r="E6" s="2764"/>
      <c r="F6" s="2750" t="s">
        <v>525</v>
      </c>
      <c r="G6" s="2750" t="s">
        <v>526</v>
      </c>
      <c r="H6" s="2751" t="s">
        <v>527</v>
      </c>
      <c r="I6" s="2750" t="s">
        <v>525</v>
      </c>
      <c r="J6" s="2750" t="s">
        <v>526</v>
      </c>
      <c r="K6" s="2751" t="s">
        <v>527</v>
      </c>
      <c r="L6" s="2750" t="s">
        <v>525</v>
      </c>
      <c r="M6" s="2750" t="s">
        <v>526</v>
      </c>
      <c r="N6" s="2751" t="s">
        <v>527</v>
      </c>
      <c r="O6" s="2750" t="s">
        <v>525</v>
      </c>
      <c r="P6" s="2750" t="s">
        <v>526</v>
      </c>
      <c r="Q6" s="2751" t="s">
        <v>527</v>
      </c>
      <c r="R6" s="2750" t="s">
        <v>525</v>
      </c>
      <c r="S6" s="2750" t="s">
        <v>526</v>
      </c>
      <c r="T6" s="2751" t="s">
        <v>527</v>
      </c>
      <c r="U6" s="2750" t="s">
        <v>525</v>
      </c>
      <c r="V6" s="2750" t="s">
        <v>526</v>
      </c>
      <c r="W6" s="2751" t="s">
        <v>527</v>
      </c>
      <c r="X6" s="2752" t="s">
        <v>529</v>
      </c>
      <c r="Y6" s="2753" t="s">
        <v>530</v>
      </c>
      <c r="Z6" s="2754"/>
      <c r="AA6" s="462"/>
      <c r="AB6" s="462"/>
      <c r="AC6" s="462"/>
      <c r="AD6" s="462"/>
      <c r="AE6" s="462"/>
      <c r="AF6" s="462"/>
    </row>
    <row r="7" spans="1:32" ht="83.25" customHeight="1" x14ac:dyDescent="0.25">
      <c r="A7" s="2764"/>
      <c r="B7" s="2764"/>
      <c r="C7" s="2765"/>
      <c r="D7" s="2764"/>
      <c r="E7" s="2764"/>
      <c r="F7" s="2750"/>
      <c r="G7" s="2750"/>
      <c r="H7" s="2751"/>
      <c r="I7" s="2750"/>
      <c r="J7" s="2750"/>
      <c r="K7" s="2751"/>
      <c r="L7" s="2750"/>
      <c r="M7" s="2750"/>
      <c r="N7" s="2751"/>
      <c r="O7" s="2750"/>
      <c r="P7" s="2750"/>
      <c r="Q7" s="2751"/>
      <c r="R7" s="2750"/>
      <c r="S7" s="2750"/>
      <c r="T7" s="2751"/>
      <c r="U7" s="2750"/>
      <c r="V7" s="2750"/>
      <c r="W7" s="2751"/>
      <c r="X7" s="2752"/>
      <c r="Y7" s="2753"/>
      <c r="Z7" s="2754"/>
      <c r="AA7" s="462"/>
      <c r="AB7" s="462"/>
      <c r="AC7" s="462"/>
      <c r="AD7" s="462"/>
      <c r="AE7" s="462"/>
      <c r="AF7" s="462"/>
    </row>
    <row r="8" spans="1:32" x14ac:dyDescent="0.25">
      <c r="A8" s="772">
        <v>1</v>
      </c>
      <c r="B8" s="772">
        <v>2</v>
      </c>
      <c r="C8" s="772">
        <v>3</v>
      </c>
      <c r="D8" s="772">
        <v>4</v>
      </c>
      <c r="E8" s="772">
        <v>5</v>
      </c>
      <c r="F8" s="772">
        <v>6</v>
      </c>
      <c r="G8" s="772">
        <v>7</v>
      </c>
      <c r="H8" s="772">
        <v>8</v>
      </c>
      <c r="I8" s="772">
        <v>9</v>
      </c>
      <c r="J8" s="772">
        <v>10</v>
      </c>
      <c r="K8" s="772">
        <v>11</v>
      </c>
      <c r="L8" s="772">
        <v>12</v>
      </c>
      <c r="M8" s="772">
        <v>13</v>
      </c>
      <c r="N8" s="772">
        <v>14</v>
      </c>
      <c r="O8" s="772">
        <v>15</v>
      </c>
      <c r="P8" s="772">
        <v>16</v>
      </c>
      <c r="Q8" s="772">
        <v>17</v>
      </c>
      <c r="R8" s="772">
        <v>18</v>
      </c>
      <c r="S8" s="772">
        <v>19</v>
      </c>
      <c r="T8" s="772">
        <v>20</v>
      </c>
      <c r="U8" s="772">
        <v>21</v>
      </c>
      <c r="V8" s="772">
        <v>22</v>
      </c>
      <c r="W8" s="772">
        <v>23</v>
      </c>
      <c r="X8" s="772">
        <v>24</v>
      </c>
      <c r="Y8" s="772">
        <v>25</v>
      </c>
      <c r="Z8" s="772">
        <v>26</v>
      </c>
      <c r="AA8" s="462"/>
      <c r="AB8" s="462"/>
      <c r="AC8" s="462"/>
      <c r="AD8" s="462"/>
      <c r="AE8" s="462"/>
      <c r="AF8" s="462"/>
    </row>
    <row r="9" spans="1:32" s="2036" customFormat="1" ht="16.5" x14ac:dyDescent="0.25">
      <c r="A9" s="2030"/>
      <c r="B9" s="2030" t="s">
        <v>1662</v>
      </c>
      <c r="C9" s="2031"/>
      <c r="D9" s="2032"/>
      <c r="E9" s="2030"/>
      <c r="F9" s="2033"/>
      <c r="G9" s="2033"/>
      <c r="H9" s="2034" t="e">
        <f>H10+#REF!</f>
        <v>#REF!</v>
      </c>
      <c r="I9" s="2033"/>
      <c r="J9" s="2033"/>
      <c r="K9" s="2034" t="e">
        <f>K10+#REF!</f>
        <v>#REF!</v>
      </c>
      <c r="L9" s="2033"/>
      <c r="M9" s="2033"/>
      <c r="N9" s="2034" t="e">
        <f>N10+#REF!</f>
        <v>#REF!</v>
      </c>
      <c r="O9" s="2033"/>
      <c r="P9" s="2033"/>
      <c r="Q9" s="2034">
        <f>Q10</f>
        <v>145.80000000000001</v>
      </c>
      <c r="R9" s="2033"/>
      <c r="S9" s="2033"/>
      <c r="T9" s="2034">
        <f>T10</f>
        <v>145.80000000000001</v>
      </c>
      <c r="U9" s="2033"/>
      <c r="V9" s="2033"/>
      <c r="W9" s="2034">
        <f>W10</f>
        <v>145.80000000000001</v>
      </c>
      <c r="X9" s="2034">
        <f>X10</f>
        <v>-115.2</v>
      </c>
      <c r="Y9" s="2034" t="str">
        <f>IFERROR(Q9/K9*100,"-")</f>
        <v>-</v>
      </c>
      <c r="Z9" s="2035"/>
    </row>
    <row r="10" spans="1:32" s="477" customFormat="1" ht="25.5" x14ac:dyDescent="0.2">
      <c r="A10" s="2037"/>
      <c r="B10" s="2038" t="s">
        <v>1663</v>
      </c>
      <c r="C10" s="2039"/>
      <c r="D10" s="2039"/>
      <c r="E10" s="2040"/>
      <c r="F10" s="2041"/>
      <c r="G10" s="2041"/>
      <c r="H10" s="2041" t="e">
        <f>H11+#REF!+#REF!+#REF!</f>
        <v>#REF!</v>
      </c>
      <c r="I10" s="2041"/>
      <c r="J10" s="2041"/>
      <c r="K10" s="2041" t="e">
        <f>K11+#REF!+#REF!+#REF!+#REF!+#REF!</f>
        <v>#REF!</v>
      </c>
      <c r="L10" s="2041"/>
      <c r="M10" s="2041"/>
      <c r="N10" s="2041" t="e">
        <f>N11+#REF!+#REF!+#REF!+#REF!+#REF!</f>
        <v>#REF!</v>
      </c>
      <c r="O10" s="2041"/>
      <c r="P10" s="2041"/>
      <c r="Q10" s="2041">
        <f>Q11+Q15+Q18</f>
        <v>145.80000000000001</v>
      </c>
      <c r="R10" s="2041"/>
      <c r="S10" s="2041"/>
      <c r="T10" s="2041">
        <f>T11</f>
        <v>145.80000000000001</v>
      </c>
      <c r="U10" s="2041"/>
      <c r="V10" s="2041"/>
      <c r="W10" s="2041">
        <f>W11</f>
        <v>145.80000000000001</v>
      </c>
      <c r="X10" s="2042">
        <f>X11</f>
        <v>-115.2</v>
      </c>
      <c r="Y10" s="2042" t="str">
        <f t="shared" ref="Y10:Y20" si="0">IFERROR(Q10/K10*100,"-")</f>
        <v>-</v>
      </c>
      <c r="Z10" s="2043" t="s">
        <v>1664</v>
      </c>
    </row>
    <row r="11" spans="1:32" s="472" customFormat="1" ht="66.75" customHeight="1" x14ac:dyDescent="0.2">
      <c r="A11" s="2044"/>
      <c r="B11" s="2045" t="s">
        <v>1665</v>
      </c>
      <c r="C11" s="2046"/>
      <c r="D11" s="2046" t="s">
        <v>1256</v>
      </c>
      <c r="E11" s="2047"/>
      <c r="F11" s="2048"/>
      <c r="G11" s="2048"/>
      <c r="H11" s="2048">
        <f>SUM(H12:H20)</f>
        <v>272.89999999999998</v>
      </c>
      <c r="I11" s="2048"/>
      <c r="J11" s="2048"/>
      <c r="K11" s="2048">
        <f>SUM(K12:K20)</f>
        <v>124.8</v>
      </c>
      <c r="L11" s="2048"/>
      <c r="M11" s="2048"/>
      <c r="N11" s="2048">
        <f>SUM(N12:N20)</f>
        <v>124.8</v>
      </c>
      <c r="O11" s="2048"/>
      <c r="P11" s="2048"/>
      <c r="Q11" s="2048">
        <f>Q13+Q12</f>
        <v>9.6</v>
      </c>
      <c r="R11" s="2049"/>
      <c r="S11" s="2049"/>
      <c r="T11" s="2049">
        <f>SUM(T12:T20)</f>
        <v>145.80000000000001</v>
      </c>
      <c r="U11" s="2048"/>
      <c r="V11" s="2048"/>
      <c r="W11" s="2048">
        <f>SUM(W12:W20)</f>
        <v>145.80000000000001</v>
      </c>
      <c r="X11" s="2050">
        <f t="shared" ref="X11:X20" si="1">Q11-K11</f>
        <v>-115.2</v>
      </c>
      <c r="Y11" s="2050">
        <f t="shared" si="0"/>
        <v>7.7</v>
      </c>
      <c r="Z11" s="2756" t="s">
        <v>1666</v>
      </c>
      <c r="AA11" s="467" t="s">
        <v>1562</v>
      </c>
    </row>
    <row r="12" spans="1:32" s="467" customFormat="1" ht="21" customHeight="1" x14ac:dyDescent="0.2">
      <c r="A12" s="691"/>
      <c r="B12" s="469" t="s">
        <v>1667</v>
      </c>
      <c r="C12" s="704" t="s">
        <v>531</v>
      </c>
      <c r="D12" s="471"/>
      <c r="E12" s="2051"/>
      <c r="F12" s="466">
        <v>7</v>
      </c>
      <c r="G12" s="466">
        <v>31.7</v>
      </c>
      <c r="H12" s="466">
        <f>F12*G12</f>
        <v>221.9</v>
      </c>
      <c r="I12" s="466">
        <v>3</v>
      </c>
      <c r="J12" s="466">
        <v>36</v>
      </c>
      <c r="K12" s="466">
        <f>I12*J12</f>
        <v>108</v>
      </c>
      <c r="L12" s="466">
        <v>3</v>
      </c>
      <c r="M12" s="466">
        <v>36</v>
      </c>
      <c r="N12" s="466">
        <f>L12*M12</f>
        <v>108</v>
      </c>
      <c r="O12" s="466">
        <v>3</v>
      </c>
      <c r="P12" s="466">
        <v>43</v>
      </c>
      <c r="Q12" s="466">
        <f>O12*P12-129</f>
        <v>0</v>
      </c>
      <c r="R12" s="2052">
        <v>3</v>
      </c>
      <c r="S12" s="2052">
        <v>43</v>
      </c>
      <c r="T12" s="2052">
        <f>R12*S12</f>
        <v>129</v>
      </c>
      <c r="U12" s="466">
        <v>3</v>
      </c>
      <c r="V12" s="466">
        <v>43</v>
      </c>
      <c r="W12" s="466">
        <f>U12*V12</f>
        <v>129</v>
      </c>
      <c r="X12" s="2050">
        <f t="shared" si="1"/>
        <v>-108</v>
      </c>
      <c r="Y12" s="2050">
        <f t="shared" si="0"/>
        <v>0</v>
      </c>
      <c r="Z12" s="2757"/>
      <c r="AA12" s="467" t="s">
        <v>1562</v>
      </c>
    </row>
    <row r="13" spans="1:32" s="467" customFormat="1" ht="21" customHeight="1" x14ac:dyDescent="0.2">
      <c r="A13" s="691"/>
      <c r="B13" s="469" t="s">
        <v>1668</v>
      </c>
      <c r="C13" s="704" t="s">
        <v>531</v>
      </c>
      <c r="D13" s="471"/>
      <c r="E13" s="2051"/>
      <c r="F13" s="466">
        <v>5</v>
      </c>
      <c r="G13" s="466">
        <v>2.1</v>
      </c>
      <c r="H13" s="466">
        <f>F13*G13</f>
        <v>10.5</v>
      </c>
      <c r="I13" s="466">
        <v>3</v>
      </c>
      <c r="J13" s="466">
        <v>1.4</v>
      </c>
      <c r="K13" s="466">
        <f>(I13*J13)*4</f>
        <v>16.8</v>
      </c>
      <c r="L13" s="466">
        <v>3</v>
      </c>
      <c r="M13" s="466">
        <v>1.4</v>
      </c>
      <c r="N13" s="466">
        <f>(L13*M13)*4</f>
        <v>16.8</v>
      </c>
      <c r="O13" s="466">
        <v>3</v>
      </c>
      <c r="P13" s="466">
        <v>1.4</v>
      </c>
      <c r="Q13" s="466">
        <f>(O13*P13)*4-7.2</f>
        <v>9.6</v>
      </c>
      <c r="R13" s="2052">
        <v>3</v>
      </c>
      <c r="S13" s="2052">
        <v>1.4</v>
      </c>
      <c r="T13" s="2052">
        <f>(R13*S13)*4</f>
        <v>16.8</v>
      </c>
      <c r="U13" s="466">
        <v>3</v>
      </c>
      <c r="V13" s="466">
        <v>1.4</v>
      </c>
      <c r="W13" s="466">
        <f>(U13*V13)*4</f>
        <v>16.8</v>
      </c>
      <c r="X13" s="2050">
        <f t="shared" si="1"/>
        <v>-7.2</v>
      </c>
      <c r="Y13" s="2050">
        <f t="shared" si="0"/>
        <v>57.1</v>
      </c>
      <c r="Z13" s="2757"/>
      <c r="AA13" s="467" t="s">
        <v>1562</v>
      </c>
    </row>
    <row r="14" spans="1:32" s="467" customFormat="1" ht="21" customHeight="1" x14ac:dyDescent="0.2">
      <c r="A14" s="691"/>
      <c r="B14" s="469" t="s">
        <v>1669</v>
      </c>
      <c r="C14" s="704" t="s">
        <v>1161</v>
      </c>
      <c r="D14" s="471"/>
      <c r="E14" s="2051"/>
      <c r="F14" s="466"/>
      <c r="G14" s="466"/>
      <c r="H14" s="466"/>
      <c r="I14" s="466"/>
      <c r="J14" s="466"/>
      <c r="K14" s="466"/>
      <c r="L14" s="466"/>
      <c r="M14" s="466"/>
      <c r="N14" s="466"/>
      <c r="O14" s="466"/>
      <c r="P14" s="466"/>
      <c r="Q14" s="466"/>
      <c r="R14" s="2052"/>
      <c r="S14" s="2052"/>
      <c r="T14" s="2052"/>
      <c r="U14" s="466"/>
      <c r="V14" s="466"/>
      <c r="W14" s="466"/>
      <c r="X14" s="2050"/>
      <c r="Y14" s="2050"/>
      <c r="Z14" s="2758"/>
    </row>
    <row r="15" spans="1:32" s="467" customFormat="1" ht="45" customHeight="1" x14ac:dyDescent="0.2">
      <c r="A15" s="691"/>
      <c r="B15" s="2150" t="s">
        <v>1711</v>
      </c>
      <c r="C15" s="704"/>
      <c r="D15" s="2046" t="s">
        <v>1256</v>
      </c>
      <c r="E15" s="2051"/>
      <c r="F15" s="466"/>
      <c r="G15" s="466"/>
      <c r="H15" s="466"/>
      <c r="I15" s="466"/>
      <c r="J15" s="466"/>
      <c r="K15" s="466"/>
      <c r="L15" s="466"/>
      <c r="M15" s="466"/>
      <c r="N15" s="466"/>
      <c r="O15" s="466"/>
      <c r="P15" s="466"/>
      <c r="Q15" s="2151">
        <f>Q16+Q17</f>
        <v>100.6</v>
      </c>
      <c r="R15" s="2052"/>
      <c r="S15" s="2052"/>
      <c r="T15" s="2052"/>
      <c r="U15" s="466"/>
      <c r="V15" s="466"/>
      <c r="W15" s="466"/>
      <c r="X15" s="2050"/>
      <c r="Y15" s="2050"/>
      <c r="Z15" s="2148"/>
    </row>
    <row r="16" spans="1:32" s="467" customFormat="1" ht="18.75" customHeight="1" x14ac:dyDescent="0.2">
      <c r="A16" s="691"/>
      <c r="B16" s="469" t="s">
        <v>1712</v>
      </c>
      <c r="C16" s="704" t="s">
        <v>531</v>
      </c>
      <c r="D16" s="471"/>
      <c r="E16" s="2051"/>
      <c r="F16" s="466"/>
      <c r="G16" s="466"/>
      <c r="H16" s="466"/>
      <c r="I16" s="466"/>
      <c r="J16" s="466"/>
      <c r="K16" s="466"/>
      <c r="L16" s="466"/>
      <c r="M16" s="466"/>
      <c r="N16" s="466"/>
      <c r="O16" s="466">
        <v>2</v>
      </c>
      <c r="P16" s="466">
        <v>27.1</v>
      </c>
      <c r="Q16" s="466">
        <f>O16*P16</f>
        <v>54.2</v>
      </c>
      <c r="R16" s="2052"/>
      <c r="S16" s="2052"/>
      <c r="T16" s="2052"/>
      <c r="U16" s="466"/>
      <c r="V16" s="466"/>
      <c r="W16" s="466"/>
      <c r="X16" s="2050"/>
      <c r="Y16" s="2050"/>
      <c r="Z16" s="2148"/>
    </row>
    <row r="17" spans="1:32" s="467" customFormat="1" ht="18.75" customHeight="1" x14ac:dyDescent="0.2">
      <c r="A17" s="691"/>
      <c r="B17" s="469" t="s">
        <v>1713</v>
      </c>
      <c r="C17" s="704" t="s">
        <v>531</v>
      </c>
      <c r="D17" s="471"/>
      <c r="E17" s="2051"/>
      <c r="F17" s="466"/>
      <c r="G17" s="466"/>
      <c r="H17" s="466"/>
      <c r="I17" s="466"/>
      <c r="J17" s="466"/>
      <c r="K17" s="466"/>
      <c r="L17" s="466"/>
      <c r="M17" s="466"/>
      <c r="N17" s="466"/>
      <c r="O17" s="466">
        <v>2</v>
      </c>
      <c r="P17" s="466">
        <v>23.2</v>
      </c>
      <c r="Q17" s="466">
        <f>O17*P17</f>
        <v>46.4</v>
      </c>
      <c r="R17" s="2052"/>
      <c r="S17" s="2052"/>
      <c r="T17" s="2052"/>
      <c r="U17" s="466"/>
      <c r="V17" s="466"/>
      <c r="W17" s="466"/>
      <c r="X17" s="2050"/>
      <c r="Y17" s="2050"/>
      <c r="Z17" s="2148"/>
    </row>
    <row r="18" spans="1:32" s="467" customFormat="1" ht="42" customHeight="1" x14ac:dyDescent="0.2">
      <c r="A18" s="691"/>
      <c r="B18" s="2150" t="s">
        <v>1714</v>
      </c>
      <c r="C18" s="704"/>
      <c r="D18" s="2046" t="s">
        <v>1256</v>
      </c>
      <c r="E18" s="2051"/>
      <c r="F18" s="466"/>
      <c r="G18" s="466"/>
      <c r="H18" s="466"/>
      <c r="I18" s="466"/>
      <c r="J18" s="466"/>
      <c r="K18" s="466"/>
      <c r="L18" s="466"/>
      <c r="M18" s="466"/>
      <c r="N18" s="466"/>
      <c r="O18" s="466"/>
      <c r="P18" s="466"/>
      <c r="Q18" s="2151">
        <f>Q19+Q20</f>
        <v>35.6</v>
      </c>
      <c r="R18" s="2052"/>
      <c r="S18" s="2052"/>
      <c r="T18" s="2052"/>
      <c r="U18" s="466"/>
      <c r="V18" s="466"/>
      <c r="W18" s="466"/>
      <c r="X18" s="2050"/>
      <c r="Y18" s="2050"/>
      <c r="Z18" s="2148"/>
    </row>
    <row r="19" spans="1:32" s="467" customFormat="1" ht="18.75" customHeight="1" x14ac:dyDescent="0.2">
      <c r="A19" s="691"/>
      <c r="B19" s="469" t="s">
        <v>1712</v>
      </c>
      <c r="C19" s="704" t="s">
        <v>531</v>
      </c>
      <c r="D19" s="471"/>
      <c r="E19" s="2051"/>
      <c r="F19" s="466"/>
      <c r="G19" s="466"/>
      <c r="H19" s="466"/>
      <c r="I19" s="466"/>
      <c r="J19" s="466"/>
      <c r="K19" s="466"/>
      <c r="L19" s="466"/>
      <c r="M19" s="466"/>
      <c r="N19" s="466"/>
      <c r="O19" s="466">
        <v>1</v>
      </c>
      <c r="P19" s="466">
        <v>23</v>
      </c>
      <c r="Q19" s="466">
        <f t="shared" ref="Q19:Q20" si="2">O19*P19</f>
        <v>23</v>
      </c>
      <c r="R19" s="2052"/>
      <c r="S19" s="2052"/>
      <c r="T19" s="2052"/>
      <c r="U19" s="466"/>
      <c r="V19" s="466"/>
      <c r="W19" s="466"/>
      <c r="X19" s="2050"/>
      <c r="Y19" s="2050"/>
      <c r="Z19" s="2148"/>
    </row>
    <row r="20" spans="1:32" s="467" customFormat="1" ht="18.75" customHeight="1" x14ac:dyDescent="0.2">
      <c r="A20" s="691"/>
      <c r="B20" s="469" t="s">
        <v>1668</v>
      </c>
      <c r="C20" s="704" t="s">
        <v>531</v>
      </c>
      <c r="D20" s="471"/>
      <c r="E20" s="2051"/>
      <c r="F20" s="466">
        <v>5</v>
      </c>
      <c r="G20" s="466">
        <v>8.1</v>
      </c>
      <c r="H20" s="466">
        <f>F20*G20</f>
        <v>40.5</v>
      </c>
      <c r="I20" s="466"/>
      <c r="J20" s="466"/>
      <c r="K20" s="466">
        <f>(I20*J20)*5</f>
        <v>0</v>
      </c>
      <c r="L20" s="466"/>
      <c r="M20" s="466"/>
      <c r="N20" s="466">
        <f>(L20*M20)*5</f>
        <v>0</v>
      </c>
      <c r="O20" s="466">
        <v>1</v>
      </c>
      <c r="P20" s="466">
        <v>12.6</v>
      </c>
      <c r="Q20" s="466">
        <f t="shared" si="2"/>
        <v>12.6</v>
      </c>
      <c r="R20" s="466"/>
      <c r="S20" s="466"/>
      <c r="T20" s="466"/>
      <c r="U20" s="466"/>
      <c r="V20" s="466"/>
      <c r="W20" s="466"/>
      <c r="X20" s="2050">
        <f t="shared" si="1"/>
        <v>12.6</v>
      </c>
      <c r="Y20" s="2050" t="str">
        <f t="shared" si="0"/>
        <v>-</v>
      </c>
      <c r="Z20" s="2149"/>
      <c r="AA20" s="467" t="s">
        <v>1562</v>
      </c>
    </row>
    <row r="21" spans="1:32" s="468" customFormat="1" ht="12.75" x14ac:dyDescent="0.2">
      <c r="A21" s="2026"/>
      <c r="B21" s="2027"/>
      <c r="C21" s="2027"/>
      <c r="D21" s="2027"/>
      <c r="E21" s="2027"/>
      <c r="F21" s="461"/>
      <c r="G21" s="461"/>
      <c r="H21" s="461"/>
      <c r="I21" s="2053"/>
      <c r="J21" s="2053"/>
      <c r="K21" s="461"/>
      <c r="L21" s="2053"/>
      <c r="M21" s="2053"/>
      <c r="N21" s="461"/>
      <c r="O21" s="461"/>
      <c r="P21" s="461"/>
      <c r="Q21" s="461"/>
      <c r="R21" s="461"/>
      <c r="S21" s="461"/>
      <c r="T21" s="461"/>
      <c r="U21" s="2053"/>
      <c r="V21" s="2053"/>
      <c r="W21" s="2053"/>
      <c r="X21" s="2053"/>
      <c r="Y21" s="2053"/>
      <c r="AA21" s="476"/>
      <c r="AB21" s="476"/>
      <c r="AC21" s="476"/>
      <c r="AD21" s="476"/>
      <c r="AE21" s="476"/>
      <c r="AF21" s="476"/>
    </row>
    <row r="22" spans="1:32" s="465" customFormat="1" ht="12.75" x14ac:dyDescent="0.2">
      <c r="A22" s="2054"/>
      <c r="B22" s="2055"/>
      <c r="C22" s="470" t="s">
        <v>519</v>
      </c>
      <c r="D22" s="470" t="s">
        <v>1111</v>
      </c>
      <c r="E22" s="705"/>
      <c r="F22" s="473"/>
      <c r="G22" s="473"/>
      <c r="H22" s="473">
        <f>H23+H24</f>
        <v>272.89999999999998</v>
      </c>
      <c r="I22" s="473">
        <f t="shared" ref="I22:W22" si="3">I23+I24</f>
        <v>0</v>
      </c>
      <c r="J22" s="473">
        <f t="shared" si="3"/>
        <v>0</v>
      </c>
      <c r="K22" s="473">
        <f t="shared" si="3"/>
        <v>124.8</v>
      </c>
      <c r="L22" s="473">
        <f t="shared" si="3"/>
        <v>0</v>
      </c>
      <c r="M22" s="473">
        <f t="shared" si="3"/>
        <v>0</v>
      </c>
      <c r="N22" s="473">
        <f t="shared" si="3"/>
        <v>124.8</v>
      </c>
      <c r="O22" s="473">
        <f t="shared" si="3"/>
        <v>0</v>
      </c>
      <c r="P22" s="473">
        <f t="shared" si="3"/>
        <v>0</v>
      </c>
      <c r="Q22" s="473">
        <f t="shared" si="3"/>
        <v>145.80000000000001</v>
      </c>
      <c r="R22" s="473">
        <f t="shared" si="3"/>
        <v>0</v>
      </c>
      <c r="S22" s="473">
        <f t="shared" si="3"/>
        <v>0</v>
      </c>
      <c r="T22" s="473">
        <f t="shared" si="3"/>
        <v>145.80000000000001</v>
      </c>
      <c r="U22" s="473">
        <f t="shared" si="3"/>
        <v>6</v>
      </c>
      <c r="V22" s="473">
        <f t="shared" si="3"/>
        <v>44.4</v>
      </c>
      <c r="W22" s="473">
        <f t="shared" si="3"/>
        <v>145.80000000000001</v>
      </c>
      <c r="X22" s="2056"/>
      <c r="Y22" s="2056"/>
      <c r="AA22" s="2057"/>
      <c r="AB22" s="2057"/>
      <c r="AC22" s="2057"/>
      <c r="AD22" s="2057"/>
      <c r="AE22" s="2057"/>
      <c r="AF22" s="2057"/>
    </row>
    <row r="23" spans="1:32" s="468" customFormat="1" ht="12.75" x14ac:dyDescent="0.2">
      <c r="A23" s="2026"/>
      <c r="B23" s="2027"/>
      <c r="C23" s="2058" t="s">
        <v>531</v>
      </c>
      <c r="D23" s="2217" t="s">
        <v>1769</v>
      </c>
      <c r="E23" s="2058"/>
      <c r="F23" s="474"/>
      <c r="G23" s="474"/>
      <c r="H23" s="474">
        <f>H20</f>
        <v>40.5</v>
      </c>
      <c r="I23" s="474"/>
      <c r="J23" s="474"/>
      <c r="K23" s="474"/>
      <c r="L23" s="474"/>
      <c r="M23" s="474"/>
      <c r="N23" s="474"/>
      <c r="O23" s="474"/>
      <c r="P23" s="474"/>
      <c r="Q23" s="474">
        <f>Q11</f>
        <v>9.6</v>
      </c>
      <c r="R23" s="474"/>
      <c r="S23" s="474"/>
      <c r="T23" s="474"/>
      <c r="U23" s="474"/>
      <c r="V23" s="474"/>
      <c r="W23" s="474"/>
      <c r="X23" s="2053"/>
      <c r="Y23" s="2053"/>
      <c r="AA23" s="476"/>
      <c r="AB23" s="476"/>
      <c r="AC23" s="476"/>
      <c r="AD23" s="476"/>
      <c r="AE23" s="476"/>
      <c r="AF23" s="476"/>
    </row>
    <row r="24" spans="1:32" s="468" customFormat="1" ht="12.75" x14ac:dyDescent="0.2">
      <c r="A24" s="2026"/>
      <c r="B24" s="2027"/>
      <c r="C24" s="2058" t="s">
        <v>531</v>
      </c>
      <c r="D24" s="2217" t="s">
        <v>1770</v>
      </c>
      <c r="E24" s="2058"/>
      <c r="F24" s="474"/>
      <c r="G24" s="474"/>
      <c r="H24" s="474">
        <f>H12+H13</f>
        <v>232.4</v>
      </c>
      <c r="I24" s="474"/>
      <c r="J24" s="474"/>
      <c r="K24" s="474">
        <f>K12+K13</f>
        <v>124.8</v>
      </c>
      <c r="L24" s="474"/>
      <c r="M24" s="474"/>
      <c r="N24" s="474">
        <f>N12+N13</f>
        <v>124.8</v>
      </c>
      <c r="O24" s="474"/>
      <c r="P24" s="474"/>
      <c r="Q24" s="474">
        <f>Q15+Q18</f>
        <v>136.19999999999999</v>
      </c>
      <c r="R24" s="474"/>
      <c r="S24" s="474"/>
      <c r="T24" s="474">
        <f>T12+T13</f>
        <v>145.80000000000001</v>
      </c>
      <c r="U24" s="474">
        <f>U12+U13</f>
        <v>6</v>
      </c>
      <c r="V24" s="474">
        <f>V12+V13</f>
        <v>44.4</v>
      </c>
      <c r="W24" s="474">
        <f>W12+W13</f>
        <v>145.80000000000001</v>
      </c>
      <c r="X24" s="2053"/>
      <c r="Y24" s="2053"/>
      <c r="AA24" s="476"/>
      <c r="AB24" s="476"/>
      <c r="AC24" s="476"/>
      <c r="AD24" s="476"/>
      <c r="AE24" s="476"/>
      <c r="AF24" s="476"/>
    </row>
    <row r="25" spans="1:32" s="468" customFormat="1" ht="12.75" x14ac:dyDescent="0.2">
      <c r="A25" s="2026"/>
      <c r="B25" s="2027"/>
      <c r="C25" s="2027"/>
      <c r="D25" s="2027"/>
      <c r="E25" s="2027"/>
      <c r="F25" s="461"/>
      <c r="G25" s="461"/>
      <c r="H25" s="461"/>
      <c r="I25" s="2053"/>
      <c r="J25" s="2053"/>
      <c r="K25" s="461"/>
      <c r="L25" s="2053"/>
      <c r="M25" s="2053"/>
      <c r="N25" s="461"/>
      <c r="O25" s="461"/>
      <c r="P25" s="461"/>
      <c r="Q25" s="461"/>
      <c r="R25" s="461"/>
      <c r="S25" s="461"/>
      <c r="T25" s="461"/>
      <c r="U25" s="2053"/>
      <c r="V25" s="2053"/>
      <c r="W25" s="2053"/>
      <c r="X25" s="2053"/>
      <c r="Y25" s="2053"/>
      <c r="AA25" s="476"/>
      <c r="AB25" s="476"/>
      <c r="AC25" s="476"/>
      <c r="AD25" s="476"/>
      <c r="AE25" s="476"/>
      <c r="AF25" s="476"/>
    </row>
    <row r="26" spans="1:32" s="462" customFormat="1" x14ac:dyDescent="0.25">
      <c r="A26" s="2026"/>
      <c r="B26" s="2027"/>
      <c r="C26" s="2027"/>
      <c r="D26" s="2027"/>
      <c r="E26" s="2027"/>
      <c r="F26" s="461"/>
      <c r="G26" s="461"/>
      <c r="H26" s="461"/>
      <c r="I26" s="2053"/>
      <c r="J26" s="2053"/>
      <c r="K26" s="461"/>
      <c r="L26" s="2053"/>
      <c r="M26" s="2053"/>
      <c r="N26" s="461"/>
      <c r="O26" s="461"/>
      <c r="P26" s="461"/>
      <c r="Q26" s="461"/>
      <c r="R26" s="461"/>
      <c r="S26" s="461"/>
      <c r="T26" s="461"/>
      <c r="U26" s="2053"/>
      <c r="V26" s="2053"/>
      <c r="W26" s="2053"/>
      <c r="X26" s="2053"/>
      <c r="Y26" s="2053"/>
      <c r="AA26" s="463"/>
      <c r="AB26" s="463"/>
      <c r="AC26" s="463"/>
      <c r="AD26" s="463"/>
      <c r="AE26" s="463"/>
      <c r="AF26" s="463"/>
    </row>
    <row r="27" spans="1:32" s="462" customFormat="1" x14ac:dyDescent="0.25">
      <c r="A27" s="2026"/>
      <c r="B27" s="2027"/>
      <c r="C27" s="2027"/>
      <c r="D27" s="2027"/>
      <c r="E27" s="2027"/>
      <c r="F27" s="461"/>
      <c r="G27" s="461"/>
      <c r="H27" s="461"/>
      <c r="I27" s="2053"/>
      <c r="J27" s="2053"/>
      <c r="K27" s="461"/>
      <c r="L27" s="2053"/>
      <c r="M27" s="2053"/>
      <c r="N27" s="461"/>
      <c r="O27" s="461"/>
      <c r="P27" s="461"/>
      <c r="Q27" s="461"/>
      <c r="R27" s="461"/>
      <c r="S27" s="461"/>
      <c r="T27" s="461"/>
      <c r="U27" s="2053"/>
      <c r="V27" s="2053"/>
      <c r="W27" s="2053"/>
      <c r="X27" s="2053"/>
      <c r="Y27" s="2053"/>
      <c r="AA27" s="463"/>
      <c r="AB27" s="463"/>
      <c r="AC27" s="463"/>
      <c r="AD27" s="463"/>
      <c r="AE27" s="463"/>
      <c r="AF27" s="463"/>
    </row>
    <row r="28" spans="1:32" s="462" customFormat="1" x14ac:dyDescent="0.25">
      <c r="A28" s="2026"/>
      <c r="B28" s="2027"/>
      <c r="C28" s="2027"/>
      <c r="D28" s="2027"/>
      <c r="E28" s="2027"/>
      <c r="F28" s="461"/>
      <c r="G28" s="461"/>
      <c r="H28" s="461"/>
      <c r="I28" s="2053"/>
      <c r="J28" s="2053"/>
      <c r="K28" s="461"/>
      <c r="L28" s="2053"/>
      <c r="M28" s="2053"/>
      <c r="N28" s="461"/>
      <c r="O28" s="461"/>
      <c r="P28" s="461"/>
      <c r="Q28" s="461"/>
      <c r="R28" s="461"/>
      <c r="S28" s="461"/>
      <c r="T28" s="461"/>
      <c r="U28" s="2053"/>
      <c r="V28" s="2053"/>
      <c r="W28" s="2053"/>
      <c r="X28" s="2053"/>
      <c r="Y28" s="2053"/>
      <c r="AA28" s="463"/>
      <c r="AB28" s="463"/>
      <c r="AC28" s="463"/>
      <c r="AD28" s="463"/>
      <c r="AE28" s="463"/>
      <c r="AF28" s="463"/>
    </row>
    <row r="29" spans="1:32" s="462" customFormat="1" x14ac:dyDescent="0.25">
      <c r="A29" s="2026"/>
      <c r="B29" s="2027"/>
      <c r="C29" s="2027"/>
      <c r="D29" s="2027"/>
      <c r="E29" s="2027"/>
      <c r="F29" s="461"/>
      <c r="G29" s="461"/>
      <c r="H29" s="461"/>
      <c r="I29" s="2053"/>
      <c r="J29" s="2053"/>
      <c r="K29" s="461"/>
      <c r="L29" s="2053"/>
      <c r="M29" s="2053"/>
      <c r="N29" s="461"/>
      <c r="O29" s="461"/>
      <c r="P29" s="461"/>
      <c r="Q29" s="461"/>
      <c r="R29" s="461"/>
      <c r="S29" s="461"/>
      <c r="T29" s="461"/>
      <c r="U29" s="2053"/>
      <c r="V29" s="2053"/>
      <c r="W29" s="2053"/>
      <c r="X29" s="2053"/>
      <c r="Y29" s="2053"/>
      <c r="AA29" s="463"/>
      <c r="AB29" s="463"/>
      <c r="AC29" s="463"/>
      <c r="AD29" s="463"/>
      <c r="AE29" s="463"/>
      <c r="AF29" s="463"/>
    </row>
    <row r="30" spans="1:32" s="462" customFormat="1" x14ac:dyDescent="0.25">
      <c r="A30" s="2026"/>
      <c r="B30" s="2027"/>
      <c r="C30" s="2027"/>
      <c r="D30" s="2027"/>
      <c r="E30" s="2027"/>
      <c r="F30" s="461"/>
      <c r="G30" s="461"/>
      <c r="H30" s="461"/>
      <c r="I30" s="2053"/>
      <c r="J30" s="2053"/>
      <c r="K30" s="461"/>
      <c r="L30" s="2053"/>
      <c r="M30" s="2053"/>
      <c r="N30" s="461"/>
      <c r="O30" s="461"/>
      <c r="P30" s="461"/>
      <c r="Q30" s="461"/>
      <c r="R30" s="461"/>
      <c r="S30" s="461"/>
      <c r="T30" s="461"/>
      <c r="U30" s="2053"/>
      <c r="V30" s="2053"/>
      <c r="W30" s="2053"/>
      <c r="X30" s="2053"/>
      <c r="Y30" s="2053"/>
      <c r="AA30" s="463"/>
      <c r="AB30" s="463"/>
      <c r="AC30" s="463"/>
      <c r="AD30" s="463"/>
      <c r="AE30" s="463"/>
      <c r="AF30" s="463"/>
    </row>
    <row r="31" spans="1:32" s="462" customFormat="1" x14ac:dyDescent="0.25">
      <c r="A31" s="2026"/>
      <c r="B31" s="2027"/>
      <c r="C31" s="2027"/>
      <c r="D31" s="2027"/>
      <c r="E31" s="2027"/>
      <c r="F31" s="461"/>
      <c r="G31" s="461"/>
      <c r="H31" s="461"/>
      <c r="I31" s="2053"/>
      <c r="J31" s="2053"/>
      <c r="K31" s="461"/>
      <c r="L31" s="2053"/>
      <c r="M31" s="2053"/>
      <c r="N31" s="461"/>
      <c r="O31" s="461"/>
      <c r="P31" s="461"/>
      <c r="Q31" s="461"/>
      <c r="R31" s="461"/>
      <c r="S31" s="461"/>
      <c r="T31" s="461"/>
      <c r="U31" s="2053"/>
      <c r="V31" s="2053"/>
      <c r="W31" s="2053"/>
      <c r="X31" s="2053"/>
      <c r="Y31" s="2053"/>
      <c r="AA31" s="463"/>
      <c r="AB31" s="463"/>
      <c r="AC31" s="463"/>
      <c r="AD31" s="463"/>
      <c r="AE31" s="463"/>
      <c r="AF31" s="463"/>
    </row>
    <row r="32" spans="1:32" s="462" customFormat="1" x14ac:dyDescent="0.25">
      <c r="A32" s="2026"/>
      <c r="B32" s="2027"/>
      <c r="C32" s="2027"/>
      <c r="D32" s="2027"/>
      <c r="E32" s="2027"/>
      <c r="F32" s="461"/>
      <c r="G32" s="461"/>
      <c r="H32" s="461"/>
      <c r="I32" s="2053"/>
      <c r="J32" s="2053"/>
      <c r="K32" s="461"/>
      <c r="L32" s="2053"/>
      <c r="M32" s="2053"/>
      <c r="N32" s="461"/>
      <c r="O32" s="461"/>
      <c r="P32" s="461"/>
      <c r="Q32" s="461"/>
      <c r="R32" s="461"/>
      <c r="S32" s="461"/>
      <c r="T32" s="461"/>
      <c r="U32" s="2053"/>
      <c r="V32" s="2053"/>
      <c r="W32" s="2053"/>
      <c r="X32" s="2053"/>
      <c r="Y32" s="2053"/>
      <c r="AA32" s="463"/>
      <c r="AB32" s="463"/>
      <c r="AC32" s="463"/>
      <c r="AD32" s="463"/>
      <c r="AE32" s="463"/>
      <c r="AF32" s="463"/>
    </row>
    <row r="33" spans="1:32" s="462" customFormat="1" x14ac:dyDescent="0.25">
      <c r="A33" s="2026"/>
      <c r="B33" s="2027"/>
      <c r="C33" s="2027"/>
      <c r="D33" s="2027"/>
      <c r="E33" s="2027"/>
      <c r="F33" s="461"/>
      <c r="G33" s="461"/>
      <c r="H33" s="461"/>
      <c r="I33" s="2053"/>
      <c r="J33" s="2053"/>
      <c r="K33" s="461"/>
      <c r="L33" s="2053"/>
      <c r="M33" s="2053"/>
      <c r="N33" s="461"/>
      <c r="O33" s="461"/>
      <c r="P33" s="461"/>
      <c r="Q33" s="461"/>
      <c r="R33" s="461"/>
      <c r="S33" s="461"/>
      <c r="T33" s="461"/>
      <c r="U33" s="2053"/>
      <c r="V33" s="2053"/>
      <c r="W33" s="2053"/>
      <c r="X33" s="2053"/>
      <c r="Y33" s="2053"/>
      <c r="AA33" s="463"/>
      <c r="AB33" s="463"/>
      <c r="AC33" s="463"/>
      <c r="AD33" s="463"/>
      <c r="AE33" s="463"/>
      <c r="AF33" s="463"/>
    </row>
    <row r="34" spans="1:32" s="462" customFormat="1" x14ac:dyDescent="0.25">
      <c r="A34" s="2026"/>
      <c r="B34" s="2027"/>
      <c r="C34" s="2027"/>
      <c r="D34" s="2027"/>
      <c r="E34" s="2027"/>
      <c r="F34" s="461"/>
      <c r="G34" s="461"/>
      <c r="H34" s="461"/>
      <c r="I34" s="2053"/>
      <c r="J34" s="2053"/>
      <c r="K34" s="461"/>
      <c r="L34" s="2053"/>
      <c r="M34" s="2053"/>
      <c r="N34" s="461"/>
      <c r="O34" s="461"/>
      <c r="P34" s="461"/>
      <c r="Q34" s="461"/>
      <c r="R34" s="461"/>
      <c r="S34" s="461"/>
      <c r="T34" s="461"/>
      <c r="U34" s="2053"/>
      <c r="V34" s="2053"/>
      <c r="W34" s="2053"/>
      <c r="X34" s="2053"/>
      <c r="Y34" s="2053"/>
      <c r="AA34" s="463"/>
      <c r="AB34" s="463"/>
      <c r="AC34" s="463"/>
      <c r="AD34" s="463"/>
      <c r="AE34" s="463"/>
      <c r="AF34" s="463"/>
    </row>
    <row r="35" spans="1:32" s="462" customFormat="1" x14ac:dyDescent="0.25">
      <c r="A35" s="2026"/>
      <c r="B35" s="2027"/>
      <c r="C35" s="2027"/>
      <c r="D35" s="2027"/>
      <c r="E35" s="2027"/>
      <c r="F35" s="461"/>
      <c r="G35" s="461"/>
      <c r="H35" s="461"/>
      <c r="I35" s="2053"/>
      <c r="J35" s="2053"/>
      <c r="K35" s="461"/>
      <c r="L35" s="2053"/>
      <c r="M35" s="2053"/>
      <c r="N35" s="461"/>
      <c r="O35" s="461"/>
      <c r="P35" s="461"/>
      <c r="Q35" s="461"/>
      <c r="R35" s="461"/>
      <c r="S35" s="461"/>
      <c r="T35" s="461"/>
      <c r="U35" s="2053"/>
      <c r="V35" s="2053"/>
      <c r="W35" s="2053"/>
      <c r="X35" s="2053"/>
      <c r="Y35" s="2053"/>
      <c r="AA35" s="463"/>
      <c r="AB35" s="463"/>
      <c r="AC35" s="463"/>
      <c r="AD35" s="463"/>
      <c r="AE35" s="463"/>
      <c r="AF35" s="463"/>
    </row>
    <row r="36" spans="1:32" s="462" customFormat="1" x14ac:dyDescent="0.25">
      <c r="A36" s="2026"/>
      <c r="B36" s="2027"/>
      <c r="C36" s="2027"/>
      <c r="D36" s="2027"/>
      <c r="E36" s="2027"/>
      <c r="F36" s="461"/>
      <c r="G36" s="461"/>
      <c r="H36" s="461"/>
      <c r="I36" s="2053"/>
      <c r="J36" s="2053"/>
      <c r="K36" s="461"/>
      <c r="L36" s="2053"/>
      <c r="M36" s="2053"/>
      <c r="N36" s="461"/>
      <c r="O36" s="461"/>
      <c r="P36" s="461"/>
      <c r="Q36" s="461"/>
      <c r="R36" s="461"/>
      <c r="S36" s="461"/>
      <c r="T36" s="461"/>
      <c r="U36" s="2053"/>
      <c r="V36" s="2053"/>
      <c r="W36" s="2053"/>
      <c r="X36" s="2053"/>
      <c r="Y36" s="2053"/>
      <c r="AA36" s="463"/>
      <c r="AB36" s="463"/>
      <c r="AC36" s="463"/>
      <c r="AD36" s="463"/>
      <c r="AE36" s="463"/>
      <c r="AF36" s="463"/>
    </row>
    <row r="37" spans="1:32" s="462" customFormat="1" x14ac:dyDescent="0.25">
      <c r="A37" s="2026"/>
      <c r="B37" s="2027"/>
      <c r="C37" s="2027"/>
      <c r="D37" s="2027"/>
      <c r="E37" s="2027"/>
      <c r="F37" s="461"/>
      <c r="G37" s="461"/>
      <c r="H37" s="461"/>
      <c r="I37" s="2053"/>
      <c r="J37" s="2053"/>
      <c r="K37" s="461"/>
      <c r="L37" s="2053"/>
      <c r="M37" s="2053"/>
      <c r="N37" s="461"/>
      <c r="O37" s="461"/>
      <c r="P37" s="461"/>
      <c r="Q37" s="461"/>
      <c r="R37" s="461"/>
      <c r="S37" s="461"/>
      <c r="T37" s="461"/>
      <c r="U37" s="2053"/>
      <c r="V37" s="2053"/>
      <c r="W37" s="2053"/>
      <c r="X37" s="2053"/>
      <c r="Y37" s="2053"/>
      <c r="AA37" s="463"/>
      <c r="AB37" s="463"/>
      <c r="AC37" s="463"/>
      <c r="AD37" s="463"/>
      <c r="AE37" s="463"/>
      <c r="AF37" s="463"/>
    </row>
    <row r="38" spans="1:32" s="462" customFormat="1" x14ac:dyDescent="0.25">
      <c r="A38" s="2026"/>
      <c r="B38" s="2027"/>
      <c r="C38" s="2027"/>
      <c r="D38" s="2027"/>
      <c r="E38" s="2027"/>
      <c r="F38" s="461"/>
      <c r="G38" s="461"/>
      <c r="H38" s="461"/>
      <c r="I38" s="2053"/>
      <c r="J38" s="2053"/>
      <c r="K38" s="461"/>
      <c r="L38" s="2053"/>
      <c r="M38" s="2053"/>
      <c r="N38" s="461"/>
      <c r="O38" s="461"/>
      <c r="P38" s="461"/>
      <c r="Q38" s="461"/>
      <c r="R38" s="461"/>
      <c r="S38" s="461"/>
      <c r="T38" s="461"/>
      <c r="U38" s="2053"/>
      <c r="V38" s="2053"/>
      <c r="W38" s="2053"/>
      <c r="X38" s="2053"/>
      <c r="Y38" s="2053"/>
      <c r="AA38" s="463"/>
      <c r="AB38" s="463"/>
      <c r="AC38" s="463"/>
      <c r="AD38" s="463"/>
      <c r="AE38" s="463"/>
      <c r="AF38" s="463"/>
    </row>
    <row r="39" spans="1:32" s="462" customFormat="1" x14ac:dyDescent="0.25">
      <c r="A39" s="2026"/>
      <c r="B39" s="2027"/>
      <c r="C39" s="2027"/>
      <c r="D39" s="2027"/>
      <c r="E39" s="2027"/>
      <c r="F39" s="461"/>
      <c r="G39" s="461"/>
      <c r="H39" s="461"/>
      <c r="I39" s="2053"/>
      <c r="J39" s="2053"/>
      <c r="K39" s="461"/>
      <c r="L39" s="2053"/>
      <c r="M39" s="2053"/>
      <c r="N39" s="461"/>
      <c r="O39" s="461"/>
      <c r="P39" s="461"/>
      <c r="Q39" s="461"/>
      <c r="R39" s="461"/>
      <c r="S39" s="461"/>
      <c r="T39" s="461"/>
      <c r="U39" s="2053"/>
      <c r="V39" s="2053"/>
      <c r="W39" s="2053"/>
      <c r="X39" s="2053"/>
      <c r="Y39" s="2053"/>
      <c r="AA39" s="463"/>
      <c r="AB39" s="463"/>
      <c r="AC39" s="463"/>
      <c r="AD39" s="463"/>
      <c r="AE39" s="463"/>
      <c r="AF39" s="463"/>
    </row>
    <row r="40" spans="1:32" s="462" customFormat="1" x14ac:dyDescent="0.25">
      <c r="A40" s="2026"/>
      <c r="B40" s="2027"/>
      <c r="C40" s="2027"/>
      <c r="D40" s="2027"/>
      <c r="E40" s="2027"/>
      <c r="F40" s="461"/>
      <c r="G40" s="461"/>
      <c r="H40" s="461"/>
      <c r="I40" s="2053"/>
      <c r="J40" s="2053"/>
      <c r="K40" s="461"/>
      <c r="L40" s="2053"/>
      <c r="M40" s="2053"/>
      <c r="N40" s="461"/>
      <c r="O40" s="461"/>
      <c r="P40" s="461"/>
      <c r="Q40" s="461"/>
      <c r="R40" s="461"/>
      <c r="S40" s="461"/>
      <c r="T40" s="461"/>
      <c r="U40" s="2053"/>
      <c r="V40" s="2053"/>
      <c r="W40" s="2053"/>
      <c r="X40" s="2053"/>
      <c r="Y40" s="2053"/>
      <c r="AA40" s="463"/>
      <c r="AB40" s="463"/>
      <c r="AC40" s="463"/>
      <c r="AD40" s="463"/>
      <c r="AE40" s="463"/>
      <c r="AF40" s="463"/>
    </row>
    <row r="41" spans="1:32" s="462" customFormat="1" x14ac:dyDescent="0.25">
      <c r="A41" s="2026"/>
      <c r="B41" s="2027"/>
      <c r="C41" s="2027"/>
      <c r="D41" s="2027"/>
      <c r="E41" s="2027"/>
      <c r="F41" s="461"/>
      <c r="G41" s="461"/>
      <c r="H41" s="461"/>
      <c r="I41" s="2053"/>
      <c r="J41" s="2053"/>
      <c r="K41" s="461"/>
      <c r="L41" s="2053"/>
      <c r="M41" s="2053"/>
      <c r="N41" s="461"/>
      <c r="O41" s="461"/>
      <c r="P41" s="461"/>
      <c r="Q41" s="461"/>
      <c r="R41" s="461"/>
      <c r="S41" s="461"/>
      <c r="T41" s="461"/>
      <c r="U41" s="2053"/>
      <c r="V41" s="2053"/>
      <c r="W41" s="2053"/>
      <c r="X41" s="2053"/>
      <c r="Y41" s="2053"/>
      <c r="AA41" s="463"/>
      <c r="AB41" s="463"/>
      <c r="AC41" s="463"/>
      <c r="AD41" s="463"/>
      <c r="AE41" s="463"/>
      <c r="AF41" s="463"/>
    </row>
    <row r="42" spans="1:32" s="462" customFormat="1" x14ac:dyDescent="0.25">
      <c r="A42" s="2026"/>
      <c r="B42" s="2027"/>
      <c r="C42" s="2027"/>
      <c r="D42" s="2027"/>
      <c r="E42" s="2027"/>
      <c r="F42" s="461"/>
      <c r="G42" s="461"/>
      <c r="H42" s="461"/>
      <c r="I42" s="2053"/>
      <c r="J42" s="2053"/>
      <c r="K42" s="461"/>
      <c r="L42" s="2053"/>
      <c r="M42" s="2053"/>
      <c r="N42" s="461"/>
      <c r="O42" s="461"/>
      <c r="P42" s="461"/>
      <c r="Q42" s="461"/>
      <c r="R42" s="461"/>
      <c r="S42" s="461"/>
      <c r="T42" s="461"/>
      <c r="U42" s="2053"/>
      <c r="V42" s="2053"/>
      <c r="W42" s="2053"/>
      <c r="X42" s="2053"/>
      <c r="Y42" s="2053"/>
      <c r="AA42" s="463"/>
      <c r="AB42" s="463"/>
      <c r="AC42" s="463"/>
      <c r="AD42" s="463"/>
      <c r="AE42" s="463"/>
      <c r="AF42" s="463"/>
    </row>
    <row r="43" spans="1:32" s="462" customFormat="1" x14ac:dyDescent="0.25">
      <c r="A43" s="2026"/>
      <c r="B43" s="2027"/>
      <c r="C43" s="2027"/>
      <c r="D43" s="2027"/>
      <c r="E43" s="2027"/>
      <c r="F43" s="461"/>
      <c r="G43" s="461"/>
      <c r="H43" s="461"/>
      <c r="I43" s="2053"/>
      <c r="J43" s="2053"/>
      <c r="K43" s="461"/>
      <c r="L43" s="2053"/>
      <c r="M43" s="2053"/>
      <c r="N43" s="461"/>
      <c r="O43" s="461"/>
      <c r="P43" s="461"/>
      <c r="Q43" s="461"/>
      <c r="R43" s="461"/>
      <c r="S43" s="461"/>
      <c r="T43" s="461"/>
      <c r="U43" s="2053"/>
      <c r="V43" s="2053"/>
      <c r="W43" s="2053"/>
      <c r="X43" s="2053"/>
      <c r="Y43" s="2053"/>
      <c r="AA43" s="463"/>
      <c r="AB43" s="463"/>
      <c r="AC43" s="463"/>
      <c r="AD43" s="463"/>
      <c r="AE43" s="463"/>
      <c r="AF43" s="463"/>
    </row>
    <row r="44" spans="1:32" s="462" customFormat="1" x14ac:dyDescent="0.25">
      <c r="A44" s="2026"/>
      <c r="B44" s="2027"/>
      <c r="C44" s="2027"/>
      <c r="D44" s="2027"/>
      <c r="E44" s="2027"/>
      <c r="F44" s="461"/>
      <c r="G44" s="461"/>
      <c r="H44" s="461"/>
      <c r="I44" s="2053"/>
      <c r="J44" s="2053"/>
      <c r="K44" s="461"/>
      <c r="L44" s="2053"/>
      <c r="M44" s="2053"/>
      <c r="N44" s="461"/>
      <c r="O44" s="461"/>
      <c r="P44" s="461"/>
      <c r="Q44" s="461"/>
      <c r="R44" s="461"/>
      <c r="S44" s="461"/>
      <c r="T44" s="461"/>
      <c r="U44" s="2053"/>
      <c r="V44" s="2053"/>
      <c r="W44" s="2053"/>
      <c r="X44" s="2053"/>
      <c r="Y44" s="2053"/>
      <c r="AA44" s="463"/>
      <c r="AB44" s="463"/>
      <c r="AC44" s="463"/>
      <c r="AD44" s="463"/>
      <c r="AE44" s="463"/>
      <c r="AF44" s="463"/>
    </row>
    <row r="45" spans="1:32" s="462" customFormat="1" x14ac:dyDescent="0.25">
      <c r="A45" s="2026"/>
      <c r="B45" s="2027"/>
      <c r="C45" s="2027"/>
      <c r="D45" s="2027"/>
      <c r="E45" s="2027"/>
      <c r="F45" s="461"/>
      <c r="G45" s="461"/>
      <c r="H45" s="461"/>
      <c r="I45" s="2053"/>
      <c r="J45" s="2053"/>
      <c r="K45" s="461"/>
      <c r="L45" s="2053"/>
      <c r="M45" s="2053"/>
      <c r="N45" s="461"/>
      <c r="O45" s="461"/>
      <c r="P45" s="461"/>
      <c r="Q45" s="461"/>
      <c r="R45" s="461"/>
      <c r="S45" s="461"/>
      <c r="T45" s="461"/>
      <c r="U45" s="2053"/>
      <c r="V45" s="2053"/>
      <c r="W45" s="2053"/>
      <c r="X45" s="2053"/>
      <c r="Y45" s="2053"/>
      <c r="AA45" s="463"/>
      <c r="AB45" s="463"/>
      <c r="AC45" s="463"/>
      <c r="AD45" s="463"/>
      <c r="AE45" s="463"/>
      <c r="AF45" s="463"/>
    </row>
    <row r="46" spans="1:32" s="462" customFormat="1" x14ac:dyDescent="0.25">
      <c r="A46" s="2026"/>
      <c r="B46" s="2027"/>
      <c r="C46" s="2027"/>
      <c r="D46" s="2027"/>
      <c r="E46" s="2027"/>
      <c r="F46" s="461"/>
      <c r="G46" s="461"/>
      <c r="H46" s="461"/>
      <c r="I46" s="2053"/>
      <c r="J46" s="2053"/>
      <c r="K46" s="461"/>
      <c r="L46" s="2053"/>
      <c r="M46" s="2053"/>
      <c r="N46" s="461"/>
      <c r="O46" s="461"/>
      <c r="P46" s="461"/>
      <c r="Q46" s="461"/>
      <c r="R46" s="461"/>
      <c r="S46" s="461"/>
      <c r="T46" s="461"/>
      <c r="U46" s="2053"/>
      <c r="V46" s="2053"/>
      <c r="W46" s="2053"/>
      <c r="X46" s="2053"/>
      <c r="Y46" s="2053"/>
      <c r="AA46" s="463"/>
      <c r="AB46" s="463"/>
      <c r="AC46" s="463"/>
      <c r="AD46" s="463"/>
      <c r="AE46" s="463"/>
      <c r="AF46" s="463"/>
    </row>
    <row r="47" spans="1:32" s="462" customFormat="1" x14ac:dyDescent="0.25">
      <c r="A47" s="2026"/>
      <c r="B47" s="2027"/>
      <c r="C47" s="2027"/>
      <c r="D47" s="2027"/>
      <c r="E47" s="2027"/>
      <c r="F47" s="461"/>
      <c r="G47" s="461"/>
      <c r="H47" s="461"/>
      <c r="I47" s="2053"/>
      <c r="J47" s="2053"/>
      <c r="K47" s="461"/>
      <c r="L47" s="2053"/>
      <c r="M47" s="2053"/>
      <c r="N47" s="461"/>
      <c r="O47" s="461"/>
      <c r="P47" s="461"/>
      <c r="Q47" s="461"/>
      <c r="R47" s="461"/>
      <c r="S47" s="461"/>
      <c r="T47" s="461"/>
      <c r="U47" s="2053"/>
      <c r="V47" s="2053"/>
      <c r="W47" s="2053"/>
      <c r="X47" s="2053"/>
      <c r="Y47" s="2053"/>
      <c r="AA47" s="463"/>
      <c r="AB47" s="463"/>
      <c r="AC47" s="463"/>
      <c r="AD47" s="463"/>
      <c r="AE47" s="463"/>
      <c r="AF47" s="463"/>
    </row>
    <row r="48" spans="1:32" s="462" customFormat="1" x14ac:dyDescent="0.25">
      <c r="A48" s="2026"/>
      <c r="B48" s="2027"/>
      <c r="C48" s="2027"/>
      <c r="D48" s="2027"/>
      <c r="E48" s="2027"/>
      <c r="F48" s="461"/>
      <c r="G48" s="461"/>
      <c r="H48" s="461"/>
      <c r="I48" s="2053"/>
      <c r="J48" s="2053"/>
      <c r="K48" s="461"/>
      <c r="L48" s="2053"/>
      <c r="M48" s="2053"/>
      <c r="N48" s="461"/>
      <c r="O48" s="461"/>
      <c r="P48" s="461"/>
      <c r="Q48" s="461"/>
      <c r="R48" s="461"/>
      <c r="S48" s="461"/>
      <c r="T48" s="461"/>
      <c r="U48" s="2053"/>
      <c r="V48" s="2053"/>
      <c r="W48" s="2053"/>
      <c r="X48" s="2053"/>
      <c r="Y48" s="2053"/>
      <c r="AA48" s="463"/>
      <c r="AB48" s="463"/>
      <c r="AC48" s="463"/>
      <c r="AD48" s="463"/>
      <c r="AE48" s="463"/>
      <c r="AF48" s="463"/>
    </row>
    <row r="49" spans="1:32" s="462" customFormat="1" x14ac:dyDescent="0.25">
      <c r="A49" s="2026"/>
      <c r="B49" s="2027"/>
      <c r="C49" s="2027"/>
      <c r="D49" s="2027"/>
      <c r="E49" s="2027"/>
      <c r="F49" s="461"/>
      <c r="G49" s="461"/>
      <c r="H49" s="461"/>
      <c r="I49" s="2053"/>
      <c r="J49" s="2053"/>
      <c r="K49" s="461"/>
      <c r="L49" s="2053"/>
      <c r="M49" s="2053"/>
      <c r="N49" s="461"/>
      <c r="O49" s="461"/>
      <c r="P49" s="461"/>
      <c r="Q49" s="461"/>
      <c r="R49" s="461"/>
      <c r="S49" s="461"/>
      <c r="T49" s="461"/>
      <c r="U49" s="2053"/>
      <c r="V49" s="2053"/>
      <c r="W49" s="2053"/>
      <c r="X49" s="2053"/>
      <c r="Y49" s="2053"/>
      <c r="AA49" s="463"/>
      <c r="AB49" s="463"/>
      <c r="AC49" s="463"/>
      <c r="AD49" s="463"/>
      <c r="AE49" s="463"/>
      <c r="AF49" s="463"/>
    </row>
    <row r="50" spans="1:32" s="462" customFormat="1" x14ac:dyDescent="0.25">
      <c r="A50" s="2026"/>
      <c r="B50" s="2027"/>
      <c r="C50" s="2027"/>
      <c r="D50" s="2027"/>
      <c r="E50" s="2027"/>
      <c r="F50" s="461"/>
      <c r="G50" s="461"/>
      <c r="H50" s="461"/>
      <c r="I50" s="2053"/>
      <c r="J50" s="2053"/>
      <c r="K50" s="461"/>
      <c r="L50" s="2053"/>
      <c r="M50" s="2053"/>
      <c r="N50" s="461"/>
      <c r="O50" s="461"/>
      <c r="P50" s="461"/>
      <c r="Q50" s="461"/>
      <c r="R50" s="461"/>
      <c r="S50" s="461"/>
      <c r="T50" s="461"/>
      <c r="U50" s="2053"/>
      <c r="V50" s="2053"/>
      <c r="W50" s="2053"/>
      <c r="X50" s="2053"/>
      <c r="Y50" s="2053"/>
      <c r="AA50" s="463"/>
      <c r="AB50" s="463"/>
      <c r="AC50" s="463"/>
      <c r="AD50" s="463"/>
      <c r="AE50" s="463"/>
      <c r="AF50" s="463"/>
    </row>
    <row r="51" spans="1:32" s="462" customFormat="1" x14ac:dyDescent="0.25">
      <c r="A51" s="2026"/>
      <c r="B51" s="2027"/>
      <c r="C51" s="2027"/>
      <c r="D51" s="2027"/>
      <c r="E51" s="2027"/>
      <c r="F51" s="461"/>
      <c r="G51" s="461"/>
      <c r="H51" s="461"/>
      <c r="I51" s="2053"/>
      <c r="J51" s="2053"/>
      <c r="K51" s="461"/>
      <c r="L51" s="2053"/>
      <c r="M51" s="2053"/>
      <c r="N51" s="461"/>
      <c r="O51" s="461"/>
      <c r="P51" s="461"/>
      <c r="Q51" s="461"/>
      <c r="R51" s="461"/>
      <c r="S51" s="461"/>
      <c r="T51" s="461"/>
      <c r="U51" s="2053"/>
      <c r="V51" s="2053"/>
      <c r="W51" s="2053"/>
      <c r="X51" s="2053"/>
      <c r="Y51" s="2053"/>
      <c r="AA51" s="463"/>
      <c r="AB51" s="463"/>
      <c r="AC51" s="463"/>
      <c r="AD51" s="463"/>
      <c r="AE51" s="463"/>
      <c r="AF51" s="463"/>
    </row>
    <row r="52" spans="1:32" s="462" customFormat="1" x14ac:dyDescent="0.25">
      <c r="A52" s="2026"/>
      <c r="B52" s="2027"/>
      <c r="C52" s="2027"/>
      <c r="D52" s="2027"/>
      <c r="E52" s="2027"/>
      <c r="F52" s="461"/>
      <c r="G52" s="461"/>
      <c r="H52" s="461"/>
      <c r="I52" s="2053"/>
      <c r="J52" s="2053"/>
      <c r="K52" s="461"/>
      <c r="L52" s="2053"/>
      <c r="M52" s="2053"/>
      <c r="N52" s="461"/>
      <c r="O52" s="461"/>
      <c r="P52" s="461"/>
      <c r="Q52" s="461"/>
      <c r="R52" s="461"/>
      <c r="S52" s="461"/>
      <c r="T52" s="461"/>
      <c r="U52" s="2053"/>
      <c r="V52" s="2053"/>
      <c r="W52" s="2053"/>
      <c r="X52" s="2053"/>
      <c r="Y52" s="2053"/>
      <c r="AA52" s="463"/>
      <c r="AB52" s="463"/>
      <c r="AC52" s="463"/>
      <c r="AD52" s="463"/>
      <c r="AE52" s="463"/>
      <c r="AF52" s="463"/>
    </row>
    <row r="53" spans="1:32" s="462" customFormat="1" x14ac:dyDescent="0.25">
      <c r="A53" s="2026"/>
      <c r="B53" s="2027"/>
      <c r="C53" s="2027"/>
      <c r="D53" s="2027"/>
      <c r="E53" s="2027"/>
      <c r="F53" s="461"/>
      <c r="G53" s="461"/>
      <c r="H53" s="461"/>
      <c r="I53" s="2053"/>
      <c r="J53" s="2053"/>
      <c r="K53" s="461"/>
      <c r="L53" s="2053"/>
      <c r="M53" s="2053"/>
      <c r="N53" s="461"/>
      <c r="O53" s="461"/>
      <c r="P53" s="461"/>
      <c r="Q53" s="461"/>
      <c r="R53" s="461"/>
      <c r="S53" s="461"/>
      <c r="T53" s="461"/>
      <c r="U53" s="2053"/>
      <c r="V53" s="2053"/>
      <c r="W53" s="2053"/>
      <c r="X53" s="2053"/>
      <c r="Y53" s="2053"/>
      <c r="AA53" s="463"/>
      <c r="AB53" s="463"/>
      <c r="AC53" s="463"/>
      <c r="AD53" s="463"/>
      <c r="AE53" s="463"/>
      <c r="AF53" s="463"/>
    </row>
    <row r="54" spans="1:32" s="462" customFormat="1" x14ac:dyDescent="0.25">
      <c r="A54" s="2026"/>
      <c r="B54" s="2027"/>
      <c r="C54" s="2027"/>
      <c r="D54" s="2027"/>
      <c r="E54" s="2027"/>
      <c r="F54" s="461"/>
      <c r="G54" s="461"/>
      <c r="H54" s="461"/>
      <c r="I54" s="2053"/>
      <c r="J54" s="2053"/>
      <c r="K54" s="461"/>
      <c r="L54" s="2053"/>
      <c r="M54" s="2053"/>
      <c r="N54" s="461"/>
      <c r="O54" s="461"/>
      <c r="P54" s="461"/>
      <c r="Q54" s="461"/>
      <c r="R54" s="461"/>
      <c r="S54" s="461"/>
      <c r="T54" s="461"/>
      <c r="U54" s="2053"/>
      <c r="V54" s="2053"/>
      <c r="W54" s="2053"/>
      <c r="X54" s="2053"/>
      <c r="Y54" s="2053"/>
      <c r="AA54" s="463"/>
      <c r="AB54" s="463"/>
      <c r="AC54" s="463"/>
      <c r="AD54" s="463"/>
      <c r="AE54" s="463"/>
      <c r="AF54" s="463"/>
    </row>
    <row r="55" spans="1:32" s="462" customFormat="1" x14ac:dyDescent="0.25">
      <c r="A55" s="2026"/>
      <c r="B55" s="2027"/>
      <c r="C55" s="2027"/>
      <c r="D55" s="2027"/>
      <c r="E55" s="2027"/>
      <c r="F55" s="461"/>
      <c r="G55" s="461"/>
      <c r="H55" s="461"/>
      <c r="I55" s="2053"/>
      <c r="J55" s="2053"/>
      <c r="K55" s="461"/>
      <c r="L55" s="2053"/>
      <c r="M55" s="2053"/>
      <c r="N55" s="461"/>
      <c r="O55" s="461"/>
      <c r="P55" s="461"/>
      <c r="Q55" s="461"/>
      <c r="R55" s="461"/>
      <c r="S55" s="461"/>
      <c r="T55" s="461"/>
      <c r="U55" s="2053"/>
      <c r="V55" s="2053"/>
      <c r="W55" s="2053"/>
      <c r="X55" s="2053"/>
      <c r="Y55" s="2053"/>
      <c r="AA55" s="463"/>
      <c r="AB55" s="463"/>
      <c r="AC55" s="463"/>
      <c r="AD55" s="463"/>
      <c r="AE55" s="463"/>
      <c r="AF55" s="463"/>
    </row>
    <row r="56" spans="1:32" s="462" customFormat="1" x14ac:dyDescent="0.25">
      <c r="A56" s="2026"/>
      <c r="B56" s="2027"/>
      <c r="C56" s="2027"/>
      <c r="D56" s="2027"/>
      <c r="E56" s="2027"/>
      <c r="F56" s="461"/>
      <c r="G56" s="461"/>
      <c r="H56" s="461"/>
      <c r="I56" s="2053"/>
      <c r="J56" s="2053"/>
      <c r="K56" s="461"/>
      <c r="L56" s="2053"/>
      <c r="M56" s="2053"/>
      <c r="N56" s="461"/>
      <c r="O56" s="461"/>
      <c r="P56" s="461"/>
      <c r="Q56" s="461"/>
      <c r="R56" s="461"/>
      <c r="S56" s="461"/>
      <c r="T56" s="461"/>
      <c r="U56" s="2053"/>
      <c r="V56" s="2053"/>
      <c r="W56" s="2053"/>
      <c r="X56" s="2053"/>
      <c r="Y56" s="2053"/>
      <c r="AA56" s="463"/>
      <c r="AB56" s="463"/>
      <c r="AC56" s="463"/>
      <c r="AD56" s="463"/>
      <c r="AE56" s="463"/>
      <c r="AF56" s="463"/>
    </row>
    <row r="57" spans="1:32" s="462" customFormat="1" x14ac:dyDescent="0.25">
      <c r="A57" s="2026"/>
      <c r="B57" s="2027"/>
      <c r="C57" s="2027"/>
      <c r="D57" s="2027"/>
      <c r="E57" s="2027"/>
      <c r="F57" s="461"/>
      <c r="G57" s="461"/>
      <c r="H57" s="461"/>
      <c r="I57" s="2053"/>
      <c r="J57" s="2053"/>
      <c r="K57" s="461"/>
      <c r="L57" s="2053"/>
      <c r="M57" s="2053"/>
      <c r="N57" s="461"/>
      <c r="O57" s="461"/>
      <c r="P57" s="461"/>
      <c r="Q57" s="461"/>
      <c r="R57" s="461"/>
      <c r="S57" s="461"/>
      <c r="T57" s="461"/>
      <c r="U57" s="2053"/>
      <c r="V57" s="2053"/>
      <c r="W57" s="2053"/>
      <c r="X57" s="2053"/>
      <c r="Y57" s="2053"/>
      <c r="AA57" s="463"/>
      <c r="AB57" s="463"/>
      <c r="AC57" s="463"/>
      <c r="AD57" s="463"/>
      <c r="AE57" s="463"/>
      <c r="AF57" s="463"/>
    </row>
    <row r="58" spans="1:32" s="462" customFormat="1" x14ac:dyDescent="0.25">
      <c r="A58" s="2026"/>
      <c r="B58" s="2027"/>
      <c r="C58" s="2027"/>
      <c r="D58" s="2027"/>
      <c r="E58" s="2027"/>
      <c r="F58" s="461"/>
      <c r="G58" s="461"/>
      <c r="H58" s="461"/>
      <c r="I58" s="2053"/>
      <c r="J58" s="2053"/>
      <c r="K58" s="461"/>
      <c r="L58" s="2053"/>
      <c r="M58" s="2053"/>
      <c r="N58" s="461"/>
      <c r="O58" s="461"/>
      <c r="P58" s="461"/>
      <c r="Q58" s="461"/>
      <c r="R58" s="461"/>
      <c r="S58" s="461"/>
      <c r="T58" s="461"/>
      <c r="U58" s="2053"/>
      <c r="V58" s="2053"/>
      <c r="W58" s="2053"/>
      <c r="X58" s="2053"/>
      <c r="Y58" s="2053"/>
      <c r="AA58" s="463"/>
      <c r="AB58" s="463"/>
      <c r="AC58" s="463"/>
      <c r="AD58" s="463"/>
      <c r="AE58" s="463"/>
      <c r="AF58" s="463"/>
    </row>
    <row r="59" spans="1:32" s="462" customFormat="1" x14ac:dyDescent="0.25">
      <c r="A59" s="2026"/>
      <c r="B59" s="2027"/>
      <c r="C59" s="2027"/>
      <c r="D59" s="2027"/>
      <c r="E59" s="2027"/>
      <c r="F59" s="461"/>
      <c r="G59" s="461"/>
      <c r="H59" s="461"/>
      <c r="I59" s="2053"/>
      <c r="J59" s="2053"/>
      <c r="K59" s="461"/>
      <c r="L59" s="2053"/>
      <c r="M59" s="2053"/>
      <c r="N59" s="461"/>
      <c r="O59" s="461"/>
      <c r="P59" s="461"/>
      <c r="Q59" s="461"/>
      <c r="R59" s="461"/>
      <c r="S59" s="461"/>
      <c r="T59" s="461"/>
      <c r="U59" s="2053"/>
      <c r="V59" s="2053"/>
      <c r="W59" s="2053"/>
      <c r="X59" s="2053"/>
      <c r="Y59" s="2053"/>
      <c r="AA59" s="463"/>
      <c r="AB59" s="463"/>
      <c r="AC59" s="463"/>
      <c r="AD59" s="463"/>
      <c r="AE59" s="463"/>
      <c r="AF59" s="463"/>
    </row>
    <row r="60" spans="1:32" s="462" customFormat="1" x14ac:dyDescent="0.25">
      <c r="A60" s="2026"/>
      <c r="B60" s="2027"/>
      <c r="C60" s="2027"/>
      <c r="D60" s="2027"/>
      <c r="E60" s="2027"/>
      <c r="F60" s="461"/>
      <c r="G60" s="461"/>
      <c r="H60" s="461"/>
      <c r="I60" s="2053"/>
      <c r="J60" s="2053"/>
      <c r="K60" s="461"/>
      <c r="L60" s="2053"/>
      <c r="M60" s="2053"/>
      <c r="N60" s="461"/>
      <c r="O60" s="461"/>
      <c r="P60" s="461"/>
      <c r="Q60" s="461"/>
      <c r="R60" s="461"/>
      <c r="S60" s="461"/>
      <c r="T60" s="461"/>
      <c r="U60" s="2053"/>
      <c r="V60" s="2053"/>
      <c r="W60" s="2053"/>
      <c r="X60" s="2053"/>
      <c r="Y60" s="2053"/>
      <c r="AA60" s="463"/>
      <c r="AB60" s="463"/>
      <c r="AC60" s="463"/>
      <c r="AD60" s="463"/>
      <c r="AE60" s="463"/>
      <c r="AF60" s="463"/>
    </row>
    <row r="61" spans="1:32" s="462" customFormat="1" x14ac:dyDescent="0.25">
      <c r="A61" s="2026"/>
      <c r="B61" s="2027"/>
      <c r="C61" s="2027"/>
      <c r="D61" s="2027"/>
      <c r="E61" s="2027"/>
      <c r="F61" s="461"/>
      <c r="G61" s="461"/>
      <c r="H61" s="461"/>
      <c r="I61" s="2053"/>
      <c r="J61" s="2053"/>
      <c r="K61" s="461"/>
      <c r="L61" s="2053"/>
      <c r="M61" s="2053"/>
      <c r="N61" s="461"/>
      <c r="O61" s="461"/>
      <c r="P61" s="461"/>
      <c r="Q61" s="461"/>
      <c r="R61" s="461"/>
      <c r="S61" s="461"/>
      <c r="T61" s="461"/>
      <c r="U61" s="2053"/>
      <c r="V61" s="2053"/>
      <c r="W61" s="2053"/>
      <c r="X61" s="2053"/>
      <c r="Y61" s="2053"/>
      <c r="AA61" s="463"/>
      <c r="AB61" s="463"/>
      <c r="AC61" s="463"/>
      <c r="AD61" s="463"/>
      <c r="AE61" s="463"/>
      <c r="AF61" s="463"/>
    </row>
    <row r="62" spans="1:32" s="462" customFormat="1" x14ac:dyDescent="0.25">
      <c r="A62" s="2026"/>
      <c r="B62" s="2027"/>
      <c r="C62" s="2027"/>
      <c r="D62" s="2027"/>
      <c r="E62" s="2027"/>
      <c r="F62" s="461"/>
      <c r="G62" s="461"/>
      <c r="H62" s="461"/>
      <c r="I62" s="2053"/>
      <c r="J62" s="2053"/>
      <c r="K62" s="461"/>
      <c r="L62" s="2053"/>
      <c r="M62" s="2053"/>
      <c r="N62" s="461"/>
      <c r="O62" s="461"/>
      <c r="P62" s="461"/>
      <c r="Q62" s="461"/>
      <c r="R62" s="461"/>
      <c r="S62" s="461"/>
      <c r="T62" s="461"/>
      <c r="U62" s="2053"/>
      <c r="V62" s="2053"/>
      <c r="W62" s="2053"/>
      <c r="X62" s="2053"/>
      <c r="Y62" s="2053"/>
      <c r="AA62" s="463"/>
      <c r="AB62" s="463"/>
      <c r="AC62" s="463"/>
      <c r="AD62" s="463"/>
      <c r="AE62" s="463"/>
      <c r="AF62" s="463"/>
    </row>
    <row r="63" spans="1:32" s="462" customFormat="1" x14ac:dyDescent="0.25">
      <c r="A63" s="2026"/>
      <c r="B63" s="2027"/>
      <c r="C63" s="2027"/>
      <c r="D63" s="2027"/>
      <c r="E63" s="2027"/>
      <c r="F63" s="461"/>
      <c r="G63" s="461"/>
      <c r="H63" s="461"/>
      <c r="I63" s="2053"/>
      <c r="J63" s="2053"/>
      <c r="K63" s="461"/>
      <c r="L63" s="2053"/>
      <c r="M63" s="2053"/>
      <c r="N63" s="461"/>
      <c r="O63" s="461"/>
      <c r="P63" s="461"/>
      <c r="Q63" s="461"/>
      <c r="R63" s="461"/>
      <c r="S63" s="461"/>
      <c r="T63" s="461"/>
      <c r="U63" s="2053"/>
      <c r="V63" s="2053"/>
      <c r="W63" s="2053"/>
      <c r="X63" s="2053"/>
      <c r="Y63" s="2053"/>
      <c r="AA63" s="463"/>
      <c r="AB63" s="463"/>
      <c r="AC63" s="463"/>
      <c r="AD63" s="463"/>
      <c r="AE63" s="463"/>
      <c r="AF63" s="463"/>
    </row>
    <row r="64" spans="1:32" s="462" customFormat="1" x14ac:dyDescent="0.25">
      <c r="A64" s="2026"/>
      <c r="B64" s="2027"/>
      <c r="C64" s="2027"/>
      <c r="D64" s="2027"/>
      <c r="E64" s="2027"/>
      <c r="F64" s="461"/>
      <c r="G64" s="461"/>
      <c r="H64" s="461"/>
      <c r="I64" s="2053"/>
      <c r="J64" s="2053"/>
      <c r="K64" s="461"/>
      <c r="L64" s="2053"/>
      <c r="M64" s="2053"/>
      <c r="N64" s="461"/>
      <c r="O64" s="461"/>
      <c r="P64" s="461"/>
      <c r="Q64" s="461"/>
      <c r="R64" s="461"/>
      <c r="S64" s="461"/>
      <c r="T64" s="461"/>
      <c r="U64" s="2053"/>
      <c r="V64" s="2053"/>
      <c r="W64" s="2053"/>
      <c r="X64" s="2053"/>
      <c r="Y64" s="2053"/>
      <c r="AA64" s="463"/>
      <c r="AB64" s="463"/>
      <c r="AC64" s="463"/>
      <c r="AD64" s="463"/>
      <c r="AE64" s="463"/>
      <c r="AF64" s="463"/>
    </row>
    <row r="65" spans="1:32" s="462" customFormat="1" x14ac:dyDescent="0.25">
      <c r="A65" s="2026"/>
      <c r="B65" s="2027"/>
      <c r="C65" s="2027"/>
      <c r="D65" s="2027"/>
      <c r="E65" s="2027"/>
      <c r="F65" s="461"/>
      <c r="G65" s="461"/>
      <c r="H65" s="461"/>
      <c r="I65" s="2053"/>
      <c r="J65" s="2053"/>
      <c r="K65" s="461"/>
      <c r="L65" s="2053"/>
      <c r="M65" s="2053"/>
      <c r="N65" s="461"/>
      <c r="O65" s="461"/>
      <c r="P65" s="461"/>
      <c r="Q65" s="461"/>
      <c r="R65" s="461"/>
      <c r="S65" s="461"/>
      <c r="T65" s="461"/>
      <c r="U65" s="2053"/>
      <c r="V65" s="2053"/>
      <c r="W65" s="2053"/>
      <c r="X65" s="2053"/>
      <c r="Y65" s="2053"/>
      <c r="AA65" s="463"/>
      <c r="AB65" s="463"/>
      <c r="AC65" s="463"/>
      <c r="AD65" s="463"/>
      <c r="AE65" s="463"/>
      <c r="AF65" s="463"/>
    </row>
    <row r="66" spans="1:32" s="462" customFormat="1" x14ac:dyDescent="0.25">
      <c r="A66" s="2026"/>
      <c r="B66" s="2027"/>
      <c r="C66" s="2027"/>
      <c r="D66" s="2027"/>
      <c r="E66" s="2027"/>
      <c r="F66" s="461"/>
      <c r="G66" s="461"/>
      <c r="H66" s="461"/>
      <c r="I66" s="2053"/>
      <c r="J66" s="2053"/>
      <c r="K66" s="461"/>
      <c r="L66" s="2053"/>
      <c r="M66" s="2053"/>
      <c r="N66" s="461"/>
      <c r="O66" s="461"/>
      <c r="P66" s="461"/>
      <c r="Q66" s="461"/>
      <c r="R66" s="461"/>
      <c r="S66" s="461"/>
      <c r="T66" s="461"/>
      <c r="U66" s="2053"/>
      <c r="V66" s="2053"/>
      <c r="W66" s="2053"/>
      <c r="X66" s="2053"/>
      <c r="Y66" s="2053"/>
      <c r="AA66" s="463"/>
      <c r="AB66" s="463"/>
      <c r="AC66" s="463"/>
      <c r="AD66" s="463"/>
      <c r="AE66" s="463"/>
      <c r="AF66" s="463"/>
    </row>
    <row r="67" spans="1:32" s="462" customFormat="1" x14ac:dyDescent="0.25">
      <c r="A67" s="2026"/>
      <c r="B67" s="2027"/>
      <c r="C67" s="2027"/>
      <c r="D67" s="2027"/>
      <c r="E67" s="2027"/>
      <c r="F67" s="461"/>
      <c r="G67" s="461"/>
      <c r="H67" s="461"/>
      <c r="I67" s="2053"/>
      <c r="J67" s="2053"/>
      <c r="K67" s="461"/>
      <c r="L67" s="2053"/>
      <c r="M67" s="2053"/>
      <c r="N67" s="461"/>
      <c r="O67" s="461"/>
      <c r="P67" s="461"/>
      <c r="Q67" s="461"/>
      <c r="R67" s="461"/>
      <c r="S67" s="461"/>
      <c r="T67" s="461"/>
      <c r="U67" s="2053"/>
      <c r="V67" s="2053"/>
      <c r="W67" s="2053"/>
      <c r="X67" s="2053"/>
      <c r="Y67" s="2053"/>
      <c r="AA67" s="463"/>
      <c r="AB67" s="463"/>
      <c r="AC67" s="463"/>
      <c r="AD67" s="463"/>
      <c r="AE67" s="463"/>
      <c r="AF67" s="463"/>
    </row>
  </sheetData>
  <autoFilter ref="A8:AF20" xr:uid="{00000000-0009-0000-0000-000036000000}"/>
  <mergeCells count="36">
    <mergeCell ref="F5:H5"/>
    <mergeCell ref="A5:A7"/>
    <mergeCell ref="B5:B7"/>
    <mergeCell ref="C5:C7"/>
    <mergeCell ref="D5:D7"/>
    <mergeCell ref="E5:E7"/>
    <mergeCell ref="T6:T7"/>
    <mergeCell ref="Z5:Z7"/>
    <mergeCell ref="X5:Y5"/>
    <mergeCell ref="Z11:Z14"/>
    <mergeCell ref="I5:K5"/>
    <mergeCell ref="L5:N5"/>
    <mergeCell ref="O5:Q5"/>
    <mergeCell ref="R5:T5"/>
    <mergeCell ref="U5:W5"/>
    <mergeCell ref="O6:O7"/>
    <mergeCell ref="P6:P7"/>
    <mergeCell ref="Q6:Q7"/>
    <mergeCell ref="R6:R7"/>
    <mergeCell ref="S6:S7"/>
    <mergeCell ref="A2:Z2"/>
    <mergeCell ref="A3:Z3"/>
    <mergeCell ref="U6:U7"/>
    <mergeCell ref="V6:V7"/>
    <mergeCell ref="W6:W7"/>
    <mergeCell ref="X6:X7"/>
    <mergeCell ref="Y6:Y7"/>
    <mergeCell ref="F6:F7"/>
    <mergeCell ref="G6:G7"/>
    <mergeCell ref="H6:H7"/>
    <mergeCell ref="I6:I7"/>
    <mergeCell ref="J6:J7"/>
    <mergeCell ref="K6:K7"/>
    <mergeCell ref="L6:L7"/>
    <mergeCell ref="M6:M7"/>
    <mergeCell ref="N6:N7"/>
  </mergeCells>
  <printOptions horizontalCentered="1"/>
  <pageMargins left="0.23622047244094491" right="0.23622047244094491" top="0.47244094488188981" bottom="0.39370078740157483" header="0.31496062992125984" footer="0.31496062992125984"/>
  <pageSetup paperSize="9" scale="45" fitToHeight="0" orientation="landscape" r:id="rId1"/>
  <headerFooter>
    <oddFooter>Страница  &amp;P из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00FFFF"/>
  </sheetPr>
  <dimension ref="A1:H35"/>
  <sheetViews>
    <sheetView view="pageBreakPreview" zoomScale="90" zoomScaleNormal="100" zoomScaleSheetLayoutView="90" workbookViewId="0">
      <pane xSplit="4" ySplit="7" topLeftCell="E29" activePane="bottomRight" state="frozen"/>
      <selection pane="topRight" activeCell="E1" sqref="E1"/>
      <selection pane="bottomLeft" activeCell="A8" sqref="A8"/>
      <selection pane="bottomRight" activeCell="C11" sqref="C11"/>
    </sheetView>
  </sheetViews>
  <sheetFormatPr defaultRowHeight="15" x14ac:dyDescent="0.25"/>
  <cols>
    <col min="1" max="1" width="67.83203125" style="323" customWidth="1"/>
    <col min="2" max="2" width="10.83203125" style="323" customWidth="1"/>
    <col min="3" max="5" width="29" style="323" customWidth="1"/>
    <col min="6" max="6" width="13" style="323" customWidth="1"/>
    <col min="7" max="7" width="10.83203125" style="323" bestFit="1" customWidth="1"/>
    <col min="8" max="16384" width="9.33203125" style="323"/>
  </cols>
  <sheetData>
    <row r="1" spans="1:5" ht="42" customHeight="1" x14ac:dyDescent="0.25">
      <c r="A1" s="2507" t="s">
        <v>1683</v>
      </c>
      <c r="B1" s="2507"/>
      <c r="C1" s="2507"/>
      <c r="D1" s="2507"/>
      <c r="E1" s="2507"/>
    </row>
    <row r="2" spans="1:5" x14ac:dyDescent="0.25">
      <c r="A2" s="2506" t="s">
        <v>1253</v>
      </c>
      <c r="B2" s="2506"/>
      <c r="C2" s="2506"/>
      <c r="D2" s="2506"/>
      <c r="E2" s="2506"/>
    </row>
    <row r="3" spans="1:5" x14ac:dyDescent="0.25">
      <c r="A3" s="381"/>
      <c r="B3" s="381"/>
      <c r="C3" s="381"/>
      <c r="D3" s="381"/>
      <c r="E3" s="324">
        <v>43829</v>
      </c>
    </row>
    <row r="4" spans="1:5" x14ac:dyDescent="0.25">
      <c r="A4" s="2724" t="s">
        <v>416</v>
      </c>
      <c r="B4" s="2724" t="s">
        <v>417</v>
      </c>
      <c r="C4" s="2724" t="s">
        <v>418</v>
      </c>
      <c r="D4" s="2724"/>
      <c r="E4" s="2724"/>
    </row>
    <row r="5" spans="1:5" ht="20.25" customHeight="1" x14ac:dyDescent="0.25">
      <c r="A5" s="2724"/>
      <c r="B5" s="2724"/>
      <c r="C5" s="382" t="s">
        <v>428</v>
      </c>
      <c r="D5" s="382" t="s">
        <v>429</v>
      </c>
      <c r="E5" s="382" t="s">
        <v>430</v>
      </c>
    </row>
    <row r="6" spans="1:5" ht="47.25" customHeight="1" x14ac:dyDescent="0.25">
      <c r="A6" s="2724"/>
      <c r="B6" s="2724"/>
      <c r="C6" s="382" t="s">
        <v>419</v>
      </c>
      <c r="D6" s="382" t="s">
        <v>420</v>
      </c>
      <c r="E6" s="382" t="s">
        <v>421</v>
      </c>
    </row>
    <row r="7" spans="1:5" x14ac:dyDescent="0.25">
      <c r="A7" s="382">
        <v>1</v>
      </c>
      <c r="B7" s="382">
        <v>2</v>
      </c>
      <c r="C7" s="382">
        <v>3</v>
      </c>
      <c r="D7" s="382">
        <v>4</v>
      </c>
      <c r="E7" s="382">
        <v>5</v>
      </c>
    </row>
    <row r="8" spans="1:5" ht="60" customHeight="1" x14ac:dyDescent="0.25">
      <c r="A8" s="325" t="s">
        <v>437</v>
      </c>
      <c r="B8" s="382">
        <v>100</v>
      </c>
      <c r="C8" s="326"/>
      <c r="D8" s="326"/>
      <c r="E8" s="326"/>
    </row>
    <row r="9" spans="1:5" ht="42" customHeight="1" x14ac:dyDescent="0.25">
      <c r="A9" s="479" t="s">
        <v>438</v>
      </c>
      <c r="B9" s="382">
        <v>200</v>
      </c>
      <c r="C9" s="326"/>
      <c r="D9" s="326"/>
      <c r="E9" s="326"/>
    </row>
    <row r="10" spans="1:5" ht="19.5" customHeight="1" x14ac:dyDescent="0.25">
      <c r="A10" s="325" t="s">
        <v>439</v>
      </c>
      <c r="B10" s="382">
        <v>300</v>
      </c>
      <c r="C10" s="326">
        <f>SUM(C12:C30)</f>
        <v>0</v>
      </c>
      <c r="D10" s="326">
        <f t="shared" ref="D10:E10" si="0">SUM(D12:D30)</f>
        <v>0</v>
      </c>
      <c r="E10" s="326">
        <f t="shared" si="0"/>
        <v>0</v>
      </c>
    </row>
    <row r="11" spans="1:5" x14ac:dyDescent="0.25">
      <c r="A11" s="325" t="s">
        <v>440</v>
      </c>
      <c r="B11" s="325"/>
      <c r="C11" s="326"/>
      <c r="D11" s="326"/>
      <c r="E11" s="326"/>
    </row>
    <row r="12" spans="1:5" x14ac:dyDescent="0.25">
      <c r="A12" s="325" t="s">
        <v>442</v>
      </c>
      <c r="B12" s="382">
        <v>301</v>
      </c>
      <c r="C12" s="326"/>
      <c r="D12" s="326"/>
      <c r="E12" s="326"/>
    </row>
    <row r="13" spans="1:5" x14ac:dyDescent="0.25">
      <c r="A13" s="325" t="s">
        <v>441</v>
      </c>
      <c r="B13" s="382">
        <v>302</v>
      </c>
      <c r="C13" s="326"/>
      <c r="D13" s="326"/>
      <c r="E13" s="326"/>
    </row>
    <row r="14" spans="1:5" x14ac:dyDescent="0.25">
      <c r="A14" s="325" t="s">
        <v>443</v>
      </c>
      <c r="B14" s="382">
        <v>303</v>
      </c>
      <c r="C14" s="326"/>
      <c r="D14" s="326"/>
      <c r="E14" s="326"/>
    </row>
    <row r="15" spans="1:5" x14ac:dyDescent="0.25">
      <c r="A15" s="479" t="s">
        <v>824</v>
      </c>
      <c r="B15" s="382">
        <v>304</v>
      </c>
      <c r="C15" s="326"/>
      <c r="D15" s="326"/>
      <c r="E15" s="326"/>
    </row>
    <row r="16" spans="1:5" x14ac:dyDescent="0.25">
      <c r="A16" s="383" t="s">
        <v>575</v>
      </c>
      <c r="B16" s="382">
        <v>305</v>
      </c>
      <c r="C16" s="326"/>
      <c r="D16" s="326"/>
      <c r="E16" s="326"/>
    </row>
    <row r="17" spans="1:8" x14ac:dyDescent="0.25">
      <c r="A17" s="325" t="s">
        <v>444</v>
      </c>
      <c r="B17" s="382">
        <v>306</v>
      </c>
      <c r="C17" s="326"/>
      <c r="D17" s="326"/>
      <c r="E17" s="326"/>
    </row>
    <row r="18" spans="1:8" x14ac:dyDescent="0.25">
      <c r="A18" s="325" t="s">
        <v>445</v>
      </c>
      <c r="B18" s="382">
        <v>307</v>
      </c>
      <c r="C18" s="326"/>
      <c r="D18" s="326"/>
      <c r="E18" s="326"/>
    </row>
    <row r="19" spans="1:8" ht="22.5" customHeight="1" x14ac:dyDescent="0.25">
      <c r="A19" s="383" t="s">
        <v>716</v>
      </c>
      <c r="B19" s="382">
        <v>308</v>
      </c>
      <c r="C19" s="326"/>
      <c r="D19" s="326"/>
      <c r="E19" s="326"/>
    </row>
    <row r="20" spans="1:8" x14ac:dyDescent="0.25">
      <c r="A20" s="325" t="s">
        <v>446</v>
      </c>
      <c r="B20" s="382">
        <v>309</v>
      </c>
      <c r="C20" s="326"/>
      <c r="D20" s="326"/>
      <c r="E20" s="326"/>
    </row>
    <row r="21" spans="1:8" x14ac:dyDescent="0.25">
      <c r="A21" s="325" t="s">
        <v>454</v>
      </c>
      <c r="B21" s="382">
        <v>310</v>
      </c>
      <c r="C21" s="327"/>
      <c r="D21" s="327"/>
      <c r="E21" s="327"/>
    </row>
    <row r="22" spans="1:8" ht="18" customHeight="1" x14ac:dyDescent="0.25">
      <c r="A22" s="325" t="s">
        <v>447</v>
      </c>
      <c r="B22" s="382">
        <v>311</v>
      </c>
      <c r="C22" s="326"/>
      <c r="D22" s="326"/>
      <c r="E22" s="326"/>
    </row>
    <row r="23" spans="1:8" ht="26.25" customHeight="1" x14ac:dyDescent="0.25">
      <c r="A23" s="383" t="s">
        <v>735</v>
      </c>
      <c r="B23" s="382">
        <v>312</v>
      </c>
      <c r="C23" s="326"/>
      <c r="D23" s="326"/>
      <c r="E23" s="326"/>
    </row>
    <row r="24" spans="1:8" ht="26.25" customHeight="1" x14ac:dyDescent="0.25">
      <c r="A24" s="383" t="s">
        <v>736</v>
      </c>
      <c r="B24" s="382">
        <v>313</v>
      </c>
      <c r="C24" s="326"/>
      <c r="D24" s="326"/>
      <c r="E24" s="326"/>
    </row>
    <row r="25" spans="1:8" ht="28.5" customHeight="1" x14ac:dyDescent="0.25">
      <c r="A25" s="325" t="s">
        <v>455</v>
      </c>
      <c r="B25" s="382">
        <v>314</v>
      </c>
      <c r="C25" s="326"/>
      <c r="D25" s="326"/>
      <c r="E25" s="326"/>
    </row>
    <row r="26" spans="1:8" ht="15" customHeight="1" x14ac:dyDescent="0.25">
      <c r="A26" s="325" t="s">
        <v>456</v>
      </c>
      <c r="B26" s="382">
        <v>315</v>
      </c>
      <c r="C26" s="326"/>
      <c r="D26" s="326"/>
      <c r="E26" s="326"/>
    </row>
    <row r="27" spans="1:8" ht="63.75" customHeight="1" x14ac:dyDescent="0.25">
      <c r="A27" s="325" t="s">
        <v>448</v>
      </c>
      <c r="B27" s="382">
        <v>316</v>
      </c>
      <c r="C27" s="326"/>
      <c r="D27" s="326"/>
      <c r="E27" s="326"/>
    </row>
    <row r="28" spans="1:8" ht="20.25" customHeight="1" x14ac:dyDescent="0.25">
      <c r="A28" s="325" t="s">
        <v>449</v>
      </c>
      <c r="B28" s="382">
        <v>317</v>
      </c>
      <c r="C28" s="326"/>
      <c r="D28" s="326">
        <v>0</v>
      </c>
      <c r="E28" s="326">
        <v>0</v>
      </c>
    </row>
    <row r="29" spans="1:8" ht="20.25" customHeight="1" x14ac:dyDescent="0.25">
      <c r="A29" s="325" t="s">
        <v>450</v>
      </c>
      <c r="B29" s="382">
        <v>318</v>
      </c>
      <c r="C29" s="326"/>
      <c r="D29" s="326"/>
      <c r="E29" s="326"/>
      <c r="F29" s="328"/>
      <c r="G29" s="328"/>
      <c r="H29" s="328"/>
    </row>
    <row r="30" spans="1:8" ht="20.25" customHeight="1" x14ac:dyDescent="0.25">
      <c r="A30" s="383" t="s">
        <v>745</v>
      </c>
      <c r="B30" s="382">
        <v>319</v>
      </c>
      <c r="C30" s="326"/>
      <c r="D30" s="326"/>
      <c r="E30" s="326"/>
      <c r="G30" s="328"/>
    </row>
    <row r="31" spans="1:8" ht="59.25" customHeight="1" x14ac:dyDescent="0.25">
      <c r="A31" s="325" t="s">
        <v>451</v>
      </c>
      <c r="B31" s="382">
        <v>400</v>
      </c>
      <c r="C31" s="326"/>
      <c r="D31" s="326"/>
      <c r="E31" s="326"/>
      <c r="F31" s="328"/>
    </row>
    <row r="32" spans="1:8" ht="49.5" customHeight="1" x14ac:dyDescent="0.25">
      <c r="A32" s="325" t="s">
        <v>452</v>
      </c>
      <c r="B32" s="382">
        <v>500</v>
      </c>
      <c r="C32" s="326"/>
      <c r="D32" s="326"/>
      <c r="E32" s="326"/>
    </row>
    <row r="33" spans="1:6" s="332" customFormat="1" ht="31.5" customHeight="1" x14ac:dyDescent="0.25">
      <c r="A33" s="329" t="s">
        <v>453</v>
      </c>
      <c r="B33" s="330">
        <v>600</v>
      </c>
      <c r="C33" s="331">
        <f>C8-C9+C10-C31+C32</f>
        <v>0</v>
      </c>
      <c r="D33" s="331">
        <f>D8-D9+D10-D31+D32</f>
        <v>0</v>
      </c>
      <c r="E33" s="331">
        <f>E8-E9+E10-E31+E32</f>
        <v>0</v>
      </c>
    </row>
    <row r="34" spans="1:6" x14ac:dyDescent="0.25">
      <c r="A34" s="323" t="s">
        <v>197</v>
      </c>
      <c r="C34" s="328">
        <v>202500</v>
      </c>
      <c r="D34" s="328">
        <v>202500</v>
      </c>
      <c r="E34" s="328">
        <v>202500</v>
      </c>
      <c r="F34" s="328"/>
    </row>
    <row r="35" spans="1:6" x14ac:dyDescent="0.25">
      <c r="C35" s="328">
        <f>C33-C34</f>
        <v>-202500</v>
      </c>
      <c r="D35" s="328">
        <f>D33-D34</f>
        <v>-202500</v>
      </c>
      <c r="E35" s="328">
        <f>E33-E34</f>
        <v>-202500</v>
      </c>
    </row>
  </sheetData>
  <mergeCells count="5">
    <mergeCell ref="A1:E1"/>
    <mergeCell ref="A2:E2"/>
    <mergeCell ref="A4:A6"/>
    <mergeCell ref="B4:B6"/>
    <mergeCell ref="C4:E4"/>
  </mergeCells>
  <pageMargins left="0.70866141732283472" right="0.70866141732283472" top="0.74803149606299213" bottom="0.74803149606299213" header="0.31496062992125984" footer="0.31496062992125984"/>
  <pageSetup paperSize="9" scale="5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00FFFF"/>
  </sheetPr>
  <dimension ref="A1:E14"/>
  <sheetViews>
    <sheetView view="pageBreakPreview" zoomScale="80" zoomScaleNormal="100" zoomScaleSheetLayoutView="80" workbookViewId="0">
      <selection activeCell="I6" sqref="I6"/>
    </sheetView>
  </sheetViews>
  <sheetFormatPr defaultRowHeight="39.75" customHeight="1" x14ac:dyDescent="0.25"/>
  <cols>
    <col min="1" max="1" width="81.33203125" style="365" customWidth="1"/>
    <col min="2" max="2" width="10" style="365" customWidth="1"/>
    <col min="3" max="5" width="25.83203125" style="365" customWidth="1"/>
    <col min="6" max="16384" width="9.33203125" style="365"/>
  </cols>
  <sheetData>
    <row r="1" spans="1:5" ht="55.5" customHeight="1" x14ac:dyDescent="0.25">
      <c r="A1" s="2509" t="s">
        <v>923</v>
      </c>
      <c r="B1" s="2509"/>
      <c r="C1" s="2509"/>
      <c r="D1" s="2509"/>
      <c r="E1" s="2509"/>
    </row>
    <row r="2" spans="1:5" ht="34.5" customHeight="1" x14ac:dyDescent="0.25">
      <c r="A2" s="2509"/>
      <c r="B2" s="2509"/>
      <c r="C2" s="2509"/>
      <c r="D2" s="2509"/>
      <c r="E2" s="2509"/>
    </row>
    <row r="3" spans="1:5" ht="13.5" customHeight="1" x14ac:dyDescent="0.25">
      <c r="A3" s="377"/>
      <c r="B3" s="377"/>
      <c r="C3" s="377"/>
      <c r="D3" s="377"/>
      <c r="E3" s="367">
        <v>43829</v>
      </c>
    </row>
    <row r="4" spans="1:5" ht="39.75" customHeight="1" x14ac:dyDescent="0.25">
      <c r="A4" s="2454" t="s">
        <v>416</v>
      </c>
      <c r="B4" s="2454" t="s">
        <v>417</v>
      </c>
      <c r="C4" s="2454" t="s">
        <v>418</v>
      </c>
      <c r="D4" s="2454"/>
      <c r="E4" s="2454"/>
    </row>
    <row r="5" spans="1:5" ht="39.75" customHeight="1" x14ac:dyDescent="0.25">
      <c r="A5" s="2454"/>
      <c r="B5" s="2454"/>
      <c r="C5" s="378" t="s">
        <v>428</v>
      </c>
      <c r="D5" s="378" t="s">
        <v>429</v>
      </c>
      <c r="E5" s="378" t="s">
        <v>430</v>
      </c>
    </row>
    <row r="6" spans="1:5" ht="39.75" customHeight="1" x14ac:dyDescent="0.25">
      <c r="A6" s="2454"/>
      <c r="B6" s="2454"/>
      <c r="C6" s="378" t="s">
        <v>419</v>
      </c>
      <c r="D6" s="378" t="s">
        <v>420</v>
      </c>
      <c r="E6" s="378" t="s">
        <v>421</v>
      </c>
    </row>
    <row r="7" spans="1:5" ht="16.5" customHeight="1" x14ac:dyDescent="0.25">
      <c r="A7" s="378">
        <v>1</v>
      </c>
      <c r="B7" s="378">
        <v>2</v>
      </c>
      <c r="C7" s="378">
        <v>3</v>
      </c>
      <c r="D7" s="378">
        <v>4</v>
      </c>
      <c r="E7" s="378">
        <v>5</v>
      </c>
    </row>
    <row r="8" spans="1:5" ht="17.25" customHeight="1" x14ac:dyDescent="0.25">
      <c r="A8" s="369" t="s">
        <v>512</v>
      </c>
      <c r="B8" s="378">
        <v>100</v>
      </c>
      <c r="C8" s="370"/>
      <c r="D8" s="370"/>
      <c r="E8" s="370"/>
    </row>
    <row r="9" spans="1:5" ht="17.25" customHeight="1" x14ac:dyDescent="0.25">
      <c r="A9" s="369" t="s">
        <v>513</v>
      </c>
      <c r="B9" s="378">
        <v>200</v>
      </c>
      <c r="C9" s="370"/>
      <c r="D9" s="370"/>
      <c r="E9" s="370"/>
    </row>
    <row r="10" spans="1:5" ht="44.25" customHeight="1" x14ac:dyDescent="0.25">
      <c r="A10" s="369" t="s">
        <v>514</v>
      </c>
      <c r="B10" s="378">
        <v>300</v>
      </c>
      <c r="C10" s="370">
        <f>C11</f>
        <v>0</v>
      </c>
      <c r="D10" s="370">
        <f t="shared" ref="D10:E10" si="0">D11</f>
        <v>0</v>
      </c>
      <c r="E10" s="370">
        <f t="shared" si="0"/>
        <v>0</v>
      </c>
    </row>
    <row r="11" spans="1:5" ht="104.25" customHeight="1" x14ac:dyDescent="0.25">
      <c r="A11" s="369" t="s">
        <v>515</v>
      </c>
      <c r="B11" s="378">
        <v>301</v>
      </c>
      <c r="C11" s="370"/>
      <c r="D11" s="370"/>
      <c r="E11" s="370"/>
    </row>
    <row r="12" spans="1:5" ht="18" customHeight="1" x14ac:dyDescent="0.25">
      <c r="A12" s="369" t="s">
        <v>516</v>
      </c>
      <c r="B12" s="378">
        <v>400</v>
      </c>
      <c r="C12" s="370"/>
      <c r="D12" s="370"/>
      <c r="E12" s="370"/>
    </row>
    <row r="13" spans="1:5" ht="18" customHeight="1" x14ac:dyDescent="0.25">
      <c r="A13" s="369" t="s">
        <v>517</v>
      </c>
      <c r="B13" s="378">
        <v>500</v>
      </c>
      <c r="C13" s="370"/>
      <c r="D13" s="370"/>
      <c r="E13" s="370"/>
    </row>
    <row r="14" spans="1:5" s="374" customFormat="1" ht="66.75" customHeight="1" x14ac:dyDescent="0.2">
      <c r="A14" s="371" t="s">
        <v>538</v>
      </c>
      <c r="B14" s="372">
        <v>600</v>
      </c>
      <c r="C14" s="373">
        <f>C8-C9+C10-C12+C13</f>
        <v>0</v>
      </c>
      <c r="D14" s="373">
        <f t="shared" ref="D14:E14" si="1">D8-D9+D10-D12+D13</f>
        <v>0</v>
      </c>
      <c r="E14" s="373">
        <f t="shared" si="1"/>
        <v>0</v>
      </c>
    </row>
  </sheetData>
  <mergeCells count="5">
    <mergeCell ref="A1:E1"/>
    <mergeCell ref="A2:E2"/>
    <mergeCell ref="A4:A6"/>
    <mergeCell ref="B4:B6"/>
    <mergeCell ref="C4:E4"/>
  </mergeCells>
  <pageMargins left="0.7" right="0.7" top="0.75" bottom="0.75" header="0.3" footer="0.3"/>
  <pageSetup paperSize="9" scale="56"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FFFF"/>
  </sheetPr>
  <dimension ref="A1:H35"/>
  <sheetViews>
    <sheetView view="pageBreakPreview" zoomScale="90" zoomScaleNormal="100" zoomScaleSheetLayoutView="90" workbookViewId="0">
      <pane xSplit="4" ySplit="7" topLeftCell="E23" activePane="bottomRight" state="frozen"/>
      <selection pane="topRight" activeCell="E1" sqref="E1"/>
      <selection pane="bottomLeft" activeCell="A8" sqref="A8"/>
      <selection pane="bottomRight" activeCell="E27" sqref="E27"/>
    </sheetView>
  </sheetViews>
  <sheetFormatPr defaultRowHeight="15" x14ac:dyDescent="0.25"/>
  <cols>
    <col min="1" max="1" width="67.83203125" style="323" customWidth="1"/>
    <col min="2" max="2" width="10.83203125" style="323" customWidth="1"/>
    <col min="3" max="5" width="29" style="323" customWidth="1"/>
    <col min="6" max="6" width="13" style="323" customWidth="1"/>
    <col min="7" max="7" width="10.83203125" style="323" bestFit="1" customWidth="1"/>
    <col min="8" max="16384" width="9.33203125" style="323"/>
  </cols>
  <sheetData>
    <row r="1" spans="1:5" ht="61.5" customHeight="1" x14ac:dyDescent="0.25">
      <c r="A1" s="2507" t="s">
        <v>1681</v>
      </c>
      <c r="B1" s="2507"/>
      <c r="C1" s="2507"/>
      <c r="D1" s="2507"/>
      <c r="E1" s="2507"/>
    </row>
    <row r="2" spans="1:5" x14ac:dyDescent="0.25">
      <c r="A2" s="2506"/>
      <c r="B2" s="2506"/>
      <c r="C2" s="2506"/>
      <c r="D2" s="2506"/>
      <c r="E2" s="2506"/>
    </row>
    <row r="3" spans="1:5" x14ac:dyDescent="0.25">
      <c r="A3" s="381"/>
      <c r="B3" s="381"/>
      <c r="C3" s="381"/>
      <c r="D3" s="381"/>
      <c r="E3" s="324">
        <v>43829</v>
      </c>
    </row>
    <row r="4" spans="1:5" x14ac:dyDescent="0.25">
      <c r="A4" s="2724" t="s">
        <v>416</v>
      </c>
      <c r="B4" s="2724" t="s">
        <v>417</v>
      </c>
      <c r="C4" s="2724" t="s">
        <v>418</v>
      </c>
      <c r="D4" s="2724"/>
      <c r="E4" s="2724"/>
    </row>
    <row r="5" spans="1:5" ht="20.25" customHeight="1" x14ac:dyDescent="0.25">
      <c r="A5" s="2724"/>
      <c r="B5" s="2724"/>
      <c r="C5" s="382" t="s">
        <v>428</v>
      </c>
      <c r="D5" s="382" t="s">
        <v>429</v>
      </c>
      <c r="E5" s="382" t="s">
        <v>430</v>
      </c>
    </row>
    <row r="6" spans="1:5" ht="47.25" customHeight="1" x14ac:dyDescent="0.25">
      <c r="A6" s="2724"/>
      <c r="B6" s="2724"/>
      <c r="C6" s="382" t="s">
        <v>419</v>
      </c>
      <c r="D6" s="382" t="s">
        <v>420</v>
      </c>
      <c r="E6" s="382" t="s">
        <v>421</v>
      </c>
    </row>
    <row r="7" spans="1:5" x14ac:dyDescent="0.25">
      <c r="A7" s="382">
        <v>1</v>
      </c>
      <c r="B7" s="382">
        <v>2</v>
      </c>
      <c r="C7" s="382">
        <v>3</v>
      </c>
      <c r="D7" s="382">
        <v>4</v>
      </c>
      <c r="E7" s="382">
        <v>5</v>
      </c>
    </row>
    <row r="8" spans="1:5" ht="60" customHeight="1" x14ac:dyDescent="0.25">
      <c r="A8" s="325" t="s">
        <v>437</v>
      </c>
      <c r="B8" s="382">
        <v>100</v>
      </c>
      <c r="C8" s="326"/>
      <c r="D8" s="326"/>
      <c r="E8" s="326"/>
    </row>
    <row r="9" spans="1:5" ht="42" customHeight="1" x14ac:dyDescent="0.25">
      <c r="A9" s="479" t="s">
        <v>438</v>
      </c>
      <c r="B9" s="382">
        <v>200</v>
      </c>
      <c r="C9" s="326"/>
      <c r="D9" s="326"/>
      <c r="E9" s="326"/>
    </row>
    <row r="10" spans="1:5" ht="19.5" customHeight="1" x14ac:dyDescent="0.25">
      <c r="A10" s="325" t="s">
        <v>439</v>
      </c>
      <c r="B10" s="382">
        <v>300</v>
      </c>
      <c r="C10" s="326">
        <f>SUM(C12:C30)</f>
        <v>0</v>
      </c>
      <c r="D10" s="326">
        <f t="shared" ref="D10:E10" si="0">SUM(D12:D30)</f>
        <v>0</v>
      </c>
      <c r="E10" s="326">
        <f t="shared" si="0"/>
        <v>0</v>
      </c>
    </row>
    <row r="11" spans="1:5" x14ac:dyDescent="0.25">
      <c r="A11" s="325" t="s">
        <v>440</v>
      </c>
      <c r="B11" s="325"/>
      <c r="C11" s="326"/>
      <c r="D11" s="326"/>
      <c r="E11" s="326"/>
    </row>
    <row r="12" spans="1:5" x14ac:dyDescent="0.25">
      <c r="A12" s="325" t="s">
        <v>442</v>
      </c>
      <c r="B12" s="382">
        <v>301</v>
      </c>
      <c r="C12" s="326"/>
      <c r="D12" s="326"/>
      <c r="E12" s="326"/>
    </row>
    <row r="13" spans="1:5" x14ac:dyDescent="0.25">
      <c r="A13" s="325" t="s">
        <v>441</v>
      </c>
      <c r="B13" s="382">
        <v>302</v>
      </c>
      <c r="C13" s="326"/>
      <c r="D13" s="326"/>
      <c r="E13" s="326"/>
    </row>
    <row r="14" spans="1:5" x14ac:dyDescent="0.25">
      <c r="A14" s="325" t="s">
        <v>443</v>
      </c>
      <c r="B14" s="382">
        <v>303</v>
      </c>
      <c r="C14" s="326"/>
      <c r="D14" s="326"/>
      <c r="E14" s="326"/>
    </row>
    <row r="15" spans="1:5" x14ac:dyDescent="0.25">
      <c r="A15" s="479" t="s">
        <v>824</v>
      </c>
      <c r="B15" s="382">
        <v>304</v>
      </c>
      <c r="C15" s="326"/>
      <c r="D15" s="326"/>
      <c r="E15" s="326"/>
    </row>
    <row r="16" spans="1:5" x14ac:dyDescent="0.25">
      <c r="A16" s="383" t="s">
        <v>575</v>
      </c>
      <c r="B16" s="382">
        <v>305</v>
      </c>
      <c r="C16" s="326"/>
      <c r="D16" s="326"/>
      <c r="E16" s="326"/>
    </row>
    <row r="17" spans="1:8" x14ac:dyDescent="0.25">
      <c r="A17" s="325" t="s">
        <v>444</v>
      </c>
      <c r="B17" s="382">
        <v>306</v>
      </c>
      <c r="C17" s="326"/>
      <c r="D17" s="326"/>
      <c r="E17" s="326"/>
    </row>
    <row r="18" spans="1:8" x14ac:dyDescent="0.25">
      <c r="A18" s="325" t="s">
        <v>445</v>
      </c>
      <c r="B18" s="382">
        <v>307</v>
      </c>
      <c r="C18" s="326"/>
      <c r="D18" s="326"/>
      <c r="E18" s="326"/>
    </row>
    <row r="19" spans="1:8" ht="22.5" customHeight="1" x14ac:dyDescent="0.25">
      <c r="A19" s="383" t="s">
        <v>716</v>
      </c>
      <c r="B19" s="382">
        <v>308</v>
      </c>
      <c r="C19" s="326"/>
      <c r="D19" s="326"/>
      <c r="E19" s="326"/>
    </row>
    <row r="20" spans="1:8" x14ac:dyDescent="0.25">
      <c r="A20" s="325" t="s">
        <v>446</v>
      </c>
      <c r="B20" s="382">
        <v>309</v>
      </c>
      <c r="C20" s="326"/>
      <c r="D20" s="326"/>
      <c r="E20" s="326"/>
    </row>
    <row r="21" spans="1:8" x14ac:dyDescent="0.25">
      <c r="A21" s="325" t="s">
        <v>454</v>
      </c>
      <c r="B21" s="382">
        <v>310</v>
      </c>
      <c r="C21" s="327"/>
      <c r="D21" s="327"/>
      <c r="E21" s="327"/>
    </row>
    <row r="22" spans="1:8" ht="18" customHeight="1" x14ac:dyDescent="0.25">
      <c r="A22" s="325" t="s">
        <v>447</v>
      </c>
      <c r="B22" s="382">
        <v>311</v>
      </c>
      <c r="C22" s="326"/>
      <c r="D22" s="326"/>
      <c r="E22" s="326"/>
    </row>
    <row r="23" spans="1:8" ht="26.25" customHeight="1" x14ac:dyDescent="0.25">
      <c r="A23" s="383" t="s">
        <v>735</v>
      </c>
      <c r="B23" s="382">
        <v>312</v>
      </c>
      <c r="C23" s="326"/>
      <c r="D23" s="326"/>
      <c r="E23" s="326"/>
    </row>
    <row r="24" spans="1:8" ht="26.25" customHeight="1" x14ac:dyDescent="0.25">
      <c r="A24" s="383" t="s">
        <v>736</v>
      </c>
      <c r="B24" s="382">
        <v>313</v>
      </c>
      <c r="C24" s="326"/>
      <c r="D24" s="326"/>
      <c r="E24" s="326"/>
    </row>
    <row r="25" spans="1:8" ht="28.5" customHeight="1" x14ac:dyDescent="0.25">
      <c r="A25" s="325" t="s">
        <v>455</v>
      </c>
      <c r="B25" s="382">
        <v>314</v>
      </c>
      <c r="C25" s="326"/>
      <c r="D25" s="326"/>
      <c r="E25" s="326"/>
    </row>
    <row r="26" spans="1:8" ht="15" customHeight="1" x14ac:dyDescent="0.25">
      <c r="A26" s="325" t="s">
        <v>456</v>
      </c>
      <c r="B26" s="382">
        <v>315</v>
      </c>
      <c r="C26" s="326"/>
      <c r="D26" s="326"/>
      <c r="E26" s="326"/>
    </row>
    <row r="27" spans="1:8" ht="63.75" customHeight="1" x14ac:dyDescent="0.25">
      <c r="A27" s="325" t="s">
        <v>448</v>
      </c>
      <c r="B27" s="382">
        <v>316</v>
      </c>
      <c r="C27" s="326"/>
      <c r="D27" s="326"/>
      <c r="E27" s="326"/>
    </row>
    <row r="28" spans="1:8" ht="20.25" customHeight="1" x14ac:dyDescent="0.25">
      <c r="A28" s="325" t="s">
        <v>449</v>
      </c>
      <c r="B28" s="382">
        <v>317</v>
      </c>
      <c r="C28" s="326"/>
      <c r="D28" s="326"/>
      <c r="E28" s="326"/>
    </row>
    <row r="29" spans="1:8" ht="20.25" customHeight="1" x14ac:dyDescent="0.25">
      <c r="A29" s="325" t="s">
        <v>450</v>
      </c>
      <c r="B29" s="382">
        <v>318</v>
      </c>
      <c r="C29" s="326"/>
      <c r="D29" s="326"/>
      <c r="E29" s="326"/>
      <c r="F29" s="328"/>
      <c r="G29" s="328"/>
      <c r="H29" s="328"/>
    </row>
    <row r="30" spans="1:8" ht="20.25" customHeight="1" x14ac:dyDescent="0.25">
      <c r="A30" s="383" t="s">
        <v>745</v>
      </c>
      <c r="B30" s="382">
        <v>319</v>
      </c>
      <c r="C30" s="326"/>
      <c r="D30" s="326"/>
      <c r="E30" s="326"/>
      <c r="G30" s="328"/>
    </row>
    <row r="31" spans="1:8" ht="59.25" customHeight="1" x14ac:dyDescent="0.25">
      <c r="A31" s="325" t="s">
        <v>451</v>
      </c>
      <c r="B31" s="382">
        <v>400</v>
      </c>
      <c r="C31" s="326"/>
      <c r="D31" s="326"/>
      <c r="E31" s="326"/>
      <c r="F31" s="328"/>
    </row>
    <row r="32" spans="1:8" ht="49.5" customHeight="1" x14ac:dyDescent="0.25">
      <c r="A32" s="325" t="s">
        <v>452</v>
      </c>
      <c r="B32" s="382">
        <v>500</v>
      </c>
      <c r="C32" s="326"/>
      <c r="D32" s="326"/>
      <c r="E32" s="326"/>
    </row>
    <row r="33" spans="1:6" s="332" customFormat="1" ht="31.5" customHeight="1" x14ac:dyDescent="0.25">
      <c r="A33" s="329" t="s">
        <v>453</v>
      </c>
      <c r="B33" s="330">
        <v>600</v>
      </c>
      <c r="C33" s="331">
        <f>C8-C9+C10-C31+C32</f>
        <v>0</v>
      </c>
      <c r="D33" s="331">
        <f>D8-D9+D10-D31+D32</f>
        <v>0</v>
      </c>
      <c r="E33" s="331">
        <f>E8-E9+E10-E31+E32</f>
        <v>0</v>
      </c>
    </row>
    <row r="34" spans="1:6" x14ac:dyDescent="0.25">
      <c r="A34" s="323" t="s">
        <v>197</v>
      </c>
      <c r="C34" s="328"/>
      <c r="D34" s="328"/>
      <c r="E34" s="328"/>
      <c r="F34" s="328"/>
    </row>
    <row r="35" spans="1:6" x14ac:dyDescent="0.25">
      <c r="C35" s="328"/>
      <c r="D35" s="328"/>
      <c r="E35" s="328"/>
    </row>
  </sheetData>
  <mergeCells count="5">
    <mergeCell ref="A1:E1"/>
    <mergeCell ref="A2:E2"/>
    <mergeCell ref="A4:A6"/>
    <mergeCell ref="B4:B6"/>
    <mergeCell ref="C4:E4"/>
  </mergeCells>
  <pageMargins left="0.70866141732283472" right="0.70866141732283472" top="0.74803149606299213" bottom="0.74803149606299213" header="0.31496062992125984" footer="0.31496062992125984"/>
  <pageSetup paperSize="9" scale="5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FFFF"/>
  </sheetPr>
  <dimension ref="A1:H35"/>
  <sheetViews>
    <sheetView view="pageBreakPreview" zoomScale="90" zoomScaleNormal="100" zoomScaleSheetLayoutView="90" workbookViewId="0">
      <pane xSplit="4" ySplit="7" topLeftCell="E26" activePane="bottomRight" state="frozen"/>
      <selection pane="topRight" activeCell="E1" sqref="E1"/>
      <selection pane="bottomLeft" activeCell="A8" sqref="A8"/>
      <selection pane="bottomRight" activeCell="D9" sqref="D9"/>
    </sheetView>
  </sheetViews>
  <sheetFormatPr defaultRowHeight="15" x14ac:dyDescent="0.25"/>
  <cols>
    <col min="1" max="1" width="67.83203125" style="323" customWidth="1"/>
    <col min="2" max="2" width="10.83203125" style="323" customWidth="1"/>
    <col min="3" max="5" width="29" style="323" customWidth="1"/>
    <col min="6" max="6" width="13" style="323" customWidth="1"/>
    <col min="7" max="7" width="10.83203125" style="323" bestFit="1" customWidth="1"/>
    <col min="8" max="16384" width="9.33203125" style="323"/>
  </cols>
  <sheetData>
    <row r="1" spans="1:5" ht="61.5" customHeight="1" x14ac:dyDescent="0.25">
      <c r="A1" s="2507" t="s">
        <v>1682</v>
      </c>
      <c r="B1" s="2507"/>
      <c r="C1" s="2507"/>
      <c r="D1" s="2507"/>
      <c r="E1" s="2507"/>
    </row>
    <row r="2" spans="1:5" x14ac:dyDescent="0.25">
      <c r="A2" s="2506" t="s">
        <v>113</v>
      </c>
      <c r="B2" s="2506"/>
      <c r="C2" s="2506"/>
      <c r="D2" s="2506"/>
      <c r="E2" s="2506"/>
    </row>
    <row r="3" spans="1:5" x14ac:dyDescent="0.25">
      <c r="A3" s="732"/>
      <c r="B3" s="732"/>
      <c r="C3" s="732"/>
      <c r="D3" s="732"/>
      <c r="E3" s="324">
        <v>43829</v>
      </c>
    </row>
    <row r="4" spans="1:5" x14ac:dyDescent="0.25">
      <c r="A4" s="2724" t="s">
        <v>416</v>
      </c>
      <c r="B4" s="2724" t="s">
        <v>417</v>
      </c>
      <c r="C4" s="2724" t="s">
        <v>418</v>
      </c>
      <c r="D4" s="2724"/>
      <c r="E4" s="2724"/>
    </row>
    <row r="5" spans="1:5" ht="20.25" customHeight="1" x14ac:dyDescent="0.25">
      <c r="A5" s="2724"/>
      <c r="B5" s="2724"/>
      <c r="C5" s="733" t="s">
        <v>428</v>
      </c>
      <c r="D5" s="733" t="s">
        <v>429</v>
      </c>
      <c r="E5" s="733" t="s">
        <v>430</v>
      </c>
    </row>
    <row r="6" spans="1:5" ht="47.25" customHeight="1" x14ac:dyDescent="0.25">
      <c r="A6" s="2724"/>
      <c r="B6" s="2724"/>
      <c r="C6" s="733" t="s">
        <v>419</v>
      </c>
      <c r="D6" s="733" t="s">
        <v>420</v>
      </c>
      <c r="E6" s="733" t="s">
        <v>421</v>
      </c>
    </row>
    <row r="7" spans="1:5" x14ac:dyDescent="0.25">
      <c r="A7" s="733">
        <v>1</v>
      </c>
      <c r="B7" s="733">
        <v>2</v>
      </c>
      <c r="C7" s="733">
        <v>3</v>
      </c>
      <c r="D7" s="733">
        <v>4</v>
      </c>
      <c r="E7" s="733">
        <v>5</v>
      </c>
    </row>
    <row r="8" spans="1:5" ht="60" customHeight="1" x14ac:dyDescent="0.25">
      <c r="A8" s="325" t="s">
        <v>437</v>
      </c>
      <c r="B8" s="733">
        <v>100</v>
      </c>
      <c r="C8" s="326"/>
      <c r="D8" s="326"/>
      <c r="E8" s="326"/>
    </row>
    <row r="9" spans="1:5" ht="42" customHeight="1" x14ac:dyDescent="0.25">
      <c r="A9" s="479" t="s">
        <v>438</v>
      </c>
      <c r="B9" s="733">
        <v>200</v>
      </c>
      <c r="C9" s="326"/>
      <c r="D9" s="326"/>
      <c r="E9" s="326"/>
    </row>
    <row r="10" spans="1:5" ht="19.5" customHeight="1" x14ac:dyDescent="0.25">
      <c r="A10" s="325" t="s">
        <v>439</v>
      </c>
      <c r="B10" s="733">
        <v>300</v>
      </c>
      <c r="C10" s="326">
        <f>SUM(C12:C30)</f>
        <v>750000</v>
      </c>
      <c r="D10" s="326"/>
      <c r="E10" s="326"/>
    </row>
    <row r="11" spans="1:5" x14ac:dyDescent="0.25">
      <c r="A11" s="325" t="s">
        <v>440</v>
      </c>
      <c r="B11" s="325"/>
      <c r="C11" s="326"/>
      <c r="D11" s="326"/>
      <c r="E11" s="326"/>
    </row>
    <row r="12" spans="1:5" x14ac:dyDescent="0.25">
      <c r="A12" s="325" t="s">
        <v>442</v>
      </c>
      <c r="B12" s="733">
        <v>301</v>
      </c>
      <c r="C12" s="326"/>
      <c r="D12" s="326"/>
      <c r="E12" s="326"/>
    </row>
    <row r="13" spans="1:5" x14ac:dyDescent="0.25">
      <c r="A13" s="325" t="s">
        <v>441</v>
      </c>
      <c r="B13" s="733">
        <v>302</v>
      </c>
      <c r="C13" s="326"/>
      <c r="D13" s="326"/>
      <c r="E13" s="326"/>
    </row>
    <row r="14" spans="1:5" x14ac:dyDescent="0.25">
      <c r="A14" s="325" t="s">
        <v>443</v>
      </c>
      <c r="B14" s="733">
        <v>303</v>
      </c>
      <c r="C14" s="326"/>
      <c r="D14" s="326"/>
      <c r="E14" s="326"/>
    </row>
    <row r="15" spans="1:5" x14ac:dyDescent="0.25">
      <c r="A15" s="479" t="s">
        <v>824</v>
      </c>
      <c r="B15" s="733">
        <v>304</v>
      </c>
      <c r="C15" s="326"/>
      <c r="D15" s="326"/>
      <c r="E15" s="326"/>
    </row>
    <row r="16" spans="1:5" x14ac:dyDescent="0.25">
      <c r="A16" s="383" t="s">
        <v>575</v>
      </c>
      <c r="B16" s="733">
        <v>305</v>
      </c>
      <c r="C16" s="326"/>
      <c r="D16" s="326"/>
      <c r="E16" s="326"/>
    </row>
    <row r="17" spans="1:8" x14ac:dyDescent="0.25">
      <c r="A17" s="325" t="s">
        <v>444</v>
      </c>
      <c r="B17" s="733">
        <v>306</v>
      </c>
      <c r="C17" s="326"/>
      <c r="D17" s="326"/>
      <c r="E17" s="326"/>
    </row>
    <row r="18" spans="1:8" x14ac:dyDescent="0.25">
      <c r="A18" s="325" t="s">
        <v>445</v>
      </c>
      <c r="B18" s="733">
        <v>307</v>
      </c>
      <c r="C18" s="326">
        <f>'реформа ЖКХ 947 (01.01.20)'!G9*1000</f>
        <v>750000</v>
      </c>
      <c r="D18" s="326"/>
      <c r="E18" s="326"/>
    </row>
    <row r="19" spans="1:8" ht="22.5" customHeight="1" x14ac:dyDescent="0.25">
      <c r="A19" s="383" t="s">
        <v>716</v>
      </c>
      <c r="B19" s="733">
        <v>308</v>
      </c>
      <c r="C19" s="326"/>
      <c r="D19" s="326"/>
      <c r="E19" s="326"/>
    </row>
    <row r="20" spans="1:8" x14ac:dyDescent="0.25">
      <c r="A20" s="325" t="s">
        <v>446</v>
      </c>
      <c r="B20" s="733">
        <v>309</v>
      </c>
      <c r="C20" s="326"/>
      <c r="D20" s="326"/>
      <c r="E20" s="326"/>
    </row>
    <row r="21" spans="1:8" x14ac:dyDescent="0.25">
      <c r="A21" s="325" t="s">
        <v>454</v>
      </c>
      <c r="B21" s="733">
        <v>310</v>
      </c>
      <c r="C21" s="327"/>
      <c r="D21" s="327"/>
      <c r="E21" s="327"/>
    </row>
    <row r="22" spans="1:8" ht="18" customHeight="1" x14ac:dyDescent="0.25">
      <c r="A22" s="325" t="s">
        <v>447</v>
      </c>
      <c r="B22" s="733">
        <v>311</v>
      </c>
      <c r="C22" s="326"/>
      <c r="D22" s="326"/>
      <c r="E22" s="326"/>
    </row>
    <row r="23" spans="1:8" ht="26.25" customHeight="1" x14ac:dyDescent="0.25">
      <c r="A23" s="383" t="s">
        <v>735</v>
      </c>
      <c r="B23" s="733">
        <v>312</v>
      </c>
      <c r="C23" s="326"/>
      <c r="D23" s="326"/>
      <c r="E23" s="326"/>
    </row>
    <row r="24" spans="1:8" ht="26.25" customHeight="1" x14ac:dyDescent="0.25">
      <c r="A24" s="383" t="s">
        <v>736</v>
      </c>
      <c r="B24" s="733">
        <v>313</v>
      </c>
      <c r="C24" s="326"/>
      <c r="D24" s="326"/>
      <c r="E24" s="326"/>
    </row>
    <row r="25" spans="1:8" ht="28.5" customHeight="1" x14ac:dyDescent="0.25">
      <c r="A25" s="325" t="s">
        <v>455</v>
      </c>
      <c r="B25" s="733">
        <v>314</v>
      </c>
      <c r="C25" s="326"/>
      <c r="D25" s="326"/>
      <c r="E25" s="326"/>
    </row>
    <row r="26" spans="1:8" ht="15" customHeight="1" x14ac:dyDescent="0.25">
      <c r="A26" s="325" t="s">
        <v>456</v>
      </c>
      <c r="B26" s="733">
        <v>315</v>
      </c>
      <c r="C26" s="326"/>
      <c r="D26" s="326"/>
      <c r="E26" s="326"/>
    </row>
    <row r="27" spans="1:8" ht="63.75" customHeight="1" x14ac:dyDescent="0.25">
      <c r="A27" s="325" t="s">
        <v>448</v>
      </c>
      <c r="B27" s="733">
        <v>316</v>
      </c>
      <c r="C27" s="326"/>
      <c r="D27" s="326"/>
      <c r="E27" s="326"/>
    </row>
    <row r="28" spans="1:8" ht="20.25" customHeight="1" x14ac:dyDescent="0.25">
      <c r="A28" s="325" t="s">
        <v>449</v>
      </c>
      <c r="B28" s="733">
        <v>317</v>
      </c>
      <c r="C28" s="326"/>
      <c r="D28" s="326"/>
      <c r="E28" s="326"/>
    </row>
    <row r="29" spans="1:8" ht="20.25" customHeight="1" x14ac:dyDescent="0.25">
      <c r="A29" s="325" t="s">
        <v>450</v>
      </c>
      <c r="B29" s="733">
        <v>318</v>
      </c>
      <c r="C29" s="326"/>
      <c r="D29" s="326"/>
      <c r="E29" s="326"/>
      <c r="F29" s="328"/>
      <c r="G29" s="328"/>
      <c r="H29" s="328"/>
    </row>
    <row r="30" spans="1:8" ht="20.25" customHeight="1" x14ac:dyDescent="0.25">
      <c r="A30" s="383" t="s">
        <v>745</v>
      </c>
      <c r="B30" s="733">
        <v>319</v>
      </c>
      <c r="C30" s="326"/>
      <c r="D30" s="326"/>
      <c r="E30" s="326"/>
      <c r="G30" s="328"/>
    </row>
    <row r="31" spans="1:8" ht="59.25" customHeight="1" x14ac:dyDescent="0.25">
      <c r="A31" s="325" t="s">
        <v>451</v>
      </c>
      <c r="B31" s="733">
        <v>400</v>
      </c>
      <c r="C31" s="326"/>
      <c r="D31" s="326"/>
      <c r="E31" s="326"/>
      <c r="F31" s="328"/>
    </row>
    <row r="32" spans="1:8" ht="49.5" customHeight="1" x14ac:dyDescent="0.25">
      <c r="A32" s="325" t="s">
        <v>452</v>
      </c>
      <c r="B32" s="733">
        <v>500</v>
      </c>
      <c r="C32" s="326"/>
      <c r="D32" s="326"/>
      <c r="E32" s="326"/>
    </row>
    <row r="33" spans="1:6" s="332" customFormat="1" ht="31.5" customHeight="1" x14ac:dyDescent="0.25">
      <c r="A33" s="329" t="s">
        <v>453</v>
      </c>
      <c r="B33" s="330">
        <v>600</v>
      </c>
      <c r="C33" s="331">
        <f>C8-C9+C10-C31+C32</f>
        <v>750000</v>
      </c>
      <c r="D33" s="331">
        <f>D8-D9+D10-D31+D32</f>
        <v>0</v>
      </c>
      <c r="E33" s="331">
        <f>E8-E9+E10-E31+E32</f>
        <v>0</v>
      </c>
    </row>
    <row r="34" spans="1:6" x14ac:dyDescent="0.25">
      <c r="A34" s="323" t="s">
        <v>197</v>
      </c>
      <c r="C34" s="328"/>
      <c r="D34" s="328"/>
      <c r="E34" s="328"/>
      <c r="F34" s="328"/>
    </row>
    <row r="35" spans="1:6" x14ac:dyDescent="0.25">
      <c r="C35" s="328"/>
      <c r="D35" s="328"/>
      <c r="E35" s="328"/>
    </row>
  </sheetData>
  <mergeCells count="5">
    <mergeCell ref="A1:E1"/>
    <mergeCell ref="A2:E2"/>
    <mergeCell ref="A4:A6"/>
    <mergeCell ref="B4:B6"/>
    <mergeCell ref="C4:E4"/>
  </mergeCells>
  <pageMargins left="0.70866141732283472" right="0.70866141732283472" top="0.74803149606299213" bottom="0.74803149606299213" header="0.31496062992125984" footer="0.31496062992125984"/>
  <pageSetup paperSize="9" scale="5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AA111"/>
  <sheetViews>
    <sheetView view="pageBreakPreview" topLeftCell="A40" zoomScale="60" zoomScaleNormal="100" workbookViewId="0">
      <selection activeCell="AA20" sqref="AA20"/>
    </sheetView>
  </sheetViews>
  <sheetFormatPr defaultRowHeight="15.75" x14ac:dyDescent="0.2"/>
  <cols>
    <col min="1" max="1" width="77.33203125" style="566" customWidth="1"/>
    <col min="2" max="2" width="9.33203125" style="2081" customWidth="1"/>
    <col min="3" max="3" width="16.33203125" style="566" customWidth="1"/>
    <col min="4" max="6" width="21.1640625" style="566" customWidth="1"/>
    <col min="7" max="7" width="24.83203125" style="566" customWidth="1"/>
    <col min="8" max="8" width="19.33203125" style="566" customWidth="1"/>
    <col min="9" max="9" width="30.1640625" style="566" customWidth="1"/>
    <col min="10" max="10" width="24.33203125" style="566" customWidth="1"/>
    <col min="11" max="11" width="26.83203125" style="566" customWidth="1"/>
    <col min="12" max="13" width="23.1640625" style="566" customWidth="1"/>
    <col min="14" max="14" width="19.33203125" style="566" bestFit="1" customWidth="1"/>
    <col min="15" max="16384" width="9.33203125" style="566"/>
  </cols>
  <sheetData>
    <row r="1" spans="1:13" x14ac:dyDescent="0.2">
      <c r="D1" s="568"/>
      <c r="E1" s="568"/>
      <c r="F1" s="568"/>
      <c r="G1" s="568"/>
      <c r="H1" s="568"/>
      <c r="I1" s="568"/>
      <c r="J1" s="568"/>
      <c r="K1" s="568"/>
      <c r="L1" s="568"/>
      <c r="M1" s="568"/>
    </row>
    <row r="2" spans="1:13" x14ac:dyDescent="0.2">
      <c r="D2" s="568"/>
      <c r="E2" s="568"/>
      <c r="F2" s="568"/>
      <c r="G2" s="568"/>
      <c r="H2" s="568"/>
      <c r="I2" s="568"/>
      <c r="J2" s="2290"/>
      <c r="K2" s="2290"/>
      <c r="L2" s="2290"/>
      <c r="M2" s="2290"/>
    </row>
    <row r="3" spans="1:13" ht="18.75" hidden="1" customHeight="1" x14ac:dyDescent="0.2">
      <c r="D3" s="568"/>
      <c r="E3" s="2290"/>
      <c r="F3" s="2290"/>
      <c r="G3" s="2290"/>
      <c r="H3" s="2290"/>
      <c r="I3" s="2290"/>
      <c r="J3" s="568"/>
      <c r="K3" s="568"/>
      <c r="L3" s="568"/>
      <c r="M3" s="568"/>
    </row>
    <row r="4" spans="1:13" ht="40.5" customHeight="1" x14ac:dyDescent="0.2">
      <c r="D4" s="568"/>
      <c r="E4" s="568"/>
      <c r="F4" s="568"/>
      <c r="G4" s="568"/>
      <c r="H4" s="568"/>
      <c r="I4" s="568"/>
      <c r="J4" s="568"/>
      <c r="K4" s="568"/>
      <c r="L4" s="568"/>
      <c r="M4" s="2078"/>
    </row>
    <row r="5" spans="1:13" x14ac:dyDescent="0.2">
      <c r="A5" s="566" t="s">
        <v>948</v>
      </c>
      <c r="D5" s="568"/>
      <c r="E5" s="568"/>
      <c r="F5" s="568"/>
      <c r="G5" s="568"/>
      <c r="H5" s="568"/>
      <c r="I5" s="568"/>
      <c r="J5" s="568"/>
      <c r="K5" s="2274"/>
      <c r="L5" s="2274"/>
      <c r="M5" s="568"/>
    </row>
    <row r="6" spans="1:13" x14ac:dyDescent="0.2">
      <c r="A6" s="566" t="s">
        <v>1675</v>
      </c>
      <c r="B6" s="568"/>
      <c r="C6" s="568"/>
      <c r="D6" s="568"/>
      <c r="E6" s="568"/>
      <c r="F6" s="568"/>
      <c r="G6" s="568"/>
      <c r="H6" s="568"/>
      <c r="I6" s="568"/>
      <c r="J6" s="568"/>
      <c r="K6" s="2274"/>
      <c r="L6" s="2274"/>
      <c r="M6" s="568"/>
    </row>
    <row r="7" spans="1:13" x14ac:dyDescent="0.2">
      <c r="D7" s="568"/>
      <c r="E7" s="568"/>
      <c r="F7" s="568"/>
      <c r="G7" s="568"/>
      <c r="H7" s="568"/>
      <c r="I7" s="568"/>
      <c r="J7" s="568"/>
      <c r="K7" s="568"/>
      <c r="L7" s="2079"/>
      <c r="M7" s="568"/>
    </row>
    <row r="8" spans="1:13" x14ac:dyDescent="0.2">
      <c r="D8" s="568"/>
      <c r="E8" s="568"/>
      <c r="F8" s="568"/>
      <c r="G8" s="568"/>
      <c r="H8" s="568"/>
      <c r="I8" s="568"/>
      <c r="J8" s="568"/>
      <c r="K8" s="568"/>
      <c r="L8" s="2079"/>
      <c r="M8" s="568"/>
    </row>
    <row r="9" spans="1:13" x14ac:dyDescent="0.2">
      <c r="A9" s="566" t="s">
        <v>1674</v>
      </c>
      <c r="B9" s="568"/>
      <c r="C9" s="568"/>
      <c r="D9" s="568"/>
      <c r="E9" s="568"/>
      <c r="F9" s="568"/>
      <c r="G9" s="568"/>
      <c r="H9" s="568"/>
      <c r="I9" s="568"/>
      <c r="J9" s="568"/>
      <c r="K9" s="568"/>
      <c r="L9" s="2212"/>
      <c r="M9" s="568"/>
    </row>
    <row r="10" spans="1:13" x14ac:dyDescent="0.2">
      <c r="A10" s="566" t="s">
        <v>952</v>
      </c>
      <c r="D10" s="568"/>
      <c r="E10" s="568"/>
      <c r="F10" s="568"/>
      <c r="G10" s="568"/>
      <c r="H10" s="568"/>
      <c r="I10" s="568"/>
      <c r="J10" s="568"/>
      <c r="K10" s="568"/>
      <c r="L10" s="2212"/>
      <c r="M10" s="568"/>
    </row>
    <row r="11" spans="1:13" x14ac:dyDescent="0.2">
      <c r="D11" s="753">
        <f t="shared" ref="D11:L11" si="0">D22-D46</f>
        <v>0</v>
      </c>
      <c r="E11" s="753">
        <f t="shared" si="0"/>
        <v>0</v>
      </c>
      <c r="F11" s="753">
        <f t="shared" si="0"/>
        <v>0</v>
      </c>
      <c r="G11" s="753">
        <f t="shared" si="0"/>
        <v>0</v>
      </c>
      <c r="H11" s="753">
        <f t="shared" si="0"/>
        <v>0</v>
      </c>
      <c r="I11" s="753">
        <f t="shared" si="0"/>
        <v>0</v>
      </c>
      <c r="J11" s="753">
        <f t="shared" si="0"/>
        <v>0</v>
      </c>
      <c r="K11" s="753">
        <f t="shared" si="0"/>
        <v>0</v>
      </c>
      <c r="L11" s="753">
        <f t="shared" si="0"/>
        <v>0</v>
      </c>
      <c r="M11" s="754"/>
    </row>
    <row r="12" spans="1:13" x14ac:dyDescent="0.2">
      <c r="D12" s="753">
        <f>E23+F23+G23+H23+J23+L23+M23-D23+I23+K23</f>
        <v>0</v>
      </c>
      <c r="E12" s="755">
        <f>36216300-E22</f>
        <v>0</v>
      </c>
      <c r="F12" s="753">
        <f>0-F22</f>
        <v>0</v>
      </c>
      <c r="G12" s="753">
        <f>760500-G22</f>
        <v>0</v>
      </c>
      <c r="H12" s="753">
        <f>0-H22</f>
        <v>0</v>
      </c>
      <c r="I12" s="753">
        <f>145800-I22</f>
        <v>0</v>
      </c>
      <c r="J12" s="756"/>
      <c r="K12" s="753">
        <f>0-K22</f>
        <v>0</v>
      </c>
      <c r="L12" s="757">
        <f>2933700-L22</f>
        <v>0</v>
      </c>
      <c r="M12" s="754"/>
    </row>
    <row r="13" spans="1:13" x14ac:dyDescent="0.2">
      <c r="D13" s="568"/>
      <c r="E13" s="568"/>
      <c r="F13" s="568"/>
      <c r="G13" s="568"/>
      <c r="H13" s="568"/>
      <c r="I13" s="568"/>
      <c r="J13" s="568"/>
      <c r="K13" s="568"/>
      <c r="L13" s="568"/>
      <c r="M13" s="568"/>
    </row>
    <row r="14" spans="1:13" ht="31.5" customHeight="1" x14ac:dyDescent="0.2">
      <c r="A14" s="2269" t="s">
        <v>955</v>
      </c>
      <c r="B14" s="2269"/>
      <c r="C14" s="2269"/>
      <c r="D14" s="2269"/>
      <c r="E14" s="2269"/>
      <c r="F14" s="2269"/>
      <c r="G14" s="2269"/>
      <c r="H14" s="2269"/>
      <c r="I14" s="2269"/>
      <c r="J14" s="2269"/>
      <c r="K14" s="2269"/>
      <c r="L14" s="2269"/>
      <c r="M14" s="2269"/>
    </row>
    <row r="15" spans="1:13" ht="17.25" customHeight="1" x14ac:dyDescent="0.2">
      <c r="A15" s="2275" t="s">
        <v>416</v>
      </c>
      <c r="B15" s="2278" t="s">
        <v>417</v>
      </c>
      <c r="C15" s="2278" t="s">
        <v>956</v>
      </c>
      <c r="D15" s="2281" t="s">
        <v>957</v>
      </c>
      <c r="E15" s="2281"/>
      <c r="F15" s="2281"/>
      <c r="G15" s="2281"/>
      <c r="H15" s="2281"/>
      <c r="I15" s="2281"/>
      <c r="J15" s="2281"/>
      <c r="K15" s="2281"/>
      <c r="L15" s="2281"/>
      <c r="M15" s="2281"/>
    </row>
    <row r="16" spans="1:13" ht="30" customHeight="1" x14ac:dyDescent="0.2">
      <c r="A16" s="2276"/>
      <c r="B16" s="2279"/>
      <c r="C16" s="2279"/>
      <c r="D16" s="2282" t="s">
        <v>959</v>
      </c>
      <c r="E16" s="2283"/>
      <c r="F16" s="2283"/>
      <c r="G16" s="2283"/>
      <c r="H16" s="2283"/>
      <c r="I16" s="2283"/>
      <c r="J16" s="2283"/>
      <c r="K16" s="2283"/>
      <c r="L16" s="2283"/>
      <c r="M16" s="2284"/>
    </row>
    <row r="17" spans="1:27" ht="24.75" customHeight="1" x14ac:dyDescent="0.2">
      <c r="A17" s="2276"/>
      <c r="B17" s="2279"/>
      <c r="C17" s="2279"/>
      <c r="D17" s="2282" t="s">
        <v>1676</v>
      </c>
      <c r="E17" s="2283"/>
      <c r="F17" s="2283"/>
      <c r="G17" s="2283"/>
      <c r="H17" s="2283"/>
      <c r="I17" s="2283"/>
      <c r="J17" s="2283"/>
      <c r="K17" s="2283"/>
      <c r="L17" s="2283"/>
      <c r="M17" s="2284"/>
    </row>
    <row r="18" spans="1:27" ht="179.25" customHeight="1" x14ac:dyDescent="0.2">
      <c r="A18" s="2277"/>
      <c r="B18" s="2280"/>
      <c r="C18" s="2280"/>
      <c r="D18" s="2080" t="s">
        <v>244</v>
      </c>
      <c r="E18" s="2080" t="s">
        <v>962</v>
      </c>
      <c r="F18" s="2080" t="s">
        <v>963</v>
      </c>
      <c r="G18" s="2080" t="s">
        <v>906</v>
      </c>
      <c r="H18" s="2080" t="s">
        <v>907</v>
      </c>
      <c r="I18" s="2080" t="s">
        <v>908</v>
      </c>
      <c r="J18" s="2080" t="s">
        <v>910</v>
      </c>
      <c r="K18" s="2080" t="s">
        <v>912</v>
      </c>
      <c r="L18" s="2080" t="s">
        <v>931</v>
      </c>
      <c r="M18" s="573" t="s">
        <v>932</v>
      </c>
    </row>
    <row r="19" spans="1:27" ht="17.25" customHeight="1" x14ac:dyDescent="0.2">
      <c r="A19" s="574">
        <v>1</v>
      </c>
      <c r="B19" s="2080">
        <v>2</v>
      </c>
      <c r="C19" s="2080">
        <v>3</v>
      </c>
      <c r="D19" s="2080">
        <v>15</v>
      </c>
      <c r="E19" s="2080">
        <v>16</v>
      </c>
      <c r="F19" s="2080">
        <v>17</v>
      </c>
      <c r="G19" s="2080">
        <v>18</v>
      </c>
      <c r="H19" s="2080">
        <v>19</v>
      </c>
      <c r="I19" s="2080">
        <v>20</v>
      </c>
      <c r="J19" s="2080">
        <v>22</v>
      </c>
      <c r="K19" s="2080">
        <v>23</v>
      </c>
      <c r="L19" s="2080">
        <v>24</v>
      </c>
      <c r="M19" s="2080">
        <v>25</v>
      </c>
    </row>
    <row r="20" spans="1:27" ht="22.5" customHeight="1" x14ac:dyDescent="0.3">
      <c r="A20" s="575" t="s">
        <v>964</v>
      </c>
      <c r="B20" s="2080" t="s">
        <v>965</v>
      </c>
      <c r="C20" s="2080" t="s">
        <v>859</v>
      </c>
      <c r="D20" s="576"/>
      <c r="E20" s="577"/>
      <c r="F20" s="577"/>
      <c r="G20" s="577"/>
      <c r="H20" s="577"/>
      <c r="I20" s="577"/>
      <c r="J20" s="577"/>
      <c r="K20" s="578"/>
      <c r="L20" s="577"/>
      <c r="M20" s="577"/>
      <c r="N20" s="579"/>
    </row>
    <row r="21" spans="1:27" ht="31.5" customHeight="1" x14ac:dyDescent="0.2">
      <c r="A21" s="575" t="s">
        <v>966</v>
      </c>
      <c r="B21" s="2080" t="s">
        <v>967</v>
      </c>
      <c r="C21" s="2080" t="s">
        <v>859</v>
      </c>
      <c r="D21" s="576"/>
      <c r="E21" s="578"/>
      <c r="F21" s="578"/>
      <c r="G21" s="578"/>
      <c r="H21" s="578"/>
      <c r="I21" s="578"/>
      <c r="J21" s="578"/>
      <c r="L21" s="578"/>
      <c r="M21" s="578"/>
    </row>
    <row r="22" spans="1:27" s="584" customFormat="1" ht="27" customHeight="1" x14ac:dyDescent="0.2">
      <c r="A22" s="580" t="s">
        <v>968</v>
      </c>
      <c r="B22" s="581" t="s">
        <v>969</v>
      </c>
      <c r="C22" s="581"/>
      <c r="D22" s="582">
        <f>SUM(E22:M22)</f>
        <v>40056300</v>
      </c>
      <c r="E22" s="583">
        <f t="shared" ref="E22:M22" si="1">E23+E26+E32+E35+E40+E42</f>
        <v>36216300</v>
      </c>
      <c r="F22" s="583">
        <f t="shared" si="1"/>
        <v>0</v>
      </c>
      <c r="G22" s="583">
        <f t="shared" si="1"/>
        <v>760500</v>
      </c>
      <c r="H22" s="583">
        <f t="shared" si="1"/>
        <v>0</v>
      </c>
      <c r="I22" s="583">
        <f t="shared" si="1"/>
        <v>145800</v>
      </c>
      <c r="J22" s="583">
        <f t="shared" si="1"/>
        <v>0</v>
      </c>
      <c r="K22" s="583">
        <f t="shared" si="1"/>
        <v>0</v>
      </c>
      <c r="L22" s="583">
        <f t="shared" si="1"/>
        <v>2933700</v>
      </c>
      <c r="M22" s="583">
        <f t="shared" si="1"/>
        <v>0</v>
      </c>
    </row>
    <row r="23" spans="1:27" s="589" customFormat="1" ht="31.5" x14ac:dyDescent="0.2">
      <c r="A23" s="585" t="s">
        <v>970</v>
      </c>
      <c r="B23" s="586" t="s">
        <v>971</v>
      </c>
      <c r="C23" s="586">
        <v>120</v>
      </c>
      <c r="D23" s="587">
        <f>SUM(E23:M23)</f>
        <v>0</v>
      </c>
      <c r="E23" s="587">
        <f>E25</f>
        <v>0</v>
      </c>
      <c r="F23" s="587">
        <f t="shared" ref="F23:M23" si="2">F25</f>
        <v>0</v>
      </c>
      <c r="G23" s="587">
        <f t="shared" si="2"/>
        <v>0</v>
      </c>
      <c r="H23" s="587">
        <f t="shared" si="2"/>
        <v>0</v>
      </c>
      <c r="I23" s="587">
        <f t="shared" si="2"/>
        <v>0</v>
      </c>
      <c r="J23" s="587">
        <f t="shared" si="2"/>
        <v>0</v>
      </c>
      <c r="K23" s="587">
        <f t="shared" si="2"/>
        <v>0</v>
      </c>
      <c r="L23" s="587">
        <f t="shared" si="2"/>
        <v>0</v>
      </c>
      <c r="M23" s="587">
        <f t="shared" si="2"/>
        <v>0</v>
      </c>
      <c r="N23" s="588"/>
      <c r="O23" s="588"/>
      <c r="P23" s="588"/>
      <c r="Q23" s="588"/>
      <c r="R23" s="588"/>
      <c r="S23" s="588"/>
    </row>
    <row r="24" spans="1:27" s="592" customFormat="1" ht="22.5" customHeight="1" x14ac:dyDescent="0.2">
      <c r="A24" s="575" t="s">
        <v>440</v>
      </c>
      <c r="B24" s="574"/>
      <c r="C24" s="574"/>
      <c r="D24" s="577"/>
      <c r="E24" s="578"/>
      <c r="F24" s="578"/>
      <c r="G24" s="578"/>
      <c r="H24" s="578"/>
      <c r="I24" s="578"/>
      <c r="J24" s="578"/>
      <c r="K24" s="578"/>
      <c r="L24" s="578"/>
      <c r="M24" s="578"/>
      <c r="N24" s="590"/>
      <c r="O24" s="590"/>
      <c r="P24" s="590"/>
      <c r="Q24" s="590"/>
      <c r="R24" s="591"/>
      <c r="S24" s="591"/>
    </row>
    <row r="25" spans="1:27" s="592" customFormat="1" x14ac:dyDescent="0.2">
      <c r="A25" s="575" t="s">
        <v>972</v>
      </c>
      <c r="B25" s="574" t="s">
        <v>973</v>
      </c>
      <c r="C25" s="593" t="s">
        <v>1740</v>
      </c>
      <c r="D25" s="577">
        <f>SUM(E25:M25)</f>
        <v>0</v>
      </c>
      <c r="E25" s="578"/>
      <c r="F25" s="578"/>
      <c r="G25" s="577"/>
      <c r="H25" s="577"/>
      <c r="I25" s="577"/>
      <c r="J25" s="577"/>
      <c r="K25" s="577"/>
      <c r="L25" s="577">
        <f>'строка 1100 (120)+'!D13</f>
        <v>0</v>
      </c>
      <c r="M25" s="577"/>
      <c r="N25" s="591"/>
      <c r="O25" s="590"/>
      <c r="P25" s="591"/>
      <c r="Q25" s="590"/>
      <c r="R25" s="591"/>
      <c r="S25" s="591"/>
    </row>
    <row r="26" spans="1:27" s="599" customFormat="1" ht="31.5" x14ac:dyDescent="0.2">
      <c r="A26" s="585" t="s">
        <v>974</v>
      </c>
      <c r="B26" s="594">
        <v>1200</v>
      </c>
      <c r="C26" s="595" t="s">
        <v>975</v>
      </c>
      <c r="D26" s="596">
        <f>SUM(E26:M26)</f>
        <v>39150000</v>
      </c>
      <c r="E26" s="587">
        <f>E28+E29+E30+E31</f>
        <v>36216300</v>
      </c>
      <c r="F26" s="587">
        <f t="shared" ref="F26:M26" si="3">F28+F29+F30+F31</f>
        <v>0</v>
      </c>
      <c r="G26" s="587">
        <f t="shared" si="3"/>
        <v>0</v>
      </c>
      <c r="H26" s="587">
        <f t="shared" si="3"/>
        <v>0</v>
      </c>
      <c r="I26" s="587">
        <f t="shared" si="3"/>
        <v>0</v>
      </c>
      <c r="J26" s="587">
        <f t="shared" si="3"/>
        <v>0</v>
      </c>
      <c r="K26" s="587">
        <f t="shared" si="3"/>
        <v>0</v>
      </c>
      <c r="L26" s="587">
        <f t="shared" si="3"/>
        <v>2933700</v>
      </c>
      <c r="M26" s="587">
        <f t="shared" si="3"/>
        <v>0</v>
      </c>
      <c r="N26" s="588"/>
      <c r="O26" s="597"/>
      <c r="P26" s="588"/>
      <c r="Q26" s="597"/>
      <c r="R26" s="588"/>
      <c r="S26" s="598"/>
    </row>
    <row r="27" spans="1:27" s="602" customFormat="1" ht="15.75" customHeight="1" x14ac:dyDescent="0.2">
      <c r="A27" s="575" t="s">
        <v>440</v>
      </c>
      <c r="B27" s="574"/>
      <c r="C27" s="600"/>
      <c r="D27" s="577"/>
      <c r="E27" s="578"/>
      <c r="F27" s="578"/>
      <c r="G27" s="578"/>
      <c r="H27" s="578"/>
      <c r="I27" s="578"/>
      <c r="J27" s="578"/>
      <c r="K27" s="578"/>
      <c r="L27" s="578"/>
      <c r="M27" s="578"/>
      <c r="N27" s="591"/>
      <c r="O27" s="590"/>
      <c r="P27" s="591"/>
      <c r="Q27" s="590"/>
      <c r="R27" s="591"/>
      <c r="S27" s="601"/>
    </row>
    <row r="28" spans="1:27" s="602" customFormat="1" ht="68.25" customHeight="1" x14ac:dyDescent="0.2">
      <c r="A28" s="575" t="s">
        <v>976</v>
      </c>
      <c r="B28" s="574">
        <v>1210</v>
      </c>
      <c r="C28" s="593" t="s">
        <v>975</v>
      </c>
      <c r="D28" s="577">
        <f>SUM(E28:M28)</f>
        <v>36216300</v>
      </c>
      <c r="E28" s="578">
        <f>'строка 1200(130)'!D12</f>
        <v>36216300</v>
      </c>
      <c r="F28" s="578">
        <f>'строка 1200(130)'!D13</f>
        <v>0</v>
      </c>
      <c r="G28" s="578"/>
      <c r="H28" s="578"/>
      <c r="I28" s="578"/>
      <c r="J28" s="578"/>
      <c r="K28" s="578"/>
      <c r="L28" s="578"/>
      <c r="M28" s="578"/>
      <c r="N28" s="591"/>
      <c r="O28" s="590"/>
      <c r="P28" s="591"/>
      <c r="Q28" s="590"/>
      <c r="R28" s="591"/>
      <c r="S28" s="601"/>
    </row>
    <row r="29" spans="1:27" x14ac:dyDescent="0.2">
      <c r="A29" s="575" t="s">
        <v>977</v>
      </c>
      <c r="B29" s="574">
        <v>1220</v>
      </c>
      <c r="C29" s="593" t="s">
        <v>1741</v>
      </c>
      <c r="D29" s="603">
        <f>SUM(E29:M29)</f>
        <v>2933700</v>
      </c>
      <c r="E29" s="603"/>
      <c r="F29" s="603"/>
      <c r="G29" s="603"/>
      <c r="H29" s="603"/>
      <c r="I29" s="603"/>
      <c r="J29" s="603"/>
      <c r="K29" s="603"/>
      <c r="L29" s="603">
        <f>'строка 1200(130)'!D14+'строка 1200(130)'!D15</f>
        <v>2933700</v>
      </c>
      <c r="M29" s="603"/>
      <c r="N29" s="2288"/>
      <c r="O29" s="2289"/>
      <c r="P29" s="2289"/>
      <c r="Q29" s="2289"/>
      <c r="R29" s="2289"/>
      <c r="S29" s="2289"/>
      <c r="T29" s="2289"/>
      <c r="U29" s="2289"/>
      <c r="V29" s="2289"/>
    </row>
    <row r="30" spans="1:27" ht="15.75" customHeight="1" x14ac:dyDescent="0.2">
      <c r="A30" s="575" t="s">
        <v>978</v>
      </c>
      <c r="B30" s="574">
        <v>1230</v>
      </c>
      <c r="C30" s="574">
        <v>135</v>
      </c>
      <c r="D30" s="603">
        <f>SUM(E30:M30)</f>
        <v>0</v>
      </c>
      <c r="E30" s="603"/>
      <c r="F30" s="603"/>
      <c r="G30" s="603"/>
      <c r="H30" s="603"/>
      <c r="I30" s="603"/>
      <c r="J30" s="603"/>
      <c r="K30" s="603"/>
      <c r="L30" s="603"/>
      <c r="M30" s="603"/>
      <c r="N30" s="604"/>
      <c r="O30" s="605"/>
      <c r="P30" s="605"/>
      <c r="Q30" s="605"/>
      <c r="R30" s="605"/>
      <c r="S30" s="605"/>
      <c r="T30" s="605"/>
      <c r="U30" s="605"/>
      <c r="V30" s="605"/>
      <c r="W30" s="605"/>
      <c r="X30" s="605"/>
      <c r="Y30" s="605"/>
      <c r="Z30" s="605"/>
      <c r="AA30" s="605"/>
    </row>
    <row r="31" spans="1:27" ht="31.5" x14ac:dyDescent="0.2">
      <c r="A31" s="575" t="s">
        <v>979</v>
      </c>
      <c r="B31" s="574">
        <v>1240</v>
      </c>
      <c r="C31" s="574">
        <v>136</v>
      </c>
      <c r="D31" s="603">
        <f>SUM(E31:M31)</f>
        <v>0</v>
      </c>
      <c r="E31" s="603"/>
      <c r="F31" s="603"/>
      <c r="G31" s="603"/>
      <c r="H31" s="603"/>
      <c r="I31" s="603"/>
      <c r="J31" s="603"/>
      <c r="K31" s="603"/>
      <c r="L31" s="603"/>
      <c r="M31" s="603"/>
      <c r="N31" s="568"/>
      <c r="O31" s="606"/>
      <c r="P31" s="568"/>
      <c r="Q31" s="606"/>
      <c r="R31" s="568"/>
      <c r="S31" s="568"/>
    </row>
    <row r="32" spans="1:27" s="589" customFormat="1" ht="31.5" x14ac:dyDescent="0.2">
      <c r="A32" s="585" t="s">
        <v>980</v>
      </c>
      <c r="B32" s="594">
        <v>1300</v>
      </c>
      <c r="C32" s="594">
        <v>140</v>
      </c>
      <c r="D32" s="607">
        <f>SUM(E32:M32)</f>
        <v>0</v>
      </c>
      <c r="E32" s="607">
        <f>E34</f>
        <v>0</v>
      </c>
      <c r="F32" s="607">
        <f t="shared" ref="F32:M32" si="4">F34</f>
        <v>0</v>
      </c>
      <c r="G32" s="607">
        <f t="shared" si="4"/>
        <v>0</v>
      </c>
      <c r="H32" s="607">
        <f t="shared" si="4"/>
        <v>0</v>
      </c>
      <c r="I32" s="607">
        <f t="shared" si="4"/>
        <v>0</v>
      </c>
      <c r="J32" s="607">
        <f t="shared" si="4"/>
        <v>0</v>
      </c>
      <c r="K32" s="607">
        <f t="shared" si="4"/>
        <v>0</v>
      </c>
      <c r="L32" s="607">
        <f t="shared" si="4"/>
        <v>0</v>
      </c>
      <c r="M32" s="607">
        <f t="shared" si="4"/>
        <v>0</v>
      </c>
      <c r="N32" s="608"/>
      <c r="O32" s="597"/>
      <c r="P32" s="588"/>
      <c r="Q32" s="597"/>
      <c r="R32" s="588"/>
      <c r="S32" s="588"/>
    </row>
    <row r="33" spans="1:19" x14ac:dyDescent="0.2">
      <c r="A33" s="609" t="s">
        <v>440</v>
      </c>
      <c r="B33" s="574"/>
      <c r="C33" s="574"/>
      <c r="D33" s="603"/>
      <c r="E33" s="603"/>
      <c r="F33" s="603"/>
      <c r="G33" s="603"/>
      <c r="H33" s="603"/>
      <c r="I33" s="603"/>
      <c r="J33" s="603"/>
      <c r="K33" s="603"/>
      <c r="L33" s="603"/>
      <c r="M33" s="603"/>
      <c r="N33" s="568"/>
      <c r="O33" s="606"/>
      <c r="P33" s="568"/>
      <c r="Q33" s="606"/>
      <c r="R33" s="568"/>
      <c r="S33" s="568"/>
    </row>
    <row r="34" spans="1:19" x14ac:dyDescent="0.2">
      <c r="A34" s="609"/>
      <c r="B34" s="574">
        <v>1310</v>
      </c>
      <c r="C34" s="574">
        <v>140</v>
      </c>
      <c r="D34" s="603">
        <f>SUM(E34:M34)</f>
        <v>0</v>
      </c>
      <c r="E34" s="603"/>
      <c r="F34" s="603"/>
      <c r="G34" s="603"/>
      <c r="H34" s="603"/>
      <c r="I34" s="603"/>
      <c r="J34" s="603"/>
      <c r="K34" s="603"/>
      <c r="L34" s="603"/>
      <c r="M34" s="603"/>
      <c r="N34" s="568"/>
      <c r="O34" s="606"/>
      <c r="P34" s="568"/>
      <c r="Q34" s="606"/>
      <c r="R34" s="568"/>
      <c r="S34" s="568"/>
    </row>
    <row r="35" spans="1:19" s="589" customFormat="1" x14ac:dyDescent="0.2">
      <c r="A35" s="585" t="s">
        <v>981</v>
      </c>
      <c r="B35" s="594">
        <v>1400</v>
      </c>
      <c r="C35" s="594">
        <v>150</v>
      </c>
      <c r="D35" s="607">
        <f>SUM(E35:M35)</f>
        <v>906300</v>
      </c>
      <c r="E35" s="607">
        <f>SUM(E37:E39)</f>
        <v>0</v>
      </c>
      <c r="F35" s="607">
        <f t="shared" ref="F35:L35" si="5">SUM(F37:F39)</f>
        <v>0</v>
      </c>
      <c r="G35" s="607">
        <f t="shared" si="5"/>
        <v>760500</v>
      </c>
      <c r="H35" s="607">
        <f t="shared" si="5"/>
        <v>0</v>
      </c>
      <c r="I35" s="607">
        <f t="shared" si="5"/>
        <v>145800</v>
      </c>
      <c r="J35" s="607">
        <f t="shared" si="5"/>
        <v>0</v>
      </c>
      <c r="K35" s="607">
        <f t="shared" si="5"/>
        <v>0</v>
      </c>
      <c r="L35" s="607">
        <f t="shared" si="5"/>
        <v>0</v>
      </c>
      <c r="M35" s="607">
        <f t="shared" ref="M35" si="6">M39</f>
        <v>0</v>
      </c>
      <c r="N35" s="588"/>
      <c r="O35" s="597"/>
      <c r="P35" s="588"/>
      <c r="Q35" s="597"/>
      <c r="R35" s="588"/>
      <c r="S35" s="588"/>
    </row>
    <row r="36" spans="1:19" x14ac:dyDescent="0.2">
      <c r="A36" s="575" t="s">
        <v>440</v>
      </c>
      <c r="B36" s="574"/>
      <c r="C36" s="574"/>
      <c r="D36" s="603"/>
      <c r="E36" s="603"/>
      <c r="F36" s="603"/>
      <c r="G36" s="603"/>
      <c r="H36" s="603"/>
      <c r="I36" s="603"/>
      <c r="J36" s="603"/>
      <c r="K36" s="603"/>
      <c r="L36" s="603"/>
      <c r="M36" s="603"/>
      <c r="N36" s="568"/>
      <c r="O36" s="606"/>
      <c r="P36" s="568"/>
      <c r="Q36" s="606"/>
      <c r="R36" s="568"/>
      <c r="S36" s="568"/>
    </row>
    <row r="37" spans="1:19" x14ac:dyDescent="0.2">
      <c r="A37" s="575" t="s">
        <v>905</v>
      </c>
      <c r="B37" s="574">
        <v>1410</v>
      </c>
      <c r="C37" s="593" t="s">
        <v>1742</v>
      </c>
      <c r="D37" s="603">
        <f>SUM(E37:M37)</f>
        <v>906300</v>
      </c>
      <c r="E37" s="603"/>
      <c r="F37" s="603"/>
      <c r="G37" s="603">
        <f>'безвоз строка 1400 (150)'!D13</f>
        <v>760500</v>
      </c>
      <c r="H37" s="603">
        <f>'безвоз строка 1400 (150)'!D14</f>
        <v>0</v>
      </c>
      <c r="I37" s="603">
        <f>'безвоз строка 1400 (150)'!D15</f>
        <v>145800</v>
      </c>
      <c r="J37" s="603"/>
      <c r="L37" s="603"/>
      <c r="M37" s="603"/>
      <c r="N37" s="568"/>
      <c r="O37" s="606"/>
      <c r="P37" s="568"/>
      <c r="Q37" s="606"/>
      <c r="R37" s="568"/>
      <c r="S37" s="568"/>
    </row>
    <row r="38" spans="1:19" x14ac:dyDescent="0.2">
      <c r="A38" s="575" t="s">
        <v>911</v>
      </c>
      <c r="B38" s="574">
        <v>1420</v>
      </c>
      <c r="C38" s="593" t="s">
        <v>1742</v>
      </c>
      <c r="D38" s="603">
        <f>SUM(E38:M38)</f>
        <v>0</v>
      </c>
      <c r="E38" s="603"/>
      <c r="F38" s="603"/>
      <c r="G38" s="603"/>
      <c r="H38" s="603"/>
      <c r="I38" s="603"/>
      <c r="J38" s="603"/>
      <c r="K38" s="603">
        <f>'безвоз строка 1400 (150)'!D18</f>
        <v>0</v>
      </c>
      <c r="L38" s="610"/>
      <c r="M38" s="610"/>
      <c r="N38" s="568"/>
      <c r="O38" s="606"/>
      <c r="P38" s="568"/>
      <c r="Q38" s="606"/>
      <c r="R38" s="568"/>
      <c r="S38" s="568"/>
    </row>
    <row r="39" spans="1:19" s="592" customFormat="1" x14ac:dyDescent="0.2">
      <c r="A39" s="575" t="s">
        <v>982</v>
      </c>
      <c r="B39" s="574">
        <v>1430</v>
      </c>
      <c r="C39" s="593" t="s">
        <v>1731</v>
      </c>
      <c r="D39" s="603">
        <f>SUM(E39:M39)</f>
        <v>0</v>
      </c>
      <c r="E39" s="603"/>
      <c r="F39" s="603"/>
      <c r="G39" s="603"/>
      <c r="H39" s="603"/>
      <c r="I39" s="603"/>
      <c r="J39" s="603"/>
      <c r="K39" s="603"/>
      <c r="L39" s="603"/>
      <c r="M39" s="603"/>
      <c r="N39" s="591"/>
      <c r="O39" s="590"/>
      <c r="P39" s="591"/>
      <c r="Q39" s="590"/>
      <c r="R39" s="591"/>
      <c r="S39" s="591"/>
    </row>
    <row r="40" spans="1:19" s="589" customFormat="1" x14ac:dyDescent="0.2">
      <c r="A40" s="585" t="s">
        <v>983</v>
      </c>
      <c r="B40" s="594">
        <v>1500</v>
      </c>
      <c r="C40" s="595" t="s">
        <v>1760</v>
      </c>
      <c r="D40" s="607">
        <f>SUM(E40:M40)</f>
        <v>0</v>
      </c>
      <c r="E40" s="607">
        <f>E41</f>
        <v>0</v>
      </c>
      <c r="F40" s="607">
        <f t="shared" ref="F40:M40" si="7">F41</f>
        <v>0</v>
      </c>
      <c r="G40" s="607">
        <f t="shared" si="7"/>
        <v>0</v>
      </c>
      <c r="H40" s="607">
        <f t="shared" si="7"/>
        <v>0</v>
      </c>
      <c r="I40" s="607">
        <f t="shared" si="7"/>
        <v>0</v>
      </c>
      <c r="J40" s="607">
        <f t="shared" si="7"/>
        <v>0</v>
      </c>
      <c r="K40" s="607">
        <f t="shared" si="7"/>
        <v>0</v>
      </c>
      <c r="L40" s="607">
        <f t="shared" si="7"/>
        <v>0</v>
      </c>
      <c r="M40" s="607">
        <f t="shared" si="7"/>
        <v>0</v>
      </c>
      <c r="N40" s="588"/>
      <c r="O40" s="597"/>
      <c r="P40" s="588"/>
      <c r="Q40" s="597"/>
      <c r="R40" s="588"/>
      <c r="S40" s="588"/>
    </row>
    <row r="41" spans="1:19" s="592" customFormat="1" x14ac:dyDescent="0.2">
      <c r="A41" s="575" t="s">
        <v>440</v>
      </c>
      <c r="B41" s="574"/>
      <c r="C41" s="593"/>
      <c r="D41" s="603"/>
      <c r="E41" s="603"/>
      <c r="F41" s="603"/>
      <c r="G41" s="610"/>
      <c r="H41" s="610"/>
      <c r="I41" s="610"/>
      <c r="J41" s="610"/>
      <c r="K41" s="610"/>
      <c r="L41" s="610"/>
      <c r="M41" s="610"/>
      <c r="N41" s="591"/>
      <c r="O41" s="590"/>
      <c r="P41" s="591"/>
      <c r="Q41" s="590"/>
      <c r="R41" s="591"/>
      <c r="S41" s="591"/>
    </row>
    <row r="42" spans="1:19" s="589" customFormat="1" ht="18.75" x14ac:dyDescent="0.2">
      <c r="A42" s="585" t="s">
        <v>984</v>
      </c>
      <c r="B42" s="594">
        <v>1980</v>
      </c>
      <c r="C42" s="594" t="s">
        <v>859</v>
      </c>
      <c r="D42" s="607">
        <f>SUM(E42:M42)</f>
        <v>0</v>
      </c>
      <c r="E42" s="607"/>
      <c r="F42" s="607"/>
      <c r="G42" s="607"/>
      <c r="H42" s="607"/>
      <c r="I42" s="607"/>
      <c r="J42" s="607"/>
      <c r="K42" s="607"/>
      <c r="L42" s="607"/>
      <c r="M42" s="611"/>
      <c r="N42" s="608"/>
      <c r="O42" s="597"/>
      <c r="P42" s="588"/>
      <c r="Q42" s="597"/>
      <c r="R42" s="588"/>
      <c r="S42" s="588"/>
    </row>
    <row r="43" spans="1:19" x14ac:dyDescent="0.2">
      <c r="A43" s="575" t="s">
        <v>800</v>
      </c>
      <c r="B43" s="574"/>
      <c r="C43" s="574"/>
      <c r="D43" s="577"/>
      <c r="E43" s="577"/>
      <c r="F43" s="577"/>
      <c r="G43" s="577"/>
      <c r="H43" s="577"/>
      <c r="I43" s="577"/>
      <c r="J43" s="577"/>
      <c r="K43" s="577"/>
      <c r="L43" s="577"/>
      <c r="M43" s="577"/>
      <c r="N43" s="568"/>
      <c r="O43" s="606"/>
      <c r="P43" s="568"/>
      <c r="Q43" s="606"/>
      <c r="R43" s="568"/>
      <c r="S43" s="568"/>
    </row>
    <row r="44" spans="1:19" s="592" customFormat="1" ht="36.75" customHeight="1" x14ac:dyDescent="0.2">
      <c r="A44" s="575" t="s">
        <v>985</v>
      </c>
      <c r="B44" s="574">
        <v>1981</v>
      </c>
      <c r="C44" s="593" t="s">
        <v>986</v>
      </c>
      <c r="D44" s="612">
        <f>SUM(E44:M44)</f>
        <v>0</v>
      </c>
      <c r="E44" s="612"/>
      <c r="F44" s="612"/>
      <c r="G44" s="612"/>
      <c r="H44" s="612"/>
      <c r="I44" s="612"/>
      <c r="J44" s="612"/>
      <c r="K44" s="612"/>
      <c r="L44" s="612"/>
      <c r="M44" s="612"/>
      <c r="N44" s="591"/>
      <c r="O44" s="590"/>
      <c r="P44" s="591"/>
      <c r="Q44" s="590"/>
      <c r="R44" s="591"/>
      <c r="S44" s="591"/>
    </row>
    <row r="45" spans="1:19" x14ac:dyDescent="0.2">
      <c r="A45" s="575"/>
      <c r="B45" s="574"/>
      <c r="C45" s="574"/>
      <c r="D45" s="577"/>
      <c r="E45" s="577"/>
      <c r="F45" s="577"/>
      <c r="G45" s="577"/>
      <c r="H45" s="577"/>
      <c r="I45" s="577"/>
      <c r="J45" s="577"/>
      <c r="K45" s="577"/>
      <c r="L45" s="577"/>
      <c r="M45" s="577"/>
      <c r="N45" s="568"/>
      <c r="O45" s="606"/>
      <c r="P45" s="568"/>
      <c r="Q45" s="606"/>
      <c r="R45" s="568"/>
      <c r="S45" s="568"/>
    </row>
    <row r="46" spans="1:19" s="584" customFormat="1" x14ac:dyDescent="0.2">
      <c r="A46" s="580" t="s">
        <v>987</v>
      </c>
      <c r="B46" s="613">
        <v>2000</v>
      </c>
      <c r="C46" s="613" t="s">
        <v>859</v>
      </c>
      <c r="D46" s="614">
        <f>SUM(E46:M46)</f>
        <v>40056300</v>
      </c>
      <c r="E46" s="614">
        <f>E48+E57+E61+E65+E68+E70+E79+E83</f>
        <v>36216300</v>
      </c>
      <c r="F46" s="614">
        <f t="shared" ref="F46:M46" si="8">F48+F57+F61+F65+F68+F70+F79+F83</f>
        <v>0</v>
      </c>
      <c r="G46" s="614">
        <f t="shared" si="8"/>
        <v>760500</v>
      </c>
      <c r="H46" s="614">
        <f t="shared" si="8"/>
        <v>0</v>
      </c>
      <c r="I46" s="614">
        <f t="shared" si="8"/>
        <v>145800</v>
      </c>
      <c r="J46" s="614">
        <f t="shared" si="8"/>
        <v>0</v>
      </c>
      <c r="K46" s="614">
        <f t="shared" si="8"/>
        <v>0</v>
      </c>
      <c r="L46" s="614">
        <f t="shared" si="8"/>
        <v>2933700</v>
      </c>
      <c r="M46" s="614">
        <f t="shared" si="8"/>
        <v>0</v>
      </c>
      <c r="N46" s="615"/>
      <c r="O46" s="616"/>
      <c r="P46" s="615"/>
      <c r="Q46" s="616"/>
      <c r="R46" s="615"/>
      <c r="S46" s="615"/>
    </row>
    <row r="47" spans="1:19" x14ac:dyDescent="0.2">
      <c r="A47" s="575" t="s">
        <v>440</v>
      </c>
      <c r="B47" s="574"/>
      <c r="C47" s="574"/>
      <c r="D47" s="577"/>
      <c r="E47" s="577"/>
      <c r="F47" s="577"/>
      <c r="G47" s="577"/>
      <c r="H47" s="577"/>
      <c r="I47" s="577"/>
      <c r="J47" s="577"/>
      <c r="K47" s="577"/>
      <c r="L47" s="577"/>
      <c r="M47" s="577"/>
      <c r="N47" s="568"/>
      <c r="O47" s="606"/>
      <c r="P47" s="568"/>
      <c r="Q47" s="606"/>
      <c r="R47" s="568"/>
      <c r="S47" s="568"/>
    </row>
    <row r="48" spans="1:19" s="589" customFormat="1" ht="36.75" customHeight="1" x14ac:dyDescent="0.2">
      <c r="A48" s="585" t="s">
        <v>988</v>
      </c>
      <c r="B48" s="594">
        <v>2100</v>
      </c>
      <c r="C48" s="594" t="s">
        <v>859</v>
      </c>
      <c r="D48" s="596">
        <f>SUM(E48:M48)</f>
        <v>33389400</v>
      </c>
      <c r="E48" s="596">
        <f>E50+E51+E52+E53</f>
        <v>32245700</v>
      </c>
      <c r="F48" s="596">
        <f t="shared" ref="F48:M48" si="9">F50+F51+F52+F53</f>
        <v>0</v>
      </c>
      <c r="G48" s="596">
        <f t="shared" si="9"/>
        <v>760500</v>
      </c>
      <c r="H48" s="596">
        <f t="shared" si="9"/>
        <v>0</v>
      </c>
      <c r="I48" s="596">
        <f t="shared" si="9"/>
        <v>145800</v>
      </c>
      <c r="J48" s="596">
        <f t="shared" si="9"/>
        <v>0</v>
      </c>
      <c r="K48" s="596">
        <f t="shared" si="9"/>
        <v>0</v>
      </c>
      <c r="L48" s="596">
        <f>L50+L51+L52+L53</f>
        <v>237400</v>
      </c>
      <c r="M48" s="596">
        <f t="shared" si="9"/>
        <v>0</v>
      </c>
      <c r="N48" s="588"/>
      <c r="O48" s="597"/>
      <c r="P48" s="588"/>
      <c r="Q48" s="597"/>
      <c r="R48" s="588"/>
      <c r="S48" s="588"/>
    </row>
    <row r="49" spans="1:19" ht="20.25" customHeight="1" x14ac:dyDescent="0.2">
      <c r="A49" s="575" t="s">
        <v>440</v>
      </c>
      <c r="B49" s="574"/>
      <c r="C49" s="574"/>
      <c r="D49" s="577"/>
      <c r="E49" s="577"/>
      <c r="F49" s="577"/>
      <c r="G49" s="577"/>
      <c r="H49" s="577"/>
      <c r="I49" s="577"/>
      <c r="J49" s="577"/>
      <c r="K49" s="577"/>
      <c r="L49" s="577"/>
      <c r="M49" s="577"/>
      <c r="N49" s="568"/>
      <c r="O49" s="606"/>
      <c r="P49" s="568"/>
      <c r="Q49" s="606"/>
      <c r="R49" s="568"/>
      <c r="S49" s="568"/>
    </row>
    <row r="50" spans="1:19" ht="20.25" customHeight="1" x14ac:dyDescent="0.2">
      <c r="A50" s="575" t="s">
        <v>989</v>
      </c>
      <c r="B50" s="574">
        <v>2110</v>
      </c>
      <c r="C50" s="574">
        <v>111</v>
      </c>
      <c r="D50" s="577">
        <f>SUM(E50:M50)</f>
        <v>24668800</v>
      </c>
      <c r="E50" s="577">
        <f>'субс РК КВР 111 (14.02.20)'!D13</f>
        <v>24668800</v>
      </c>
      <c r="F50" s="577"/>
      <c r="G50" s="577"/>
      <c r="H50" s="577"/>
      <c r="I50" s="577"/>
      <c r="J50" s="577"/>
      <c r="K50" s="577"/>
      <c r="L50" s="577">
        <v>0</v>
      </c>
      <c r="M50" s="577"/>
      <c r="N50" s="568"/>
      <c r="O50" s="606"/>
      <c r="P50" s="568"/>
      <c r="Q50" s="606"/>
      <c r="R50" s="568"/>
      <c r="S50" s="568"/>
    </row>
    <row r="51" spans="1:19" ht="33.75" customHeight="1" x14ac:dyDescent="0.2">
      <c r="A51" s="575" t="s">
        <v>990</v>
      </c>
      <c r="B51" s="574">
        <v>2120</v>
      </c>
      <c r="C51" s="574">
        <v>112</v>
      </c>
      <c r="D51" s="577">
        <f>SUM(E51:M51)</f>
        <v>997900</v>
      </c>
      <c r="E51" s="577">
        <v>0</v>
      </c>
      <c r="F51" s="577"/>
      <c r="G51" s="577">
        <f>'иные КВР 112 (01.01.20)'!D10</f>
        <v>760500</v>
      </c>
      <c r="H51" s="577"/>
      <c r="I51" s="577"/>
      <c r="J51" s="577"/>
      <c r="K51" s="577"/>
      <c r="L51" s="577">
        <v>237400</v>
      </c>
      <c r="M51" s="577"/>
      <c r="N51" s="568"/>
      <c r="O51" s="606"/>
      <c r="P51" s="568"/>
      <c r="Q51" s="606"/>
      <c r="R51" s="568"/>
      <c r="S51" s="568"/>
    </row>
    <row r="52" spans="1:19" ht="31.5" x14ac:dyDescent="0.2">
      <c r="A52" s="575" t="s">
        <v>991</v>
      </c>
      <c r="B52" s="574">
        <v>2130</v>
      </c>
      <c r="C52" s="574">
        <v>113</v>
      </c>
      <c r="D52" s="577">
        <f>SUM(E52:M52)</f>
        <v>334400</v>
      </c>
      <c r="E52" s="577">
        <f>'субс РК КВР 113(01.01.20)'!D14</f>
        <v>188600</v>
      </c>
      <c r="F52" s="577">
        <f>'субс РТ КВР 113(01.01.20)'!D14</f>
        <v>0</v>
      </c>
      <c r="G52" s="577"/>
      <c r="H52" s="577"/>
      <c r="I52" s="577">
        <f>'ОД КВР 113(01.01.20)'!D11</f>
        <v>145800</v>
      </c>
      <c r="J52" s="577"/>
      <c r="K52" s="577"/>
      <c r="L52" s="577">
        <v>0</v>
      </c>
      <c r="M52" s="577"/>
      <c r="N52" s="568"/>
      <c r="O52" s="606"/>
      <c r="P52" s="568"/>
      <c r="Q52" s="606"/>
      <c r="R52" s="568"/>
      <c r="S52" s="568"/>
    </row>
    <row r="53" spans="1:19" ht="47.25" x14ac:dyDescent="0.2">
      <c r="A53" s="575" t="s">
        <v>992</v>
      </c>
      <c r="B53" s="574">
        <v>2140</v>
      </c>
      <c r="C53" s="574">
        <v>119</v>
      </c>
      <c r="D53" s="577">
        <f>SUM(E53:M53)</f>
        <v>7388300</v>
      </c>
      <c r="E53" s="662">
        <f>E55</f>
        <v>7388300</v>
      </c>
      <c r="F53" s="577"/>
      <c r="G53" s="577"/>
      <c r="H53" s="577"/>
      <c r="I53" s="577"/>
      <c r="J53" s="577"/>
      <c r="K53" s="577"/>
      <c r="L53" s="577">
        <v>0</v>
      </c>
      <c r="M53" s="577"/>
      <c r="N53" s="568"/>
      <c r="O53" s="606"/>
      <c r="P53" s="568"/>
      <c r="Q53" s="606"/>
      <c r="R53" s="568"/>
      <c r="S53" s="568"/>
    </row>
    <row r="54" spans="1:19" x14ac:dyDescent="0.2">
      <c r="A54" s="575" t="s">
        <v>440</v>
      </c>
      <c r="B54" s="574"/>
      <c r="C54" s="574"/>
      <c r="D54" s="577"/>
      <c r="E54" s="577"/>
      <c r="F54" s="577"/>
      <c r="G54" s="577"/>
      <c r="H54" s="577"/>
      <c r="I54" s="577"/>
      <c r="J54" s="577"/>
      <c r="K54" s="577"/>
      <c r="L54" s="577"/>
      <c r="M54" s="577"/>
      <c r="N54" s="568"/>
      <c r="O54" s="606"/>
      <c r="P54" s="568"/>
      <c r="Q54" s="606"/>
      <c r="R54" s="568"/>
      <c r="S54" s="568"/>
    </row>
    <row r="55" spans="1:19" x14ac:dyDescent="0.2">
      <c r="A55" s="575" t="s">
        <v>993</v>
      </c>
      <c r="B55" s="574">
        <v>2141</v>
      </c>
      <c r="C55" s="574">
        <v>119</v>
      </c>
      <c r="D55" s="577">
        <f>SUM(E55:M55)</f>
        <v>7388300</v>
      </c>
      <c r="E55" s="577">
        <f>'субс РК КВР 119 (14.02.20)'!D13</f>
        <v>7388300</v>
      </c>
      <c r="F55" s="577"/>
      <c r="G55" s="577"/>
      <c r="H55" s="577"/>
      <c r="I55" s="577"/>
      <c r="J55" s="577"/>
      <c r="K55" s="577"/>
      <c r="L55" s="577">
        <v>0</v>
      </c>
      <c r="M55" s="577"/>
      <c r="N55" s="568"/>
      <c r="O55" s="606"/>
      <c r="P55" s="568"/>
      <c r="Q55" s="606"/>
      <c r="R55" s="568"/>
      <c r="S55" s="568"/>
    </row>
    <row r="56" spans="1:19" x14ac:dyDescent="0.2">
      <c r="A56" s="575" t="s">
        <v>994</v>
      </c>
      <c r="B56" s="574">
        <v>2142</v>
      </c>
      <c r="C56" s="574">
        <v>119</v>
      </c>
      <c r="D56" s="577"/>
      <c r="E56" s="577"/>
      <c r="F56" s="577"/>
      <c r="G56" s="577"/>
      <c r="H56" s="577"/>
      <c r="I56" s="577"/>
      <c r="J56" s="577"/>
      <c r="K56" s="577"/>
      <c r="L56" s="577"/>
      <c r="M56" s="577"/>
      <c r="N56" s="568"/>
      <c r="O56" s="606"/>
      <c r="P56" s="568"/>
      <c r="Q56" s="606"/>
      <c r="R56" s="568"/>
      <c r="S56" s="568"/>
    </row>
    <row r="57" spans="1:19" s="589" customFormat="1" x14ac:dyDescent="0.2">
      <c r="A57" s="585" t="s">
        <v>995</v>
      </c>
      <c r="B57" s="594">
        <v>2200</v>
      </c>
      <c r="C57" s="594">
        <v>300</v>
      </c>
      <c r="D57" s="596">
        <f>SUM(E57:M57)</f>
        <v>0</v>
      </c>
      <c r="E57" s="596">
        <f>E59+E60</f>
        <v>0</v>
      </c>
      <c r="F57" s="596">
        <f t="shared" ref="F57:M57" si="10">F59+F60</f>
        <v>0</v>
      </c>
      <c r="G57" s="596">
        <f t="shared" si="10"/>
        <v>0</v>
      </c>
      <c r="H57" s="596">
        <f t="shared" si="10"/>
        <v>0</v>
      </c>
      <c r="I57" s="596">
        <f t="shared" si="10"/>
        <v>0</v>
      </c>
      <c r="J57" s="596">
        <f t="shared" si="10"/>
        <v>0</v>
      </c>
      <c r="K57" s="596">
        <f t="shared" si="10"/>
        <v>0</v>
      </c>
      <c r="L57" s="596">
        <f t="shared" si="10"/>
        <v>0</v>
      </c>
      <c r="M57" s="596">
        <f t="shared" si="10"/>
        <v>0</v>
      </c>
      <c r="N57" s="588"/>
      <c r="O57" s="597"/>
      <c r="P57" s="588"/>
      <c r="Q57" s="597"/>
      <c r="R57" s="588"/>
      <c r="S57" s="588"/>
    </row>
    <row r="58" spans="1:19" x14ac:dyDescent="0.2">
      <c r="A58" s="575" t="s">
        <v>440</v>
      </c>
      <c r="B58" s="574"/>
      <c r="C58" s="574"/>
      <c r="D58" s="577"/>
      <c r="E58" s="577"/>
      <c r="F58" s="577"/>
      <c r="G58" s="577"/>
      <c r="H58" s="577"/>
      <c r="I58" s="577"/>
      <c r="J58" s="577"/>
      <c r="K58" s="577"/>
      <c r="L58" s="577"/>
      <c r="M58" s="577"/>
      <c r="N58" s="568"/>
      <c r="O58" s="606"/>
      <c r="P58" s="568"/>
      <c r="Q58" s="606"/>
      <c r="R58" s="568"/>
      <c r="S58" s="568"/>
    </row>
    <row r="59" spans="1:19" ht="31.5" x14ac:dyDescent="0.2">
      <c r="A59" s="575" t="s">
        <v>996</v>
      </c>
      <c r="B59" s="574">
        <v>2210</v>
      </c>
      <c r="C59" s="574">
        <v>320</v>
      </c>
      <c r="D59" s="577">
        <f t="shared" ref="D59:D74" si="11">SUM(E59:M59)</f>
        <v>0</v>
      </c>
      <c r="E59" s="577"/>
      <c r="F59" s="577"/>
      <c r="G59" s="577"/>
      <c r="H59" s="577"/>
      <c r="I59" s="577"/>
      <c r="J59" s="577"/>
      <c r="K59" s="577"/>
      <c r="L59" s="577"/>
      <c r="M59" s="577"/>
      <c r="N59" s="568"/>
      <c r="O59" s="606"/>
      <c r="P59" s="568"/>
      <c r="Q59" s="606"/>
      <c r="R59" s="568"/>
      <c r="S59" s="568"/>
    </row>
    <row r="60" spans="1:19" ht="54.75" customHeight="1" x14ac:dyDescent="0.2">
      <c r="A60" s="575" t="s">
        <v>997</v>
      </c>
      <c r="B60" s="574">
        <v>2211</v>
      </c>
      <c r="C60" s="574">
        <v>321</v>
      </c>
      <c r="D60" s="577">
        <f t="shared" si="11"/>
        <v>0</v>
      </c>
      <c r="E60" s="577"/>
      <c r="F60" s="577"/>
      <c r="G60" s="577">
        <v>0</v>
      </c>
      <c r="H60" s="577"/>
      <c r="I60" s="577"/>
      <c r="J60" s="577"/>
      <c r="K60" s="577"/>
      <c r="L60" s="577"/>
      <c r="M60" s="577"/>
      <c r="N60" s="568"/>
      <c r="O60" s="606"/>
      <c r="P60" s="568"/>
      <c r="Q60" s="606"/>
      <c r="R60" s="568"/>
      <c r="S60" s="568"/>
    </row>
    <row r="61" spans="1:19" s="589" customFormat="1" x14ac:dyDescent="0.2">
      <c r="A61" s="585" t="s">
        <v>998</v>
      </c>
      <c r="B61" s="594">
        <v>2300</v>
      </c>
      <c r="C61" s="594">
        <v>850</v>
      </c>
      <c r="D61" s="596">
        <f t="shared" si="11"/>
        <v>0</v>
      </c>
      <c r="E61" s="596">
        <f>E62+E63+E64</f>
        <v>0</v>
      </c>
      <c r="F61" s="596">
        <f t="shared" ref="F61:M61" si="12">F62+F63+F64</f>
        <v>0</v>
      </c>
      <c r="G61" s="596">
        <f t="shared" si="12"/>
        <v>0</v>
      </c>
      <c r="H61" s="596">
        <f t="shared" si="12"/>
        <v>0</v>
      </c>
      <c r="I61" s="596">
        <f t="shared" si="12"/>
        <v>0</v>
      </c>
      <c r="J61" s="596">
        <f t="shared" si="12"/>
        <v>0</v>
      </c>
      <c r="K61" s="596">
        <f t="shared" si="12"/>
        <v>0</v>
      </c>
      <c r="L61" s="596">
        <f t="shared" si="12"/>
        <v>0</v>
      </c>
      <c r="M61" s="596">
        <f t="shared" si="12"/>
        <v>0</v>
      </c>
      <c r="N61" s="588"/>
      <c r="O61" s="597"/>
      <c r="P61" s="588"/>
      <c r="Q61" s="597"/>
      <c r="R61" s="588"/>
      <c r="S61" s="588"/>
    </row>
    <row r="62" spans="1:19" ht="31.5" x14ac:dyDescent="0.2">
      <c r="A62" s="575" t="s">
        <v>999</v>
      </c>
      <c r="B62" s="574">
        <v>2310</v>
      </c>
      <c r="C62" s="574">
        <v>851</v>
      </c>
      <c r="D62" s="577">
        <f t="shared" si="11"/>
        <v>0</v>
      </c>
      <c r="E62" s="577"/>
      <c r="F62" s="577"/>
      <c r="G62" s="577"/>
      <c r="H62" s="577"/>
      <c r="I62" s="577"/>
      <c r="J62" s="577"/>
      <c r="K62" s="577"/>
      <c r="L62" s="577"/>
      <c r="M62" s="577"/>
      <c r="N62" s="568"/>
      <c r="O62" s="606"/>
      <c r="P62" s="568"/>
      <c r="Q62" s="606"/>
      <c r="R62" s="568"/>
      <c r="S62" s="568"/>
    </row>
    <row r="63" spans="1:19" ht="47.25" x14ac:dyDescent="0.2">
      <c r="A63" s="575" t="s">
        <v>1000</v>
      </c>
      <c r="B63" s="574">
        <v>2320</v>
      </c>
      <c r="C63" s="574">
        <v>852</v>
      </c>
      <c r="D63" s="577">
        <f t="shared" si="11"/>
        <v>0</v>
      </c>
      <c r="E63" s="577"/>
      <c r="F63" s="577"/>
      <c r="G63" s="577"/>
      <c r="H63" s="577"/>
      <c r="I63" s="577"/>
      <c r="J63" s="577"/>
      <c r="K63" s="577"/>
      <c r="L63" s="577"/>
      <c r="M63" s="577"/>
      <c r="N63" s="568"/>
      <c r="O63" s="606"/>
      <c r="P63" s="568"/>
      <c r="Q63" s="606"/>
      <c r="R63" s="568"/>
      <c r="S63" s="568"/>
    </row>
    <row r="64" spans="1:19" ht="31.5" x14ac:dyDescent="0.2">
      <c r="A64" s="575" t="s">
        <v>1001</v>
      </c>
      <c r="B64" s="574">
        <v>2330</v>
      </c>
      <c r="C64" s="574">
        <v>853</v>
      </c>
      <c r="D64" s="577">
        <f t="shared" si="11"/>
        <v>0</v>
      </c>
      <c r="E64" s="577"/>
      <c r="F64" s="577"/>
      <c r="G64" s="577"/>
      <c r="H64" s="577"/>
      <c r="I64" s="577"/>
      <c r="J64" s="577"/>
      <c r="K64" s="577"/>
      <c r="L64" s="577"/>
      <c r="M64" s="577"/>
      <c r="N64" s="568"/>
      <c r="O64" s="606"/>
      <c r="P64" s="568"/>
      <c r="Q64" s="606"/>
      <c r="R64" s="568"/>
      <c r="S64" s="568"/>
    </row>
    <row r="65" spans="1:19" s="589" customFormat="1" ht="31.5" x14ac:dyDescent="0.2">
      <c r="A65" s="585" t="s">
        <v>1002</v>
      </c>
      <c r="B65" s="594">
        <v>2400</v>
      </c>
      <c r="C65" s="594" t="s">
        <v>859</v>
      </c>
      <c r="D65" s="596">
        <f t="shared" si="11"/>
        <v>0</v>
      </c>
      <c r="E65" s="596">
        <f>E66+E67</f>
        <v>0</v>
      </c>
      <c r="F65" s="596">
        <f t="shared" ref="F65:M65" si="13">F66+F67</f>
        <v>0</v>
      </c>
      <c r="G65" s="596">
        <f t="shared" si="13"/>
        <v>0</v>
      </c>
      <c r="H65" s="596">
        <f t="shared" si="13"/>
        <v>0</v>
      </c>
      <c r="I65" s="596">
        <f t="shared" si="13"/>
        <v>0</v>
      </c>
      <c r="J65" s="596">
        <f t="shared" si="13"/>
        <v>0</v>
      </c>
      <c r="K65" s="596">
        <f t="shared" si="13"/>
        <v>0</v>
      </c>
      <c r="L65" s="596">
        <f t="shared" si="13"/>
        <v>0</v>
      </c>
      <c r="M65" s="596">
        <f t="shared" si="13"/>
        <v>0</v>
      </c>
      <c r="N65" s="588"/>
      <c r="O65" s="597"/>
      <c r="P65" s="588"/>
      <c r="Q65" s="597"/>
      <c r="R65" s="588"/>
      <c r="S65" s="588"/>
    </row>
    <row r="66" spans="1:19" ht="45.75" customHeight="1" x14ac:dyDescent="0.2">
      <c r="A66" s="575" t="s">
        <v>1761</v>
      </c>
      <c r="B66" s="574">
        <v>2410</v>
      </c>
      <c r="C66" s="574">
        <v>613</v>
      </c>
      <c r="D66" s="577">
        <f t="shared" si="11"/>
        <v>0</v>
      </c>
      <c r="E66" s="577"/>
      <c r="F66" s="577"/>
      <c r="G66" s="577"/>
      <c r="H66" s="577"/>
      <c r="I66" s="577"/>
      <c r="J66" s="577"/>
      <c r="K66" s="577"/>
      <c r="L66" s="577"/>
      <c r="M66" s="577"/>
      <c r="N66" s="568"/>
      <c r="O66" s="606"/>
      <c r="P66" s="568"/>
      <c r="Q66" s="606"/>
      <c r="R66" s="568"/>
      <c r="S66" s="568"/>
    </row>
    <row r="67" spans="1:19" ht="21" customHeight="1" x14ac:dyDescent="0.2">
      <c r="A67" s="575" t="s">
        <v>1762</v>
      </c>
      <c r="B67" s="574">
        <v>2420</v>
      </c>
      <c r="C67" s="574">
        <v>623</v>
      </c>
      <c r="D67" s="577">
        <f t="shared" si="11"/>
        <v>0</v>
      </c>
      <c r="E67" s="577"/>
      <c r="F67" s="577"/>
      <c r="G67" s="577"/>
      <c r="H67" s="577"/>
      <c r="I67" s="577"/>
      <c r="J67" s="577"/>
      <c r="K67" s="577"/>
      <c r="L67" s="577"/>
      <c r="M67" s="577"/>
      <c r="N67" s="568"/>
      <c r="O67" s="606"/>
      <c r="P67" s="568"/>
      <c r="Q67" s="606"/>
      <c r="R67" s="568"/>
      <c r="S67" s="568"/>
    </row>
    <row r="68" spans="1:19" s="589" customFormat="1" ht="31.5" x14ac:dyDescent="0.2">
      <c r="A68" s="585" t="s">
        <v>1005</v>
      </c>
      <c r="B68" s="594">
        <v>2500</v>
      </c>
      <c r="C68" s="594" t="s">
        <v>859</v>
      </c>
      <c r="D68" s="596">
        <f t="shared" si="11"/>
        <v>0</v>
      </c>
      <c r="E68" s="596">
        <f>E69</f>
        <v>0</v>
      </c>
      <c r="F68" s="596">
        <f t="shared" ref="F68:M68" si="14">F69</f>
        <v>0</v>
      </c>
      <c r="G68" s="596">
        <f t="shared" si="14"/>
        <v>0</v>
      </c>
      <c r="H68" s="596">
        <f t="shared" si="14"/>
        <v>0</v>
      </c>
      <c r="I68" s="596">
        <f t="shared" si="14"/>
        <v>0</v>
      </c>
      <c r="J68" s="596">
        <f t="shared" si="14"/>
        <v>0</v>
      </c>
      <c r="K68" s="596">
        <f t="shared" si="14"/>
        <v>0</v>
      </c>
      <c r="L68" s="596">
        <f t="shared" si="14"/>
        <v>0</v>
      </c>
      <c r="M68" s="596">
        <f t="shared" si="14"/>
        <v>0</v>
      </c>
      <c r="N68" s="588"/>
      <c r="O68" s="597"/>
      <c r="P68" s="588"/>
      <c r="Q68" s="597"/>
      <c r="R68" s="588"/>
      <c r="S68" s="588"/>
    </row>
    <row r="69" spans="1:19" ht="47.25" x14ac:dyDescent="0.2">
      <c r="A69" s="575" t="s">
        <v>1006</v>
      </c>
      <c r="B69" s="574">
        <v>252</v>
      </c>
      <c r="C69" s="574">
        <v>831</v>
      </c>
      <c r="D69" s="577">
        <f t="shared" si="11"/>
        <v>0</v>
      </c>
      <c r="E69" s="577"/>
      <c r="F69" s="577"/>
      <c r="G69" s="577"/>
      <c r="H69" s="577"/>
      <c r="I69" s="577"/>
      <c r="J69" s="577"/>
      <c r="K69" s="577"/>
      <c r="L69" s="577"/>
      <c r="M69" s="577"/>
      <c r="N69" s="568"/>
      <c r="O69" s="606"/>
      <c r="P69" s="568"/>
      <c r="Q69" s="606"/>
      <c r="R69" s="568"/>
      <c r="S69" s="568"/>
    </row>
    <row r="70" spans="1:19" s="589" customFormat="1" ht="18.75" x14ac:dyDescent="0.2">
      <c r="A70" s="585" t="s">
        <v>1007</v>
      </c>
      <c r="B70" s="594">
        <v>2600</v>
      </c>
      <c r="C70" s="594" t="s">
        <v>859</v>
      </c>
      <c r="D70" s="596">
        <f t="shared" si="11"/>
        <v>6666900</v>
      </c>
      <c r="E70" s="596">
        <f>E71+E72+E73+E74</f>
        <v>3970600</v>
      </c>
      <c r="F70" s="596">
        <f t="shared" ref="F70:M70" si="15">F71+F72+F73+F74</f>
        <v>0</v>
      </c>
      <c r="G70" s="596">
        <f t="shared" si="15"/>
        <v>0</v>
      </c>
      <c r="H70" s="596">
        <f t="shared" si="15"/>
        <v>0</v>
      </c>
      <c r="I70" s="596">
        <f t="shared" si="15"/>
        <v>0</v>
      </c>
      <c r="J70" s="596">
        <f t="shared" si="15"/>
        <v>0</v>
      </c>
      <c r="K70" s="596">
        <f t="shared" si="15"/>
        <v>0</v>
      </c>
      <c r="L70" s="596">
        <f t="shared" si="15"/>
        <v>2696300</v>
      </c>
      <c r="M70" s="596">
        <f t="shared" si="15"/>
        <v>0</v>
      </c>
      <c r="N70" s="588"/>
      <c r="O70" s="597"/>
      <c r="P70" s="588"/>
      <c r="Q70" s="597"/>
      <c r="R70" s="588"/>
      <c r="S70" s="588"/>
    </row>
    <row r="71" spans="1:19" ht="47.25" x14ac:dyDescent="0.2">
      <c r="A71" s="575" t="s">
        <v>1008</v>
      </c>
      <c r="B71" s="574">
        <v>2610</v>
      </c>
      <c r="C71" s="574">
        <v>241</v>
      </c>
      <c r="D71" s="577">
        <f t="shared" si="11"/>
        <v>0</v>
      </c>
      <c r="E71" s="577"/>
      <c r="F71" s="577"/>
      <c r="G71" s="577"/>
      <c r="H71" s="577"/>
      <c r="I71" s="577"/>
      <c r="J71" s="577"/>
      <c r="K71" s="577"/>
      <c r="L71" s="577"/>
      <c r="M71" s="577"/>
      <c r="N71" s="568"/>
      <c r="O71" s="606"/>
      <c r="P71" s="568"/>
      <c r="Q71" s="606"/>
      <c r="R71" s="568"/>
      <c r="S71" s="568"/>
    </row>
    <row r="72" spans="1:19" ht="31.5" x14ac:dyDescent="0.2">
      <c r="A72" s="575" t="s">
        <v>1009</v>
      </c>
      <c r="B72" s="574">
        <v>2620</v>
      </c>
      <c r="C72" s="574">
        <v>242</v>
      </c>
      <c r="D72" s="577">
        <f t="shared" si="11"/>
        <v>0</v>
      </c>
      <c r="E72" s="577"/>
      <c r="F72" s="577"/>
      <c r="G72" s="577"/>
      <c r="H72" s="577"/>
      <c r="I72" s="577"/>
      <c r="J72" s="577"/>
      <c r="K72" s="577"/>
      <c r="L72" s="577"/>
      <c r="M72" s="577"/>
      <c r="N72" s="568"/>
      <c r="O72" s="606"/>
      <c r="P72" s="568"/>
      <c r="Q72" s="606"/>
      <c r="R72" s="568"/>
      <c r="S72" s="568"/>
    </row>
    <row r="73" spans="1:19" ht="31.5" x14ac:dyDescent="0.2">
      <c r="A73" s="575" t="s">
        <v>1010</v>
      </c>
      <c r="B73" s="574">
        <v>2630</v>
      </c>
      <c r="C73" s="574">
        <v>243</v>
      </c>
      <c r="D73" s="577">
        <f t="shared" si="11"/>
        <v>0</v>
      </c>
      <c r="E73" s="577"/>
      <c r="F73" s="577"/>
      <c r="G73" s="577"/>
      <c r="H73" s="577"/>
      <c r="I73" s="577"/>
      <c r="J73" s="577"/>
      <c r="K73" s="577"/>
      <c r="L73" s="577"/>
      <c r="M73" s="577"/>
      <c r="N73" s="568"/>
      <c r="O73" s="606"/>
      <c r="P73" s="568"/>
      <c r="Q73" s="606"/>
      <c r="R73" s="568"/>
      <c r="S73" s="568"/>
    </row>
    <row r="74" spans="1:19" x14ac:dyDescent="0.2">
      <c r="A74" s="575" t="s">
        <v>1011</v>
      </c>
      <c r="B74" s="574">
        <v>2640</v>
      </c>
      <c r="C74" s="574">
        <v>244</v>
      </c>
      <c r="D74" s="577">
        <f t="shared" si="11"/>
        <v>6666900</v>
      </c>
      <c r="E74" s="577">
        <f>'субс РК КВР 244 (01.01.20)'!D10</f>
        <v>3970600</v>
      </c>
      <c r="F74" s="577">
        <f>'субс РТ КВР 244 (01.01.20)'!D10</f>
        <v>0</v>
      </c>
      <c r="G74" s="577"/>
      <c r="H74" s="577"/>
      <c r="I74" s="577"/>
      <c r="J74" s="577"/>
      <c r="K74" s="577">
        <f>K76</f>
        <v>0</v>
      </c>
      <c r="L74" s="577">
        <f>'внеб КВР 244'!D30</f>
        <v>2696300</v>
      </c>
      <c r="M74" s="577"/>
      <c r="N74" s="568"/>
      <c r="O74" s="606"/>
      <c r="P74" s="568"/>
      <c r="Q74" s="606"/>
      <c r="R74" s="568"/>
      <c r="S74" s="568"/>
    </row>
    <row r="75" spans="1:19" x14ac:dyDescent="0.2">
      <c r="A75" s="575" t="s">
        <v>800</v>
      </c>
      <c r="B75" s="574"/>
      <c r="C75" s="574"/>
      <c r="D75" s="577"/>
      <c r="E75" s="577"/>
      <c r="F75" s="577"/>
      <c r="G75" s="577"/>
      <c r="H75" s="577"/>
      <c r="I75" s="577"/>
      <c r="J75" s="577"/>
      <c r="K75" s="577"/>
      <c r="L75" s="577"/>
      <c r="M75" s="577"/>
      <c r="N75" s="568"/>
      <c r="O75" s="606"/>
      <c r="P75" s="568"/>
      <c r="Q75" s="606"/>
      <c r="R75" s="568"/>
      <c r="S75" s="568"/>
    </row>
    <row r="76" spans="1:19" ht="31.5" x14ac:dyDescent="0.2">
      <c r="A76" s="575" t="s">
        <v>1012</v>
      </c>
      <c r="B76" s="574">
        <v>2650</v>
      </c>
      <c r="C76" s="574">
        <v>400</v>
      </c>
      <c r="D76" s="577">
        <f t="shared" ref="D76:D85" si="16">SUM(E76:M76)</f>
        <v>1073100</v>
      </c>
      <c r="E76" s="577">
        <f>'субс РК КВР 244 (01.01.20)'!D28</f>
        <v>0</v>
      </c>
      <c r="F76" s="577"/>
      <c r="G76" s="577"/>
      <c r="H76" s="577"/>
      <c r="I76" s="577"/>
      <c r="J76" s="577"/>
      <c r="K76" s="577">
        <f>'(81600) КВР 244 (01.01.20)'!D10</f>
        <v>0</v>
      </c>
      <c r="L76" s="577">
        <f>'внеб 971 (23.03.20)'!L85*1000</f>
        <v>1073100</v>
      </c>
      <c r="M76" s="577"/>
      <c r="N76" s="568"/>
      <c r="O76" s="606"/>
      <c r="P76" s="568"/>
      <c r="Q76" s="606"/>
      <c r="R76" s="568"/>
      <c r="S76" s="568"/>
    </row>
    <row r="77" spans="1:19" ht="55.5" customHeight="1" x14ac:dyDescent="0.2">
      <c r="A77" s="617" t="s">
        <v>1013</v>
      </c>
      <c r="B77" s="574">
        <v>2651</v>
      </c>
      <c r="C77" s="574">
        <v>406</v>
      </c>
      <c r="D77" s="577">
        <f t="shared" si="16"/>
        <v>0</v>
      </c>
      <c r="E77" s="577"/>
      <c r="F77" s="577"/>
      <c r="G77" s="577"/>
      <c r="H77" s="577"/>
      <c r="I77" s="577"/>
      <c r="J77" s="577"/>
      <c r="K77" s="577"/>
      <c r="L77" s="577"/>
      <c r="M77" s="577"/>
      <c r="N77" s="568"/>
      <c r="O77" s="606"/>
      <c r="P77" s="568"/>
      <c r="Q77" s="606"/>
      <c r="R77" s="568"/>
      <c r="S77" s="568"/>
    </row>
    <row r="78" spans="1:19" ht="31.5" x14ac:dyDescent="0.2">
      <c r="A78" s="575" t="s">
        <v>1014</v>
      </c>
      <c r="B78" s="574">
        <v>2652</v>
      </c>
      <c r="C78" s="574">
        <v>407</v>
      </c>
      <c r="D78" s="577">
        <f t="shared" si="16"/>
        <v>0</v>
      </c>
      <c r="E78" s="577"/>
      <c r="F78" s="577"/>
      <c r="G78" s="577"/>
      <c r="H78" s="577"/>
      <c r="I78" s="577"/>
      <c r="J78" s="577"/>
      <c r="K78" s="577"/>
      <c r="L78" s="577"/>
      <c r="M78" s="577"/>
      <c r="N78" s="568"/>
      <c r="O78" s="606"/>
      <c r="P78" s="568"/>
      <c r="Q78" s="606"/>
      <c r="R78" s="568"/>
      <c r="S78" s="568"/>
    </row>
    <row r="79" spans="1:19" s="589" customFormat="1" ht="30.75" customHeight="1" x14ac:dyDescent="0.2">
      <c r="A79" s="585" t="s">
        <v>1015</v>
      </c>
      <c r="B79" s="594">
        <v>3000</v>
      </c>
      <c r="C79" s="594">
        <v>100</v>
      </c>
      <c r="D79" s="596">
        <f t="shared" si="16"/>
        <v>0</v>
      </c>
      <c r="E79" s="596">
        <f>E80+E81+E82</f>
        <v>0</v>
      </c>
      <c r="F79" s="596">
        <f t="shared" ref="F79:M79" si="17">F80+F81+F82</f>
        <v>0</v>
      </c>
      <c r="G79" s="596">
        <f t="shared" si="17"/>
        <v>0</v>
      </c>
      <c r="H79" s="596">
        <f t="shared" si="17"/>
        <v>0</v>
      </c>
      <c r="I79" s="596">
        <f t="shared" si="17"/>
        <v>0</v>
      </c>
      <c r="J79" s="596">
        <f t="shared" si="17"/>
        <v>0</v>
      </c>
      <c r="K79" s="596">
        <f t="shared" si="17"/>
        <v>0</v>
      </c>
      <c r="L79" s="596">
        <f t="shared" si="17"/>
        <v>0</v>
      </c>
      <c r="M79" s="596">
        <f t="shared" si="17"/>
        <v>0</v>
      </c>
      <c r="N79" s="588"/>
      <c r="O79" s="597"/>
      <c r="P79" s="588"/>
      <c r="Q79" s="597"/>
      <c r="R79" s="588"/>
      <c r="S79" s="588"/>
    </row>
    <row r="80" spans="1:19" ht="44.25" customHeight="1" x14ac:dyDescent="0.2">
      <c r="A80" s="575" t="s">
        <v>1016</v>
      </c>
      <c r="B80" s="574">
        <v>3010</v>
      </c>
      <c r="C80" s="574"/>
      <c r="D80" s="577">
        <f t="shared" si="16"/>
        <v>0</v>
      </c>
      <c r="E80" s="577"/>
      <c r="F80" s="577"/>
      <c r="G80" s="577"/>
      <c r="H80" s="577"/>
      <c r="I80" s="577"/>
      <c r="J80" s="577"/>
      <c r="K80" s="577"/>
      <c r="L80" s="577"/>
      <c r="M80" s="577"/>
      <c r="N80" s="568"/>
      <c r="O80" s="606"/>
      <c r="P80" s="568"/>
      <c r="Q80" s="606"/>
      <c r="R80" s="568"/>
      <c r="S80" s="568"/>
    </row>
    <row r="81" spans="1:19" ht="43.5" customHeight="1" x14ac:dyDescent="0.2">
      <c r="A81" s="575" t="s">
        <v>1017</v>
      </c>
      <c r="B81" s="574">
        <v>3020</v>
      </c>
      <c r="C81" s="574"/>
      <c r="D81" s="577">
        <f t="shared" si="16"/>
        <v>0</v>
      </c>
      <c r="E81" s="577"/>
      <c r="F81" s="577"/>
      <c r="G81" s="577"/>
      <c r="H81" s="577"/>
      <c r="I81" s="577"/>
      <c r="J81" s="577"/>
      <c r="K81" s="577"/>
      <c r="L81" s="577"/>
      <c r="M81" s="577"/>
      <c r="N81" s="568"/>
      <c r="O81" s="606"/>
      <c r="P81" s="568"/>
      <c r="Q81" s="606"/>
      <c r="R81" s="568"/>
      <c r="S81" s="568"/>
    </row>
    <row r="82" spans="1:19" ht="15.75" customHeight="1" x14ac:dyDescent="0.2">
      <c r="A82" s="575" t="s">
        <v>1018</v>
      </c>
      <c r="B82" s="574">
        <v>3030</v>
      </c>
      <c r="C82" s="574"/>
      <c r="D82" s="577">
        <f t="shared" si="16"/>
        <v>0</v>
      </c>
      <c r="E82" s="577"/>
      <c r="F82" s="577"/>
      <c r="G82" s="577"/>
      <c r="H82" s="577"/>
      <c r="I82" s="577"/>
      <c r="J82" s="577"/>
      <c r="K82" s="577"/>
      <c r="L82" s="577"/>
      <c r="M82" s="577"/>
      <c r="N82" s="568"/>
      <c r="O82" s="606"/>
      <c r="P82" s="568"/>
      <c r="Q82" s="606"/>
      <c r="R82" s="568"/>
      <c r="S82" s="568"/>
    </row>
    <row r="83" spans="1:19" s="589" customFormat="1" ht="15.75" customHeight="1" x14ac:dyDescent="0.2">
      <c r="A83" s="585" t="s">
        <v>1019</v>
      </c>
      <c r="B83" s="594">
        <v>4000</v>
      </c>
      <c r="C83" s="594" t="s">
        <v>859</v>
      </c>
      <c r="D83" s="596">
        <f t="shared" si="16"/>
        <v>0</v>
      </c>
      <c r="E83" s="596">
        <f>E84</f>
        <v>0</v>
      </c>
      <c r="F83" s="596">
        <f t="shared" ref="F83:M83" si="18">F84</f>
        <v>0</v>
      </c>
      <c r="G83" s="596">
        <f t="shared" si="18"/>
        <v>0</v>
      </c>
      <c r="H83" s="596">
        <f t="shared" si="18"/>
        <v>0</v>
      </c>
      <c r="I83" s="596">
        <f t="shared" si="18"/>
        <v>0</v>
      </c>
      <c r="J83" s="596">
        <f t="shared" si="18"/>
        <v>0</v>
      </c>
      <c r="K83" s="596">
        <f t="shared" si="18"/>
        <v>0</v>
      </c>
      <c r="L83" s="596">
        <f t="shared" si="18"/>
        <v>0</v>
      </c>
      <c r="M83" s="596">
        <f t="shared" si="18"/>
        <v>0</v>
      </c>
      <c r="N83" s="588"/>
      <c r="O83" s="597"/>
      <c r="P83" s="588"/>
      <c r="Q83" s="597"/>
      <c r="R83" s="588"/>
      <c r="S83" s="588"/>
    </row>
    <row r="84" spans="1:19" ht="32.25" customHeight="1" x14ac:dyDescent="0.2">
      <c r="A84" s="575" t="s">
        <v>1020</v>
      </c>
      <c r="B84" s="574">
        <v>4010</v>
      </c>
      <c r="C84" s="574">
        <v>610</v>
      </c>
      <c r="D84" s="577">
        <f t="shared" si="16"/>
        <v>0</v>
      </c>
      <c r="E84" s="577"/>
      <c r="F84" s="577"/>
      <c r="G84" s="577"/>
      <c r="H84" s="577"/>
      <c r="I84" s="577"/>
      <c r="J84" s="577"/>
      <c r="K84" s="577"/>
      <c r="L84" s="577"/>
      <c r="M84" s="577"/>
      <c r="N84" s="568"/>
      <c r="O84" s="606"/>
      <c r="P84" s="568"/>
      <c r="Q84" s="606"/>
      <c r="R84" s="568"/>
      <c r="S84" s="568"/>
    </row>
    <row r="85" spans="1:19" ht="15.75" customHeight="1" x14ac:dyDescent="0.2">
      <c r="A85" s="575"/>
      <c r="B85" s="574"/>
      <c r="C85" s="574"/>
      <c r="D85" s="577">
        <f t="shared" si="16"/>
        <v>0</v>
      </c>
      <c r="E85" s="577"/>
      <c r="F85" s="577"/>
      <c r="G85" s="577"/>
      <c r="H85" s="577"/>
      <c r="I85" s="577"/>
      <c r="J85" s="577"/>
      <c r="K85" s="577"/>
      <c r="L85" s="577"/>
      <c r="M85" s="577"/>
      <c r="N85" s="568"/>
      <c r="O85" s="606"/>
      <c r="P85" s="568"/>
      <c r="Q85" s="606"/>
      <c r="R85" s="568"/>
      <c r="S85" s="568"/>
    </row>
    <row r="86" spans="1:19" s="592" customFormat="1" ht="22.5" customHeight="1" x14ac:dyDescent="0.2">
      <c r="D86" s="2286"/>
      <c r="E86" s="2286"/>
      <c r="F86" s="2286"/>
      <c r="G86" s="2286"/>
      <c r="H86" s="2286"/>
      <c r="I86" s="2286"/>
      <c r="J86" s="2286"/>
      <c r="K86" s="2286"/>
      <c r="L86" s="2286"/>
      <c r="M86" s="2286"/>
      <c r="N86" s="619"/>
      <c r="O86" s="619"/>
      <c r="P86" s="619"/>
      <c r="Q86" s="619"/>
      <c r="R86" s="591"/>
      <c r="S86" s="591"/>
    </row>
    <row r="87" spans="1:19" x14ac:dyDescent="0.2">
      <c r="D87" s="2291"/>
      <c r="E87" s="2291"/>
      <c r="F87" s="2291"/>
      <c r="G87" s="2291"/>
      <c r="H87" s="2291"/>
      <c r="I87" s="2291"/>
      <c r="J87" s="2291"/>
      <c r="K87" s="2291"/>
      <c r="L87" s="2291"/>
      <c r="M87" s="2291"/>
    </row>
    <row r="88" spans="1:19" x14ac:dyDescent="0.2">
      <c r="D88" s="2272"/>
      <c r="E88" s="2272"/>
      <c r="F88" s="2272"/>
      <c r="G88" s="2272"/>
      <c r="H88" s="2272"/>
      <c r="I88" s="2272"/>
      <c r="J88" s="2272"/>
      <c r="K88" s="2272"/>
      <c r="L88" s="2272"/>
      <c r="M88" s="2272"/>
    </row>
    <row r="89" spans="1:19" x14ac:dyDescent="0.2">
      <c r="D89" s="2267"/>
      <c r="E89" s="2267"/>
      <c r="F89" s="2267"/>
      <c r="G89" s="2267"/>
      <c r="H89" s="2267"/>
      <c r="I89" s="2267"/>
      <c r="J89" s="2267"/>
      <c r="K89" s="2267"/>
      <c r="L89" s="2267"/>
      <c r="M89" s="2267"/>
    </row>
    <row r="90" spans="1:19" x14ac:dyDescent="0.2">
      <c r="A90" s="566" t="s">
        <v>1730</v>
      </c>
      <c r="B90" s="2272" t="s">
        <v>166</v>
      </c>
      <c r="C90" s="2272"/>
      <c r="D90" s="2272"/>
    </row>
    <row r="91" spans="1:19" x14ac:dyDescent="0.2">
      <c r="D91" s="2267"/>
      <c r="E91" s="2267"/>
      <c r="F91" s="2267"/>
      <c r="G91" s="2267"/>
      <c r="H91" s="2267"/>
      <c r="I91" s="2267"/>
      <c r="J91" s="2267"/>
      <c r="K91" s="2267"/>
      <c r="L91" s="2267"/>
      <c r="M91" s="2267"/>
    </row>
    <row r="92" spans="1:19" ht="42" customHeight="1" x14ac:dyDescent="0.2">
      <c r="B92" s="2272"/>
      <c r="C92" s="2272"/>
      <c r="D92" s="2287"/>
      <c r="E92" s="2287"/>
      <c r="F92" s="2287"/>
      <c r="G92" s="2287"/>
      <c r="H92" s="2287"/>
      <c r="I92" s="2287"/>
      <c r="J92" s="2287"/>
      <c r="K92" s="2287"/>
      <c r="L92" s="2287"/>
      <c r="M92" s="2287"/>
    </row>
    <row r="93" spans="1:19" x14ac:dyDescent="0.2">
      <c r="D93" s="2267"/>
      <c r="E93" s="2267"/>
      <c r="F93" s="2267"/>
      <c r="G93" s="2267"/>
      <c r="H93" s="2267"/>
      <c r="I93" s="2267"/>
      <c r="J93" s="2267"/>
      <c r="K93" s="2267"/>
      <c r="L93" s="2267"/>
      <c r="M93" s="2267"/>
    </row>
    <row r="94" spans="1:19" ht="33" customHeight="1" x14ac:dyDescent="0.2">
      <c r="D94" s="2287"/>
      <c r="E94" s="2287"/>
      <c r="F94" s="2287"/>
      <c r="G94" s="2287"/>
      <c r="H94" s="2287"/>
      <c r="I94" s="2287"/>
      <c r="J94" s="2287"/>
      <c r="K94" s="2287"/>
      <c r="L94" s="2287"/>
      <c r="M94" s="2287"/>
    </row>
    <row r="95" spans="1:19" ht="30.75" customHeight="1" x14ac:dyDescent="0.2">
      <c r="D95" s="2287"/>
      <c r="E95" s="2287"/>
      <c r="F95" s="2287"/>
      <c r="G95" s="2287"/>
      <c r="H95" s="2287"/>
      <c r="I95" s="2287"/>
      <c r="J95" s="2287"/>
      <c r="K95" s="2287"/>
      <c r="L95" s="2287"/>
      <c r="M95" s="2287"/>
    </row>
    <row r="96" spans="1:19" x14ac:dyDescent="0.2">
      <c r="D96" s="2267"/>
      <c r="E96" s="2267"/>
      <c r="F96" s="2267"/>
      <c r="G96" s="2267"/>
      <c r="H96" s="2267"/>
      <c r="I96" s="2267"/>
      <c r="J96" s="2267"/>
      <c r="K96" s="2267"/>
      <c r="L96" s="2267"/>
      <c r="M96" s="2267"/>
    </row>
    <row r="97" spans="1:13" x14ac:dyDescent="0.2">
      <c r="D97" s="2267"/>
      <c r="E97" s="2267"/>
      <c r="F97" s="2267"/>
      <c r="G97" s="2267"/>
      <c r="H97" s="2267"/>
      <c r="I97" s="2267"/>
      <c r="J97" s="2267"/>
      <c r="K97" s="2267"/>
      <c r="L97" s="2267"/>
      <c r="M97" s="2267"/>
    </row>
    <row r="98" spans="1:13" ht="33.75" customHeight="1" x14ac:dyDescent="0.2">
      <c r="D98" s="2287"/>
      <c r="E98" s="2287"/>
      <c r="F98" s="2287"/>
      <c r="G98" s="2287"/>
      <c r="H98" s="2287"/>
      <c r="I98" s="2287"/>
      <c r="J98" s="2287"/>
      <c r="K98" s="2287"/>
      <c r="L98" s="2287"/>
      <c r="M98" s="2287"/>
    </row>
    <row r="99" spans="1:13" x14ac:dyDescent="0.2">
      <c r="A99" s="2286" t="s">
        <v>1021</v>
      </c>
      <c r="B99" s="2286"/>
      <c r="C99" s="2286"/>
    </row>
    <row r="100" spans="1:13" x14ac:dyDescent="0.2">
      <c r="A100" s="2272" t="s">
        <v>1022</v>
      </c>
      <c r="B100" s="2272"/>
      <c r="C100" s="2272"/>
    </row>
    <row r="101" spans="1:13" x14ac:dyDescent="0.2">
      <c r="A101" s="2272" t="s">
        <v>1023</v>
      </c>
      <c r="B101" s="2272"/>
      <c r="C101" s="2272"/>
    </row>
    <row r="102" spans="1:13" x14ac:dyDescent="0.2">
      <c r="A102" s="2272" t="s">
        <v>1024</v>
      </c>
      <c r="B102" s="2272"/>
      <c r="C102" s="2272"/>
    </row>
    <row r="103" spans="1:13" x14ac:dyDescent="0.2">
      <c r="A103" s="2272" t="s">
        <v>1025</v>
      </c>
      <c r="B103" s="2272"/>
      <c r="C103" s="2272"/>
    </row>
    <row r="104" spans="1:13" x14ac:dyDescent="0.2">
      <c r="A104" s="2272" t="s">
        <v>1026</v>
      </c>
      <c r="B104" s="2272"/>
      <c r="C104" s="2272"/>
    </row>
    <row r="105" spans="1:13" x14ac:dyDescent="0.2">
      <c r="A105" s="2285" t="s">
        <v>1027</v>
      </c>
      <c r="B105" s="2285"/>
      <c r="C105" s="2285"/>
    </row>
    <row r="106" spans="1:13" x14ac:dyDescent="0.2">
      <c r="A106" s="2272" t="s">
        <v>1028</v>
      </c>
      <c r="B106" s="2272"/>
      <c r="C106" s="2272"/>
    </row>
    <row r="107" spans="1:13" x14ac:dyDescent="0.2">
      <c r="A107" s="2285" t="s">
        <v>1029</v>
      </c>
      <c r="B107" s="2285"/>
      <c r="C107" s="2285"/>
    </row>
    <row r="108" spans="1:13" x14ac:dyDescent="0.2">
      <c r="A108" s="2285" t="s">
        <v>1030</v>
      </c>
      <c r="B108" s="2285"/>
      <c r="C108" s="2285"/>
    </row>
    <row r="109" spans="1:13" x14ac:dyDescent="0.2">
      <c r="A109" s="2272" t="s">
        <v>1031</v>
      </c>
      <c r="B109" s="2272"/>
      <c r="C109" s="2272"/>
    </row>
    <row r="110" spans="1:13" x14ac:dyDescent="0.2">
      <c r="A110" s="2272" t="s">
        <v>1032</v>
      </c>
      <c r="B110" s="2272"/>
      <c r="C110" s="2272"/>
    </row>
    <row r="111" spans="1:13" x14ac:dyDescent="0.2">
      <c r="A111" s="2285" t="s">
        <v>1033</v>
      </c>
      <c r="B111" s="2285"/>
      <c r="C111" s="2285"/>
    </row>
  </sheetData>
  <mergeCells count="39">
    <mergeCell ref="D86:M86"/>
    <mergeCell ref="D87:M87"/>
    <mergeCell ref="D88:M88"/>
    <mergeCell ref="D89:M89"/>
    <mergeCell ref="B90:D90"/>
    <mergeCell ref="K6:L6"/>
    <mergeCell ref="E3:I3"/>
    <mergeCell ref="K5:L5"/>
    <mergeCell ref="J2:M2"/>
    <mergeCell ref="D16:M16"/>
    <mergeCell ref="A15:A18"/>
    <mergeCell ref="B15:B18"/>
    <mergeCell ref="C15:C18"/>
    <mergeCell ref="D15:M15"/>
    <mergeCell ref="N29:V29"/>
    <mergeCell ref="D17:M17"/>
    <mergeCell ref="A101:C101"/>
    <mergeCell ref="D91:M91"/>
    <mergeCell ref="B92:C92"/>
    <mergeCell ref="D92:M92"/>
    <mergeCell ref="D93:M93"/>
    <mergeCell ref="D94:M94"/>
    <mergeCell ref="D95:M95"/>
    <mergeCell ref="A108:C108"/>
    <mergeCell ref="A109:C109"/>
    <mergeCell ref="A110:C110"/>
    <mergeCell ref="A111:C111"/>
    <mergeCell ref="A14:M14"/>
    <mergeCell ref="A102:C102"/>
    <mergeCell ref="A103:C103"/>
    <mergeCell ref="A104:C104"/>
    <mergeCell ref="A105:C105"/>
    <mergeCell ref="A106:C106"/>
    <mergeCell ref="A107:C107"/>
    <mergeCell ref="D96:M96"/>
    <mergeCell ref="D97:M97"/>
    <mergeCell ref="D98:M98"/>
    <mergeCell ref="A99:C99"/>
    <mergeCell ref="A100:C100"/>
  </mergeCells>
  <printOptions horizontalCentered="1"/>
  <pageMargins left="0.19685039370078741" right="0.15748031496062992" top="0.23622047244094491" bottom="0.31496062992125984" header="0.27559055118110237" footer="0"/>
  <pageSetup paperSize="9" scale="33" fitToHeight="2" orientation="landscape" r:id="rId1"/>
  <headerFooter alignWithMargins="0"/>
  <rowBreaks count="1" manualBreakCount="1">
    <brk id="56" max="12"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C000"/>
  </sheetPr>
  <dimension ref="A1:O16"/>
  <sheetViews>
    <sheetView view="pageBreakPreview" zoomScale="70" zoomScaleNormal="70" zoomScaleSheetLayoutView="70" workbookViewId="0">
      <selection activeCell="F15" sqref="F15"/>
    </sheetView>
  </sheetViews>
  <sheetFormatPr defaultRowHeight="15.75" x14ac:dyDescent="0.25"/>
  <cols>
    <col min="1" max="1" width="9.33203125" style="734"/>
    <col min="2" max="2" width="26.6640625" style="734" customWidth="1"/>
    <col min="3" max="3" width="28" style="734" customWidth="1"/>
    <col min="4" max="4" width="9.33203125" style="734"/>
    <col min="5" max="5" width="12.83203125" style="734" customWidth="1"/>
    <col min="6" max="6" width="20.1640625" style="734" customWidth="1"/>
    <col min="7" max="7" width="17" style="734" customWidth="1"/>
    <col min="8" max="8" width="37" style="734" customWidth="1"/>
    <col min="9" max="10" width="20" style="734" customWidth="1"/>
    <col min="11" max="15" width="9.33203125" style="734"/>
    <col min="16" max="16384" width="9.33203125" style="743"/>
  </cols>
  <sheetData>
    <row r="1" spans="1:10" s="734" customFormat="1" x14ac:dyDescent="0.25">
      <c r="H1" s="734" t="s">
        <v>810</v>
      </c>
    </row>
    <row r="2" spans="1:10" s="734" customFormat="1" x14ac:dyDescent="0.25"/>
    <row r="3" spans="1:10" s="734" customFormat="1" ht="40.5" customHeight="1" x14ac:dyDescent="0.25">
      <c r="A3" s="2769" t="s">
        <v>1243</v>
      </c>
      <c r="B3" s="2769"/>
      <c r="C3" s="2769"/>
      <c r="D3" s="2769"/>
      <c r="E3" s="2769"/>
      <c r="F3" s="2769"/>
      <c r="G3" s="2769"/>
      <c r="H3" s="2769"/>
      <c r="I3" s="2769"/>
      <c r="J3" s="2769"/>
    </row>
    <row r="4" spans="1:10" s="734" customFormat="1" x14ac:dyDescent="0.25">
      <c r="A4" s="2770" t="s">
        <v>113</v>
      </c>
      <c r="B4" s="2770"/>
      <c r="C4" s="2770"/>
      <c r="D4" s="2770"/>
      <c r="E4" s="2770"/>
      <c r="F4" s="2770"/>
      <c r="G4" s="2770"/>
      <c r="H4" s="2770"/>
      <c r="I4" s="2770"/>
      <c r="J4" s="2770"/>
    </row>
    <row r="5" spans="1:10" s="734" customFormat="1" x14ac:dyDescent="0.25">
      <c r="A5" s="744"/>
      <c r="B5" s="747"/>
      <c r="C5" s="747"/>
      <c r="D5" s="747"/>
      <c r="E5" s="747"/>
      <c r="F5" s="747"/>
      <c r="G5" s="747"/>
      <c r="J5" s="748">
        <v>43829</v>
      </c>
    </row>
    <row r="6" spans="1:10" s="734" customFormat="1" x14ac:dyDescent="0.25">
      <c r="A6" s="2773" t="s">
        <v>78</v>
      </c>
      <c r="B6" s="2775" t="s">
        <v>743</v>
      </c>
      <c r="C6" s="2775" t="s">
        <v>1244</v>
      </c>
      <c r="D6" s="2775" t="s">
        <v>249</v>
      </c>
      <c r="E6" s="2766" t="s">
        <v>232</v>
      </c>
      <c r="F6" s="2767"/>
      <c r="G6" s="2768"/>
      <c r="H6" s="749"/>
      <c r="I6" s="2771">
        <v>2021</v>
      </c>
      <c r="J6" s="2771">
        <v>2022</v>
      </c>
    </row>
    <row r="7" spans="1:10" s="734" customFormat="1" ht="36.75" customHeight="1" x14ac:dyDescent="0.25">
      <c r="A7" s="2774"/>
      <c r="B7" s="2776"/>
      <c r="C7" s="2776"/>
      <c r="D7" s="2776"/>
      <c r="E7" s="735" t="s">
        <v>358</v>
      </c>
      <c r="F7" s="735" t="s">
        <v>1245</v>
      </c>
      <c r="G7" s="735" t="s">
        <v>1246</v>
      </c>
      <c r="H7" s="735" t="s">
        <v>1247</v>
      </c>
      <c r="I7" s="2772"/>
      <c r="J7" s="2772"/>
    </row>
    <row r="8" spans="1:10" s="734" customFormat="1" x14ac:dyDescent="0.25">
      <c r="A8" s="736">
        <v>1</v>
      </c>
      <c r="B8" s="736">
        <v>2</v>
      </c>
      <c r="C8" s="736">
        <v>3</v>
      </c>
      <c r="D8" s="736">
        <v>4</v>
      </c>
      <c r="E8" s="736">
        <v>5</v>
      </c>
      <c r="F8" s="736">
        <v>6</v>
      </c>
      <c r="G8" s="736">
        <v>7</v>
      </c>
      <c r="H8" s="736">
        <v>8</v>
      </c>
      <c r="I8" s="745"/>
      <c r="J8" s="745"/>
    </row>
    <row r="9" spans="1:10" s="741" customFormat="1" ht="126" x14ac:dyDescent="0.25">
      <c r="A9" s="737">
        <v>1</v>
      </c>
      <c r="B9" s="738" t="s">
        <v>1248</v>
      </c>
      <c r="C9" s="739" t="s">
        <v>1249</v>
      </c>
      <c r="D9" s="737" t="s">
        <v>257</v>
      </c>
      <c r="E9" s="737">
        <v>400</v>
      </c>
      <c r="F9" s="737" t="s">
        <v>1250</v>
      </c>
      <c r="G9" s="740">
        <v>750</v>
      </c>
      <c r="H9" s="737"/>
      <c r="I9" s="746">
        <v>0</v>
      </c>
      <c r="J9" s="746">
        <v>0</v>
      </c>
    </row>
    <row r="10" spans="1:10" s="734" customFormat="1" x14ac:dyDescent="0.25">
      <c r="G10" s="742"/>
    </row>
    <row r="11" spans="1:10" s="734" customFormat="1" x14ac:dyDescent="0.25">
      <c r="G11" s="742"/>
    </row>
    <row r="12" spans="1:10" s="734" customFormat="1" x14ac:dyDescent="0.25">
      <c r="A12" s="734" t="s">
        <v>1251</v>
      </c>
      <c r="G12" s="742"/>
    </row>
    <row r="13" spans="1:10" s="734" customFormat="1" x14ac:dyDescent="0.25">
      <c r="A13" s="734" t="s">
        <v>1252</v>
      </c>
      <c r="G13" s="742"/>
      <c r="H13" s="734" t="s">
        <v>491</v>
      </c>
    </row>
    <row r="14" spans="1:10" s="734" customFormat="1" x14ac:dyDescent="0.25">
      <c r="G14" s="742"/>
    </row>
    <row r="15" spans="1:10" s="734" customFormat="1" x14ac:dyDescent="0.25">
      <c r="G15" s="742"/>
    </row>
    <row r="16" spans="1:10" s="734" customFormat="1" x14ac:dyDescent="0.25">
      <c r="G16" s="742"/>
    </row>
  </sheetData>
  <autoFilter ref="A8:O9" xr:uid="{00000000-0009-0000-0000-00003B000000}"/>
  <mergeCells count="9">
    <mergeCell ref="E6:G6"/>
    <mergeCell ref="A3:J3"/>
    <mergeCell ref="A4:J4"/>
    <mergeCell ref="I6:I7"/>
    <mergeCell ref="J6:J7"/>
    <mergeCell ref="A6:A7"/>
    <mergeCell ref="B6:B7"/>
    <mergeCell ref="C6:C7"/>
    <mergeCell ref="D6:D7"/>
  </mergeCells>
  <pageMargins left="0.25" right="0.25" top="0.75" bottom="0.75" header="0.3" footer="0.3"/>
  <pageSetup paperSize="9" scale="79"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00FFFF"/>
  </sheetPr>
  <dimension ref="A1:E14"/>
  <sheetViews>
    <sheetView view="pageBreakPreview" zoomScale="80" zoomScaleNormal="100" zoomScaleSheetLayoutView="80" workbookViewId="0">
      <selection activeCell="O9" sqref="O9"/>
    </sheetView>
  </sheetViews>
  <sheetFormatPr defaultRowHeight="39.75" customHeight="1" x14ac:dyDescent="0.25"/>
  <cols>
    <col min="1" max="1" width="47.33203125" style="313" customWidth="1"/>
    <col min="2" max="2" width="10" style="313" customWidth="1"/>
    <col min="3" max="5" width="25.83203125" style="313" customWidth="1"/>
    <col min="6" max="16384" width="9.33203125" style="313"/>
  </cols>
  <sheetData>
    <row r="1" spans="1:5" ht="39.75" customHeight="1" x14ac:dyDescent="0.25">
      <c r="A1" s="2584" t="s">
        <v>457</v>
      </c>
      <c r="B1" s="2584"/>
      <c r="C1" s="2584"/>
      <c r="D1" s="2584"/>
      <c r="E1" s="2584"/>
    </row>
    <row r="2" spans="1:5" ht="24" customHeight="1" x14ac:dyDescent="0.25">
      <c r="A2" s="2584" t="s">
        <v>1253</v>
      </c>
      <c r="B2" s="2584"/>
      <c r="C2" s="2584"/>
      <c r="D2" s="2584"/>
      <c r="E2" s="2584"/>
    </row>
    <row r="3" spans="1:5" ht="13.5" customHeight="1" x14ac:dyDescent="0.25">
      <c r="A3" s="314"/>
      <c r="B3" s="314"/>
      <c r="C3" s="314"/>
      <c r="D3" s="314"/>
      <c r="E3" s="320">
        <v>43829</v>
      </c>
    </row>
    <row r="4" spans="1:5" ht="39.75" customHeight="1" x14ac:dyDescent="0.25">
      <c r="A4" s="2777" t="s">
        <v>416</v>
      </c>
      <c r="B4" s="2777" t="s">
        <v>417</v>
      </c>
      <c r="C4" s="2777" t="s">
        <v>418</v>
      </c>
      <c r="D4" s="2777"/>
      <c r="E4" s="2777"/>
    </row>
    <row r="5" spans="1:5" ht="39.75" customHeight="1" x14ac:dyDescent="0.25">
      <c r="A5" s="2777"/>
      <c r="B5" s="2777"/>
      <c r="C5" s="315" t="s">
        <v>428</v>
      </c>
      <c r="D5" s="315" t="s">
        <v>429</v>
      </c>
      <c r="E5" s="315" t="s">
        <v>430</v>
      </c>
    </row>
    <row r="6" spans="1:5" ht="39.75" customHeight="1" x14ac:dyDescent="0.25">
      <c r="A6" s="2777"/>
      <c r="B6" s="2777"/>
      <c r="C6" s="315" t="s">
        <v>419</v>
      </c>
      <c r="D6" s="315" t="s">
        <v>420</v>
      </c>
      <c r="E6" s="315" t="s">
        <v>421</v>
      </c>
    </row>
    <row r="7" spans="1:5" ht="16.5" customHeight="1" x14ac:dyDescent="0.25">
      <c r="A7" s="315">
        <v>1</v>
      </c>
      <c r="B7" s="315">
        <v>2</v>
      </c>
      <c r="C7" s="315">
        <v>3</v>
      </c>
      <c r="D7" s="315">
        <v>4</v>
      </c>
      <c r="E7" s="315">
        <v>5</v>
      </c>
    </row>
    <row r="8" spans="1:5" ht="46.5" customHeight="1" x14ac:dyDescent="0.25">
      <c r="A8" s="316" t="s">
        <v>422</v>
      </c>
      <c r="B8" s="315">
        <v>100</v>
      </c>
      <c r="C8" s="321"/>
      <c r="D8" s="321"/>
      <c r="E8" s="321"/>
    </row>
    <row r="9" spans="1:5" ht="44.25" customHeight="1" x14ac:dyDescent="0.25">
      <c r="A9" s="316" t="s">
        <v>423</v>
      </c>
      <c r="B9" s="315">
        <v>200</v>
      </c>
      <c r="C9" s="321"/>
      <c r="D9" s="321"/>
      <c r="E9" s="321"/>
    </row>
    <row r="10" spans="1:5" ht="26.25" customHeight="1" x14ac:dyDescent="0.25">
      <c r="A10" s="316" t="s">
        <v>424</v>
      </c>
      <c r="B10" s="315">
        <v>300</v>
      </c>
      <c r="C10" s="321"/>
      <c r="D10" s="321"/>
      <c r="E10" s="321"/>
    </row>
    <row r="11" spans="1:5" ht="46.5" customHeight="1" x14ac:dyDescent="0.25">
      <c r="A11" s="316" t="s">
        <v>425</v>
      </c>
      <c r="B11" s="315">
        <v>400</v>
      </c>
      <c r="C11" s="321"/>
      <c r="D11" s="321"/>
      <c r="E11" s="321"/>
    </row>
    <row r="12" spans="1:5" ht="49.5" customHeight="1" x14ac:dyDescent="0.25">
      <c r="A12" s="316" t="s">
        <v>426</v>
      </c>
      <c r="B12" s="315">
        <v>500</v>
      </c>
      <c r="C12" s="321"/>
      <c r="D12" s="321"/>
      <c r="E12" s="321"/>
    </row>
    <row r="13" spans="1:5" s="319" customFormat="1" ht="39.75" customHeight="1" x14ac:dyDescent="0.25">
      <c r="A13" s="317" t="s">
        <v>427</v>
      </c>
      <c r="B13" s="318">
        <v>600</v>
      </c>
      <c r="C13" s="322">
        <f>C8-C9+C10-C11+C12</f>
        <v>0</v>
      </c>
      <c r="D13" s="322">
        <f t="shared" ref="D13:E13" si="0">D8-D9+D10-D11+D12</f>
        <v>0</v>
      </c>
      <c r="E13" s="322">
        <f t="shared" si="0"/>
        <v>0</v>
      </c>
    </row>
    <row r="14" spans="1:5" ht="39.75" customHeight="1" x14ac:dyDescent="0.25">
      <c r="C14" s="531">
        <f>C13+'внебКВР 119 (01.01.20)+'!C13+'внеб КВР 112 (01.01.20)'!C21+'внеб КВР 113(01.01.20)'!C14+'внеб КВР 244'!C30+'КВР 850'!C18</f>
        <v>2798431.1</v>
      </c>
    </row>
  </sheetData>
  <mergeCells count="5">
    <mergeCell ref="A1:E1"/>
    <mergeCell ref="A4:A6"/>
    <mergeCell ref="B4:B6"/>
    <mergeCell ref="C4:E4"/>
    <mergeCell ref="A2:E2"/>
  </mergeCells>
  <pageMargins left="0.7" right="0.7" top="0.75" bottom="0.75" header="0.3" footer="0.3"/>
  <pageSetup paperSize="9" scale="7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00FFFF"/>
  </sheetPr>
  <dimension ref="A1:E13"/>
  <sheetViews>
    <sheetView view="pageBreakPreview" zoomScaleNormal="100" zoomScaleSheetLayoutView="100" workbookViewId="0">
      <selection activeCell="E11" sqref="E11"/>
    </sheetView>
  </sheetViews>
  <sheetFormatPr defaultRowHeight="15" x14ac:dyDescent="0.25"/>
  <cols>
    <col min="1" max="1" width="52.33203125" style="313" customWidth="1"/>
    <col min="2" max="2" width="9.6640625" style="313" customWidth="1"/>
    <col min="3" max="5" width="24.33203125" style="313" customWidth="1"/>
    <col min="6" max="16384" width="9.33203125" style="313"/>
  </cols>
  <sheetData>
    <row r="1" spans="1:5" ht="58.5" customHeight="1" x14ac:dyDescent="0.25">
      <c r="A1" s="2584" t="s">
        <v>1679</v>
      </c>
      <c r="B1" s="2584"/>
      <c r="C1" s="2584"/>
      <c r="D1" s="2584"/>
      <c r="E1" s="2584"/>
    </row>
    <row r="2" spans="1:5" ht="13.5" customHeight="1" x14ac:dyDescent="0.25">
      <c r="A2" s="314"/>
      <c r="B2" s="314"/>
      <c r="C2" s="314"/>
      <c r="D2" s="314"/>
      <c r="E2" s="320">
        <v>43829</v>
      </c>
    </row>
    <row r="3" spans="1:5" ht="38.25" customHeight="1" x14ac:dyDescent="0.25">
      <c r="A3" s="2778" t="s">
        <v>1253</v>
      </c>
      <c r="B3" s="2778"/>
      <c r="C3" s="2778"/>
      <c r="D3" s="2778"/>
      <c r="E3" s="2778"/>
    </row>
    <row r="4" spans="1:5" x14ac:dyDescent="0.25">
      <c r="A4" s="2777" t="s">
        <v>416</v>
      </c>
      <c r="B4" s="2777" t="s">
        <v>417</v>
      </c>
      <c r="C4" s="2777" t="s">
        <v>418</v>
      </c>
      <c r="D4" s="2777"/>
      <c r="E4" s="2777"/>
    </row>
    <row r="5" spans="1:5" x14ac:dyDescent="0.25">
      <c r="A5" s="2777"/>
      <c r="B5" s="2777"/>
      <c r="C5" s="315" t="s">
        <v>428</v>
      </c>
      <c r="D5" s="315" t="s">
        <v>429</v>
      </c>
      <c r="E5" s="315" t="s">
        <v>430</v>
      </c>
    </row>
    <row r="6" spans="1:5" ht="28.5" customHeight="1" x14ac:dyDescent="0.25">
      <c r="A6" s="2777"/>
      <c r="B6" s="2777"/>
      <c r="C6" s="315" t="s">
        <v>419</v>
      </c>
      <c r="D6" s="315" t="s">
        <v>420</v>
      </c>
      <c r="E6" s="315" t="s">
        <v>421</v>
      </c>
    </row>
    <row r="7" spans="1:5" x14ac:dyDescent="0.25">
      <c r="A7" s="315">
        <v>1</v>
      </c>
      <c r="B7" s="315">
        <v>2</v>
      </c>
      <c r="C7" s="315">
        <v>3</v>
      </c>
      <c r="D7" s="315">
        <v>4</v>
      </c>
      <c r="E7" s="315">
        <v>5</v>
      </c>
    </row>
    <row r="8" spans="1:5" ht="30" customHeight="1" x14ac:dyDescent="0.25">
      <c r="A8" s="316" t="s">
        <v>431</v>
      </c>
      <c r="B8" s="315">
        <v>100</v>
      </c>
      <c r="C8" s="321"/>
      <c r="D8" s="321"/>
      <c r="E8" s="321"/>
    </row>
    <row r="9" spans="1:5" ht="42" customHeight="1" x14ac:dyDescent="0.25">
      <c r="A9" s="316" t="s">
        <v>432</v>
      </c>
      <c r="B9" s="315">
        <v>200</v>
      </c>
      <c r="C9" s="321"/>
      <c r="D9" s="321"/>
      <c r="E9" s="321"/>
    </row>
    <row r="10" spans="1:5" ht="28.5" customHeight="1" x14ac:dyDescent="0.25">
      <c r="A10" s="316" t="s">
        <v>433</v>
      </c>
      <c r="B10" s="315">
        <v>300</v>
      </c>
      <c r="C10" s="321"/>
      <c r="D10" s="321"/>
      <c r="E10" s="321"/>
    </row>
    <row r="11" spans="1:5" ht="33" customHeight="1" x14ac:dyDescent="0.25">
      <c r="A11" s="316" t="s">
        <v>434</v>
      </c>
      <c r="B11" s="315">
        <v>400</v>
      </c>
      <c r="C11" s="321"/>
      <c r="D11" s="321"/>
      <c r="E11" s="321"/>
    </row>
    <row r="12" spans="1:5" ht="42.75" customHeight="1" x14ac:dyDescent="0.25">
      <c r="A12" s="316" t="s">
        <v>435</v>
      </c>
      <c r="B12" s="315">
        <v>500</v>
      </c>
      <c r="C12" s="321"/>
      <c r="D12" s="321"/>
      <c r="E12" s="321"/>
    </row>
    <row r="13" spans="1:5" s="319" customFormat="1" ht="44.25" customHeight="1" x14ac:dyDescent="0.25">
      <c r="A13" s="317" t="s">
        <v>436</v>
      </c>
      <c r="B13" s="318">
        <v>600</v>
      </c>
      <c r="C13" s="322">
        <f>C8-C9+C10-C11+C12</f>
        <v>0</v>
      </c>
      <c r="D13" s="322">
        <f t="shared" ref="D13:E13" si="0">D8-D9+D10-D11+D12</f>
        <v>0</v>
      </c>
      <c r="E13" s="322">
        <f t="shared" si="0"/>
        <v>0</v>
      </c>
    </row>
  </sheetData>
  <mergeCells count="5">
    <mergeCell ref="A1:E1"/>
    <mergeCell ref="A4:A6"/>
    <mergeCell ref="B4:B6"/>
    <mergeCell ref="C4:E4"/>
    <mergeCell ref="A3:E3"/>
  </mergeCells>
  <pageMargins left="0.7" right="0.7" top="0.75" bottom="0.75" header="0.3" footer="0.3"/>
  <pageSetup paperSize="9" scale="67"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00FFFF"/>
  </sheetPr>
  <dimension ref="A1:F21"/>
  <sheetViews>
    <sheetView view="pageBreakPreview" zoomScale="80" zoomScaleNormal="100" zoomScaleSheetLayoutView="80" workbookViewId="0">
      <selection activeCell="G5" sqref="G5"/>
    </sheetView>
  </sheetViews>
  <sheetFormatPr defaultRowHeight="39.75" customHeight="1" x14ac:dyDescent="0.25"/>
  <cols>
    <col min="1" max="1" width="81.33203125" style="365" customWidth="1"/>
    <col min="2" max="2" width="10" style="365" customWidth="1"/>
    <col min="3" max="5" width="25.83203125" style="365" customWidth="1"/>
    <col min="6" max="16384" width="9.33203125" style="365"/>
  </cols>
  <sheetData>
    <row r="1" spans="1:6" ht="39.75" customHeight="1" x14ac:dyDescent="0.25">
      <c r="A1" s="2509" t="s">
        <v>933</v>
      </c>
      <c r="B1" s="2509"/>
      <c r="C1" s="2509"/>
      <c r="D1" s="2509"/>
      <c r="E1" s="2509"/>
    </row>
    <row r="2" spans="1:6" ht="39.75" customHeight="1" x14ac:dyDescent="0.25">
      <c r="A2" s="2509" t="s">
        <v>1253</v>
      </c>
      <c r="B2" s="2509"/>
      <c r="C2" s="2509"/>
      <c r="D2" s="2509"/>
      <c r="E2" s="2509"/>
    </row>
    <row r="3" spans="1:6" ht="13.5" customHeight="1" x14ac:dyDescent="0.25">
      <c r="A3" s="377"/>
      <c r="B3" s="377"/>
      <c r="C3" s="377"/>
      <c r="D3" s="377"/>
      <c r="E3" s="367">
        <v>43829</v>
      </c>
    </row>
    <row r="4" spans="1:6" ht="39.75" customHeight="1" x14ac:dyDescent="0.25">
      <c r="A4" s="2454" t="s">
        <v>416</v>
      </c>
      <c r="B4" s="2454" t="s">
        <v>417</v>
      </c>
      <c r="C4" s="2454" t="s">
        <v>418</v>
      </c>
      <c r="D4" s="2454"/>
      <c r="E4" s="2454"/>
    </row>
    <row r="5" spans="1:6" ht="39.75" customHeight="1" x14ac:dyDescent="0.25">
      <c r="A5" s="2454"/>
      <c r="B5" s="2454"/>
      <c r="C5" s="378" t="s">
        <v>428</v>
      </c>
      <c r="D5" s="378" t="s">
        <v>429</v>
      </c>
      <c r="E5" s="378" t="s">
        <v>430</v>
      </c>
    </row>
    <row r="6" spans="1:6" ht="39.75" customHeight="1" x14ac:dyDescent="0.25">
      <c r="A6" s="2454"/>
      <c r="B6" s="2454"/>
      <c r="C6" s="378" t="s">
        <v>419</v>
      </c>
      <c r="D6" s="378" t="s">
        <v>420</v>
      </c>
      <c r="E6" s="378" t="s">
        <v>421</v>
      </c>
    </row>
    <row r="7" spans="1:6" ht="16.5" customHeight="1" x14ac:dyDescent="0.25">
      <c r="A7" s="378">
        <v>1</v>
      </c>
      <c r="B7" s="378">
        <v>2</v>
      </c>
      <c r="C7" s="378">
        <v>3</v>
      </c>
      <c r="D7" s="378">
        <v>4</v>
      </c>
      <c r="E7" s="378">
        <v>5</v>
      </c>
    </row>
    <row r="8" spans="1:6" ht="48.75" customHeight="1" x14ac:dyDescent="0.25">
      <c r="A8" s="369" t="s">
        <v>502</v>
      </c>
      <c r="B8" s="378">
        <v>100</v>
      </c>
      <c r="C8" s="370"/>
      <c r="D8" s="370"/>
      <c r="E8" s="370"/>
    </row>
    <row r="9" spans="1:6" ht="44.25" customHeight="1" x14ac:dyDescent="0.25">
      <c r="A9" s="369" t="s">
        <v>423</v>
      </c>
      <c r="B9" s="378">
        <v>200</v>
      </c>
      <c r="C9" s="370"/>
      <c r="D9" s="370"/>
      <c r="E9" s="370"/>
    </row>
    <row r="10" spans="1:6" ht="33.75" customHeight="1" x14ac:dyDescent="0.25">
      <c r="A10" s="369" t="s">
        <v>493</v>
      </c>
      <c r="B10" s="378">
        <v>300</v>
      </c>
      <c r="C10" s="370">
        <f>SUM(C11:C18)</f>
        <v>237400</v>
      </c>
      <c r="D10" s="370">
        <f>SUM(D11:D18)</f>
        <v>237400</v>
      </c>
      <c r="E10" s="370">
        <f>SUM(E11:E18)</f>
        <v>237400</v>
      </c>
      <c r="F10" s="365" t="s">
        <v>511</v>
      </c>
    </row>
    <row r="11" spans="1:6" ht="43.5" customHeight="1" x14ac:dyDescent="0.25">
      <c r="A11" s="369" t="s">
        <v>494</v>
      </c>
      <c r="B11" s="378">
        <v>301</v>
      </c>
      <c r="C11" s="370">
        <f>'внеб 912,921,952 (21.02.20)'!I8*1000</f>
        <v>13500</v>
      </c>
      <c r="D11" s="370">
        <f>'внеб 912,921,952 (21.02.20)'!J8*1000</f>
        <v>13500</v>
      </c>
      <c r="E11" s="370">
        <f>'внеб 912,921,952 (21.02.20)'!K8*1000</f>
        <v>13500</v>
      </c>
      <c r="F11" s="375">
        <v>912</v>
      </c>
    </row>
    <row r="12" spans="1:6" ht="17.25" customHeight="1" x14ac:dyDescent="0.25">
      <c r="A12" s="369" t="s">
        <v>495</v>
      </c>
      <c r="B12" s="378">
        <v>302</v>
      </c>
      <c r="C12" s="370"/>
      <c r="D12" s="370"/>
      <c r="E12" s="370"/>
      <c r="F12" s="375">
        <v>911</v>
      </c>
    </row>
    <row r="13" spans="1:6" ht="22.5" customHeight="1" x14ac:dyDescent="0.25">
      <c r="A13" s="369" t="s">
        <v>496</v>
      </c>
      <c r="B13" s="378">
        <v>303</v>
      </c>
      <c r="C13" s="370"/>
      <c r="D13" s="370"/>
      <c r="E13" s="370"/>
      <c r="F13" s="375" t="s">
        <v>505</v>
      </c>
    </row>
    <row r="14" spans="1:6" ht="57" customHeight="1" x14ac:dyDescent="0.25">
      <c r="A14" s="369" t="s">
        <v>497</v>
      </c>
      <c r="B14" s="378">
        <v>304</v>
      </c>
      <c r="C14" s="370">
        <f>'внеб 912,921,952 (21.02.20)'!I15*1000</f>
        <v>131900</v>
      </c>
      <c r="D14" s="370">
        <f>'внеб 912,921,952 (21.02.20)'!J15*1000</f>
        <v>131900</v>
      </c>
      <c r="E14" s="370">
        <f>'внеб 912,921,952 (21.02.20)'!K15*1000</f>
        <v>131900</v>
      </c>
      <c r="F14" s="375" t="s">
        <v>506</v>
      </c>
    </row>
    <row r="15" spans="1:6" ht="18.75" customHeight="1" x14ac:dyDescent="0.25">
      <c r="A15" s="369" t="s">
        <v>498</v>
      </c>
      <c r="B15" s="378">
        <v>305</v>
      </c>
      <c r="C15" s="370"/>
      <c r="D15" s="370"/>
      <c r="E15" s="370"/>
      <c r="F15" s="375" t="s">
        <v>507</v>
      </c>
    </row>
    <row r="16" spans="1:6" ht="24" customHeight="1" x14ac:dyDescent="0.25">
      <c r="A16" s="369" t="s">
        <v>499</v>
      </c>
      <c r="B16" s="378">
        <v>306</v>
      </c>
      <c r="C16" s="370"/>
      <c r="D16" s="370"/>
      <c r="E16" s="370"/>
      <c r="F16" s="375" t="s">
        <v>508</v>
      </c>
    </row>
    <row r="17" spans="1:6" ht="31.5" customHeight="1" x14ac:dyDescent="0.25">
      <c r="A17" s="369" t="s">
        <v>500</v>
      </c>
      <c r="B17" s="378">
        <v>308</v>
      </c>
      <c r="C17" s="370">
        <f>'внеб 912,921,952 (21.02.20)'!I23*1000</f>
        <v>92000</v>
      </c>
      <c r="D17" s="370">
        <f>'внеб 912,921,952 (21.02.20)'!J23*1000</f>
        <v>92000</v>
      </c>
      <c r="E17" s="370">
        <f>'внеб 912,921,952 (21.02.20)'!K23*1000</f>
        <v>92000</v>
      </c>
      <c r="F17" s="375" t="s">
        <v>509</v>
      </c>
    </row>
    <row r="18" spans="1:6" ht="21.75" customHeight="1" x14ac:dyDescent="0.25">
      <c r="A18" s="369" t="s">
        <v>501</v>
      </c>
      <c r="B18" s="378">
        <v>309</v>
      </c>
      <c r="C18" s="370"/>
      <c r="D18" s="370"/>
      <c r="E18" s="370"/>
      <c r="F18" s="375" t="s">
        <v>510</v>
      </c>
    </row>
    <row r="19" spans="1:6" ht="28.5" customHeight="1" x14ac:dyDescent="0.25">
      <c r="A19" s="369" t="s">
        <v>503</v>
      </c>
      <c r="B19" s="378">
        <v>400</v>
      </c>
      <c r="C19" s="370"/>
      <c r="D19" s="370"/>
      <c r="E19" s="370"/>
    </row>
    <row r="20" spans="1:6" ht="30.75" customHeight="1" x14ac:dyDescent="0.25">
      <c r="A20" s="369" t="s">
        <v>426</v>
      </c>
      <c r="B20" s="378">
        <v>500</v>
      </c>
      <c r="C20" s="370"/>
      <c r="D20" s="370"/>
      <c r="E20" s="370"/>
    </row>
    <row r="21" spans="1:6" s="374" customFormat="1" ht="39.75" customHeight="1" x14ac:dyDescent="0.2">
      <c r="A21" s="371" t="s">
        <v>504</v>
      </c>
      <c r="B21" s="372">
        <v>600</v>
      </c>
      <c r="C21" s="373">
        <f>C8-C9+C10-C19+C20</f>
        <v>237400</v>
      </c>
      <c r="D21" s="373">
        <f>D8-D9+D10-D19+D20</f>
        <v>237400</v>
      </c>
      <c r="E21" s="373">
        <f>E8-E9+E10-E19+E20</f>
        <v>237400</v>
      </c>
    </row>
  </sheetData>
  <mergeCells count="5">
    <mergeCell ref="A1:E1"/>
    <mergeCell ref="A2:E2"/>
    <mergeCell ref="A4:A6"/>
    <mergeCell ref="B4:B6"/>
    <mergeCell ref="C4:E4"/>
  </mergeCells>
  <pageMargins left="0.7" right="0.7" top="0.75" bottom="0.75" header="0.3" footer="0.3"/>
  <pageSetup paperSize="9" scale="56"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7" tint="0.39997558519241921"/>
  </sheetPr>
  <dimension ref="A1:L47"/>
  <sheetViews>
    <sheetView view="pageBreakPreview" zoomScale="70" zoomScaleNormal="55" zoomScaleSheetLayoutView="70" workbookViewId="0">
      <pane ySplit="6" topLeftCell="A13" activePane="bottomLeft" state="frozen"/>
      <selection activeCell="E33" sqref="E33"/>
      <selection pane="bottomLeft" activeCell="A24" sqref="A24"/>
    </sheetView>
  </sheetViews>
  <sheetFormatPr defaultRowHeight="12.75" x14ac:dyDescent="0.2"/>
  <cols>
    <col min="1" max="1" width="6.83203125" style="779" bestFit="1" customWidth="1"/>
    <col min="2" max="2" width="24.6640625" style="779" customWidth="1"/>
    <col min="3" max="3" width="12.6640625" style="823" customWidth="1"/>
    <col min="4" max="4" width="58.83203125" style="779" customWidth="1"/>
    <col min="5" max="5" width="17.1640625" style="823" customWidth="1"/>
    <col min="6" max="6" width="10.83203125" style="823" customWidth="1"/>
    <col min="7" max="7" width="11.5" style="823" customWidth="1"/>
    <col min="8" max="8" width="59.5" style="779" customWidth="1"/>
    <col min="9" max="9" width="12.5" style="823" customWidth="1"/>
    <col min="10" max="10" width="15.6640625" style="778" customWidth="1"/>
    <col min="11" max="11" width="17.5" style="778" customWidth="1"/>
    <col min="12" max="12" width="30.83203125" style="778" customWidth="1"/>
    <col min="13" max="243" width="9.33203125" style="778"/>
    <col min="244" max="244" width="6.83203125" style="778" bestFit="1" customWidth="1"/>
    <col min="245" max="245" width="30.1640625" style="778" customWidth="1"/>
    <col min="246" max="246" width="9.5" style="778" customWidth="1"/>
    <col min="247" max="247" width="35.5" style="778" customWidth="1"/>
    <col min="248" max="248" width="16.83203125" style="778" customWidth="1"/>
    <col min="249" max="249" width="16.6640625" style="778" customWidth="1"/>
    <col min="250" max="250" width="13.5" style="778" customWidth="1"/>
    <col min="251" max="251" width="18.1640625" style="778" customWidth="1"/>
    <col min="252" max="252" width="17.1640625" style="778" customWidth="1"/>
    <col min="253" max="253" width="10.83203125" style="778" customWidth="1"/>
    <col min="254" max="254" width="11.5" style="778" customWidth="1"/>
    <col min="255" max="255" width="19.5" style="778" customWidth="1"/>
    <col min="256" max="256" width="12.6640625" style="778" customWidth="1"/>
    <col min="257" max="257" width="87.6640625" style="778" customWidth="1"/>
    <col min="258" max="499" width="9.33203125" style="778"/>
    <col min="500" max="500" width="6.83203125" style="778" bestFit="1" customWidth="1"/>
    <col min="501" max="501" width="30.1640625" style="778" customWidth="1"/>
    <col min="502" max="502" width="9.5" style="778" customWidth="1"/>
    <col min="503" max="503" width="35.5" style="778" customWidth="1"/>
    <col min="504" max="504" width="16.83203125" style="778" customWidth="1"/>
    <col min="505" max="505" width="16.6640625" style="778" customWidth="1"/>
    <col min="506" max="506" width="13.5" style="778" customWidth="1"/>
    <col min="507" max="507" width="18.1640625" style="778" customWidth="1"/>
    <col min="508" max="508" width="17.1640625" style="778" customWidth="1"/>
    <col min="509" max="509" width="10.83203125" style="778" customWidth="1"/>
    <col min="510" max="510" width="11.5" style="778" customWidth="1"/>
    <col min="511" max="511" width="19.5" style="778" customWidth="1"/>
    <col min="512" max="512" width="12.6640625" style="778" customWidth="1"/>
    <col min="513" max="513" width="87.6640625" style="778" customWidth="1"/>
    <col min="514" max="755" width="9.33203125" style="778"/>
    <col min="756" max="756" width="6.83203125" style="778" bestFit="1" customWidth="1"/>
    <col min="757" max="757" width="30.1640625" style="778" customWidth="1"/>
    <col min="758" max="758" width="9.5" style="778" customWidth="1"/>
    <col min="759" max="759" width="35.5" style="778" customWidth="1"/>
    <col min="760" max="760" width="16.83203125" style="778" customWidth="1"/>
    <col min="761" max="761" width="16.6640625" style="778" customWidth="1"/>
    <col min="762" max="762" width="13.5" style="778" customWidth="1"/>
    <col min="763" max="763" width="18.1640625" style="778" customWidth="1"/>
    <col min="764" max="764" width="17.1640625" style="778" customWidth="1"/>
    <col min="765" max="765" width="10.83203125" style="778" customWidth="1"/>
    <col min="766" max="766" width="11.5" style="778" customWidth="1"/>
    <col min="767" max="767" width="19.5" style="778" customWidth="1"/>
    <col min="768" max="768" width="12.6640625" style="778" customWidth="1"/>
    <col min="769" max="769" width="87.6640625" style="778" customWidth="1"/>
    <col min="770" max="1011" width="9.33203125" style="778"/>
    <col min="1012" max="1012" width="6.83203125" style="778" bestFit="1" customWidth="1"/>
    <col min="1013" max="1013" width="30.1640625" style="778" customWidth="1"/>
    <col min="1014" max="1014" width="9.5" style="778" customWidth="1"/>
    <col min="1015" max="1015" width="35.5" style="778" customWidth="1"/>
    <col min="1016" max="1016" width="16.83203125" style="778" customWidth="1"/>
    <col min="1017" max="1017" width="16.6640625" style="778" customWidth="1"/>
    <col min="1018" max="1018" width="13.5" style="778" customWidth="1"/>
    <col min="1019" max="1019" width="18.1640625" style="778" customWidth="1"/>
    <col min="1020" max="1020" width="17.1640625" style="778" customWidth="1"/>
    <col min="1021" max="1021" width="10.83203125" style="778" customWidth="1"/>
    <col min="1022" max="1022" width="11.5" style="778" customWidth="1"/>
    <col min="1023" max="1023" width="19.5" style="778" customWidth="1"/>
    <col min="1024" max="1024" width="12.6640625" style="778" customWidth="1"/>
    <col min="1025" max="1025" width="87.6640625" style="778" customWidth="1"/>
    <col min="1026" max="1267" width="9.33203125" style="778"/>
    <col min="1268" max="1268" width="6.83203125" style="778" bestFit="1" customWidth="1"/>
    <col min="1269" max="1269" width="30.1640625" style="778" customWidth="1"/>
    <col min="1270" max="1270" width="9.5" style="778" customWidth="1"/>
    <col min="1271" max="1271" width="35.5" style="778" customWidth="1"/>
    <col min="1272" max="1272" width="16.83203125" style="778" customWidth="1"/>
    <col min="1273" max="1273" width="16.6640625" style="778" customWidth="1"/>
    <col min="1274" max="1274" width="13.5" style="778" customWidth="1"/>
    <col min="1275" max="1275" width="18.1640625" style="778" customWidth="1"/>
    <col min="1276" max="1276" width="17.1640625" style="778" customWidth="1"/>
    <col min="1277" max="1277" width="10.83203125" style="778" customWidth="1"/>
    <col min="1278" max="1278" width="11.5" style="778" customWidth="1"/>
    <col min="1279" max="1279" width="19.5" style="778" customWidth="1"/>
    <col min="1280" max="1280" width="12.6640625" style="778" customWidth="1"/>
    <col min="1281" max="1281" width="87.6640625" style="778" customWidth="1"/>
    <col min="1282" max="1523" width="9.33203125" style="778"/>
    <col min="1524" max="1524" width="6.83203125" style="778" bestFit="1" customWidth="1"/>
    <col min="1525" max="1525" width="30.1640625" style="778" customWidth="1"/>
    <col min="1526" max="1526" width="9.5" style="778" customWidth="1"/>
    <col min="1527" max="1527" width="35.5" style="778" customWidth="1"/>
    <col min="1528" max="1528" width="16.83203125" style="778" customWidth="1"/>
    <col min="1529" max="1529" width="16.6640625" style="778" customWidth="1"/>
    <col min="1530" max="1530" width="13.5" style="778" customWidth="1"/>
    <col min="1531" max="1531" width="18.1640625" style="778" customWidth="1"/>
    <col min="1532" max="1532" width="17.1640625" style="778" customWidth="1"/>
    <col min="1533" max="1533" width="10.83203125" style="778" customWidth="1"/>
    <col min="1534" max="1534" width="11.5" style="778" customWidth="1"/>
    <col min="1535" max="1535" width="19.5" style="778" customWidth="1"/>
    <col min="1536" max="1536" width="12.6640625" style="778" customWidth="1"/>
    <col min="1537" max="1537" width="87.6640625" style="778" customWidth="1"/>
    <col min="1538" max="1779" width="9.33203125" style="778"/>
    <col min="1780" max="1780" width="6.83203125" style="778" bestFit="1" customWidth="1"/>
    <col min="1781" max="1781" width="30.1640625" style="778" customWidth="1"/>
    <col min="1782" max="1782" width="9.5" style="778" customWidth="1"/>
    <col min="1783" max="1783" width="35.5" style="778" customWidth="1"/>
    <col min="1784" max="1784" width="16.83203125" style="778" customWidth="1"/>
    <col min="1785" max="1785" width="16.6640625" style="778" customWidth="1"/>
    <col min="1786" max="1786" width="13.5" style="778" customWidth="1"/>
    <col min="1787" max="1787" width="18.1640625" style="778" customWidth="1"/>
    <col min="1788" max="1788" width="17.1640625" style="778" customWidth="1"/>
    <col min="1789" max="1789" width="10.83203125" style="778" customWidth="1"/>
    <col min="1790" max="1790" width="11.5" style="778" customWidth="1"/>
    <col min="1791" max="1791" width="19.5" style="778" customWidth="1"/>
    <col min="1792" max="1792" width="12.6640625" style="778" customWidth="1"/>
    <col min="1793" max="1793" width="87.6640625" style="778" customWidth="1"/>
    <col min="1794" max="2035" width="9.33203125" style="778"/>
    <col min="2036" max="2036" width="6.83203125" style="778" bestFit="1" customWidth="1"/>
    <col min="2037" max="2037" width="30.1640625" style="778" customWidth="1"/>
    <col min="2038" max="2038" width="9.5" style="778" customWidth="1"/>
    <col min="2039" max="2039" width="35.5" style="778" customWidth="1"/>
    <col min="2040" max="2040" width="16.83203125" style="778" customWidth="1"/>
    <col min="2041" max="2041" width="16.6640625" style="778" customWidth="1"/>
    <col min="2042" max="2042" width="13.5" style="778" customWidth="1"/>
    <col min="2043" max="2043" width="18.1640625" style="778" customWidth="1"/>
    <col min="2044" max="2044" width="17.1640625" style="778" customWidth="1"/>
    <col min="2045" max="2045" width="10.83203125" style="778" customWidth="1"/>
    <col min="2046" max="2046" width="11.5" style="778" customWidth="1"/>
    <col min="2047" max="2047" width="19.5" style="778" customWidth="1"/>
    <col min="2048" max="2048" width="12.6640625" style="778" customWidth="1"/>
    <col min="2049" max="2049" width="87.6640625" style="778" customWidth="1"/>
    <col min="2050" max="2291" width="9.33203125" style="778"/>
    <col min="2292" max="2292" width="6.83203125" style="778" bestFit="1" customWidth="1"/>
    <col min="2293" max="2293" width="30.1640625" style="778" customWidth="1"/>
    <col min="2294" max="2294" width="9.5" style="778" customWidth="1"/>
    <col min="2295" max="2295" width="35.5" style="778" customWidth="1"/>
    <col min="2296" max="2296" width="16.83203125" style="778" customWidth="1"/>
    <col min="2297" max="2297" width="16.6640625" style="778" customWidth="1"/>
    <col min="2298" max="2298" width="13.5" style="778" customWidth="1"/>
    <col min="2299" max="2299" width="18.1640625" style="778" customWidth="1"/>
    <col min="2300" max="2300" width="17.1640625" style="778" customWidth="1"/>
    <col min="2301" max="2301" width="10.83203125" style="778" customWidth="1"/>
    <col min="2302" max="2302" width="11.5" style="778" customWidth="1"/>
    <col min="2303" max="2303" width="19.5" style="778" customWidth="1"/>
    <col min="2304" max="2304" width="12.6640625" style="778" customWidth="1"/>
    <col min="2305" max="2305" width="87.6640625" style="778" customWidth="1"/>
    <col min="2306" max="2547" width="9.33203125" style="778"/>
    <col min="2548" max="2548" width="6.83203125" style="778" bestFit="1" customWidth="1"/>
    <col min="2549" max="2549" width="30.1640625" style="778" customWidth="1"/>
    <col min="2550" max="2550" width="9.5" style="778" customWidth="1"/>
    <col min="2551" max="2551" width="35.5" style="778" customWidth="1"/>
    <col min="2552" max="2552" width="16.83203125" style="778" customWidth="1"/>
    <col min="2553" max="2553" width="16.6640625" style="778" customWidth="1"/>
    <col min="2554" max="2554" width="13.5" style="778" customWidth="1"/>
    <col min="2555" max="2555" width="18.1640625" style="778" customWidth="1"/>
    <col min="2556" max="2556" width="17.1640625" style="778" customWidth="1"/>
    <col min="2557" max="2557" width="10.83203125" style="778" customWidth="1"/>
    <col min="2558" max="2558" width="11.5" style="778" customWidth="1"/>
    <col min="2559" max="2559" width="19.5" style="778" customWidth="1"/>
    <col min="2560" max="2560" width="12.6640625" style="778" customWidth="1"/>
    <col min="2561" max="2561" width="87.6640625" style="778" customWidth="1"/>
    <col min="2562" max="2803" width="9.33203125" style="778"/>
    <col min="2804" max="2804" width="6.83203125" style="778" bestFit="1" customWidth="1"/>
    <col min="2805" max="2805" width="30.1640625" style="778" customWidth="1"/>
    <col min="2806" max="2806" width="9.5" style="778" customWidth="1"/>
    <col min="2807" max="2807" width="35.5" style="778" customWidth="1"/>
    <col min="2808" max="2808" width="16.83203125" style="778" customWidth="1"/>
    <col min="2809" max="2809" width="16.6640625" style="778" customWidth="1"/>
    <col min="2810" max="2810" width="13.5" style="778" customWidth="1"/>
    <col min="2811" max="2811" width="18.1640625" style="778" customWidth="1"/>
    <col min="2812" max="2812" width="17.1640625" style="778" customWidth="1"/>
    <col min="2813" max="2813" width="10.83203125" style="778" customWidth="1"/>
    <col min="2814" max="2814" width="11.5" style="778" customWidth="1"/>
    <col min="2815" max="2815" width="19.5" style="778" customWidth="1"/>
    <col min="2816" max="2816" width="12.6640625" style="778" customWidth="1"/>
    <col min="2817" max="2817" width="87.6640625" style="778" customWidth="1"/>
    <col min="2818" max="3059" width="9.33203125" style="778"/>
    <col min="3060" max="3060" width="6.83203125" style="778" bestFit="1" customWidth="1"/>
    <col min="3061" max="3061" width="30.1640625" style="778" customWidth="1"/>
    <col min="3062" max="3062" width="9.5" style="778" customWidth="1"/>
    <col min="3063" max="3063" width="35.5" style="778" customWidth="1"/>
    <col min="3064" max="3064" width="16.83203125" style="778" customWidth="1"/>
    <col min="3065" max="3065" width="16.6640625" style="778" customWidth="1"/>
    <col min="3066" max="3066" width="13.5" style="778" customWidth="1"/>
    <col min="3067" max="3067" width="18.1640625" style="778" customWidth="1"/>
    <col min="3068" max="3068" width="17.1640625" style="778" customWidth="1"/>
    <col min="3069" max="3069" width="10.83203125" style="778" customWidth="1"/>
    <col min="3070" max="3070" width="11.5" style="778" customWidth="1"/>
    <col min="3071" max="3071" width="19.5" style="778" customWidth="1"/>
    <col min="3072" max="3072" width="12.6640625" style="778" customWidth="1"/>
    <col min="3073" max="3073" width="87.6640625" style="778" customWidth="1"/>
    <col min="3074" max="3315" width="9.33203125" style="778"/>
    <col min="3316" max="3316" width="6.83203125" style="778" bestFit="1" customWidth="1"/>
    <col min="3317" max="3317" width="30.1640625" style="778" customWidth="1"/>
    <col min="3318" max="3318" width="9.5" style="778" customWidth="1"/>
    <col min="3319" max="3319" width="35.5" style="778" customWidth="1"/>
    <col min="3320" max="3320" width="16.83203125" style="778" customWidth="1"/>
    <col min="3321" max="3321" width="16.6640625" style="778" customWidth="1"/>
    <col min="3322" max="3322" width="13.5" style="778" customWidth="1"/>
    <col min="3323" max="3323" width="18.1640625" style="778" customWidth="1"/>
    <col min="3324" max="3324" width="17.1640625" style="778" customWidth="1"/>
    <col min="3325" max="3325" width="10.83203125" style="778" customWidth="1"/>
    <col min="3326" max="3326" width="11.5" style="778" customWidth="1"/>
    <col min="3327" max="3327" width="19.5" style="778" customWidth="1"/>
    <col min="3328" max="3328" width="12.6640625" style="778" customWidth="1"/>
    <col min="3329" max="3329" width="87.6640625" style="778" customWidth="1"/>
    <col min="3330" max="3571" width="9.33203125" style="778"/>
    <col min="3572" max="3572" width="6.83203125" style="778" bestFit="1" customWidth="1"/>
    <col min="3573" max="3573" width="30.1640625" style="778" customWidth="1"/>
    <col min="3574" max="3574" width="9.5" style="778" customWidth="1"/>
    <col min="3575" max="3575" width="35.5" style="778" customWidth="1"/>
    <col min="3576" max="3576" width="16.83203125" style="778" customWidth="1"/>
    <col min="3577" max="3577" width="16.6640625" style="778" customWidth="1"/>
    <col min="3578" max="3578" width="13.5" style="778" customWidth="1"/>
    <col min="3579" max="3579" width="18.1640625" style="778" customWidth="1"/>
    <col min="3580" max="3580" width="17.1640625" style="778" customWidth="1"/>
    <col min="3581" max="3581" width="10.83203125" style="778" customWidth="1"/>
    <col min="3582" max="3582" width="11.5" style="778" customWidth="1"/>
    <col min="3583" max="3583" width="19.5" style="778" customWidth="1"/>
    <col min="3584" max="3584" width="12.6640625" style="778" customWidth="1"/>
    <col min="3585" max="3585" width="87.6640625" style="778" customWidth="1"/>
    <col min="3586" max="3827" width="9.33203125" style="778"/>
    <col min="3828" max="3828" width="6.83203125" style="778" bestFit="1" customWidth="1"/>
    <col min="3829" max="3829" width="30.1640625" style="778" customWidth="1"/>
    <col min="3830" max="3830" width="9.5" style="778" customWidth="1"/>
    <col min="3831" max="3831" width="35.5" style="778" customWidth="1"/>
    <col min="3832" max="3832" width="16.83203125" style="778" customWidth="1"/>
    <col min="3833" max="3833" width="16.6640625" style="778" customWidth="1"/>
    <col min="3834" max="3834" width="13.5" style="778" customWidth="1"/>
    <col min="3835" max="3835" width="18.1640625" style="778" customWidth="1"/>
    <col min="3836" max="3836" width="17.1640625" style="778" customWidth="1"/>
    <col min="3837" max="3837" width="10.83203125" style="778" customWidth="1"/>
    <col min="3838" max="3838" width="11.5" style="778" customWidth="1"/>
    <col min="3839" max="3839" width="19.5" style="778" customWidth="1"/>
    <col min="3840" max="3840" width="12.6640625" style="778" customWidth="1"/>
    <col min="3841" max="3841" width="87.6640625" style="778" customWidth="1"/>
    <col min="3842" max="4083" width="9.33203125" style="778"/>
    <col min="4084" max="4084" width="6.83203125" style="778" bestFit="1" customWidth="1"/>
    <col min="4085" max="4085" width="30.1640625" style="778" customWidth="1"/>
    <col min="4086" max="4086" width="9.5" style="778" customWidth="1"/>
    <col min="4087" max="4087" width="35.5" style="778" customWidth="1"/>
    <col min="4088" max="4088" width="16.83203125" style="778" customWidth="1"/>
    <col min="4089" max="4089" width="16.6640625" style="778" customWidth="1"/>
    <col min="4090" max="4090" width="13.5" style="778" customWidth="1"/>
    <col min="4091" max="4091" width="18.1640625" style="778" customWidth="1"/>
    <col min="4092" max="4092" width="17.1640625" style="778" customWidth="1"/>
    <col min="4093" max="4093" width="10.83203125" style="778" customWidth="1"/>
    <col min="4094" max="4094" width="11.5" style="778" customWidth="1"/>
    <col min="4095" max="4095" width="19.5" style="778" customWidth="1"/>
    <col min="4096" max="4096" width="12.6640625" style="778" customWidth="1"/>
    <col min="4097" max="4097" width="87.6640625" style="778" customWidth="1"/>
    <col min="4098" max="4339" width="9.33203125" style="778"/>
    <col min="4340" max="4340" width="6.83203125" style="778" bestFit="1" customWidth="1"/>
    <col min="4341" max="4341" width="30.1640625" style="778" customWidth="1"/>
    <col min="4342" max="4342" width="9.5" style="778" customWidth="1"/>
    <col min="4343" max="4343" width="35.5" style="778" customWidth="1"/>
    <col min="4344" max="4344" width="16.83203125" style="778" customWidth="1"/>
    <col min="4345" max="4345" width="16.6640625" style="778" customWidth="1"/>
    <col min="4346" max="4346" width="13.5" style="778" customWidth="1"/>
    <col min="4347" max="4347" width="18.1640625" style="778" customWidth="1"/>
    <col min="4348" max="4348" width="17.1640625" style="778" customWidth="1"/>
    <col min="4349" max="4349" width="10.83203125" style="778" customWidth="1"/>
    <col min="4350" max="4350" width="11.5" style="778" customWidth="1"/>
    <col min="4351" max="4351" width="19.5" style="778" customWidth="1"/>
    <col min="4352" max="4352" width="12.6640625" style="778" customWidth="1"/>
    <col min="4353" max="4353" width="87.6640625" style="778" customWidth="1"/>
    <col min="4354" max="4595" width="9.33203125" style="778"/>
    <col min="4596" max="4596" width="6.83203125" style="778" bestFit="1" customWidth="1"/>
    <col min="4597" max="4597" width="30.1640625" style="778" customWidth="1"/>
    <col min="4598" max="4598" width="9.5" style="778" customWidth="1"/>
    <col min="4599" max="4599" width="35.5" style="778" customWidth="1"/>
    <col min="4600" max="4600" width="16.83203125" style="778" customWidth="1"/>
    <col min="4601" max="4601" width="16.6640625" style="778" customWidth="1"/>
    <col min="4602" max="4602" width="13.5" style="778" customWidth="1"/>
    <col min="4603" max="4603" width="18.1640625" style="778" customWidth="1"/>
    <col min="4604" max="4604" width="17.1640625" style="778" customWidth="1"/>
    <col min="4605" max="4605" width="10.83203125" style="778" customWidth="1"/>
    <col min="4606" max="4606" width="11.5" style="778" customWidth="1"/>
    <col min="4607" max="4607" width="19.5" style="778" customWidth="1"/>
    <col min="4608" max="4608" width="12.6640625" style="778" customWidth="1"/>
    <col min="4609" max="4609" width="87.6640625" style="778" customWidth="1"/>
    <col min="4610" max="4851" width="9.33203125" style="778"/>
    <col min="4852" max="4852" width="6.83203125" style="778" bestFit="1" customWidth="1"/>
    <col min="4853" max="4853" width="30.1640625" style="778" customWidth="1"/>
    <col min="4854" max="4854" width="9.5" style="778" customWidth="1"/>
    <col min="4855" max="4855" width="35.5" style="778" customWidth="1"/>
    <col min="4856" max="4856" width="16.83203125" style="778" customWidth="1"/>
    <col min="4857" max="4857" width="16.6640625" style="778" customWidth="1"/>
    <col min="4858" max="4858" width="13.5" style="778" customWidth="1"/>
    <col min="4859" max="4859" width="18.1640625" style="778" customWidth="1"/>
    <col min="4860" max="4860" width="17.1640625" style="778" customWidth="1"/>
    <col min="4861" max="4861" width="10.83203125" style="778" customWidth="1"/>
    <col min="4862" max="4862" width="11.5" style="778" customWidth="1"/>
    <col min="4863" max="4863" width="19.5" style="778" customWidth="1"/>
    <col min="4864" max="4864" width="12.6640625" style="778" customWidth="1"/>
    <col min="4865" max="4865" width="87.6640625" style="778" customWidth="1"/>
    <col min="4866" max="5107" width="9.33203125" style="778"/>
    <col min="5108" max="5108" width="6.83203125" style="778" bestFit="1" customWidth="1"/>
    <col min="5109" max="5109" width="30.1640625" style="778" customWidth="1"/>
    <col min="5110" max="5110" width="9.5" style="778" customWidth="1"/>
    <col min="5111" max="5111" width="35.5" style="778" customWidth="1"/>
    <col min="5112" max="5112" width="16.83203125" style="778" customWidth="1"/>
    <col min="5113" max="5113" width="16.6640625" style="778" customWidth="1"/>
    <col min="5114" max="5114" width="13.5" style="778" customWidth="1"/>
    <col min="5115" max="5115" width="18.1640625" style="778" customWidth="1"/>
    <col min="5116" max="5116" width="17.1640625" style="778" customWidth="1"/>
    <col min="5117" max="5117" width="10.83203125" style="778" customWidth="1"/>
    <col min="5118" max="5118" width="11.5" style="778" customWidth="1"/>
    <col min="5119" max="5119" width="19.5" style="778" customWidth="1"/>
    <col min="5120" max="5120" width="12.6640625" style="778" customWidth="1"/>
    <col min="5121" max="5121" width="87.6640625" style="778" customWidth="1"/>
    <col min="5122" max="5363" width="9.33203125" style="778"/>
    <col min="5364" max="5364" width="6.83203125" style="778" bestFit="1" customWidth="1"/>
    <col min="5365" max="5365" width="30.1640625" style="778" customWidth="1"/>
    <col min="5366" max="5366" width="9.5" style="778" customWidth="1"/>
    <col min="5367" max="5367" width="35.5" style="778" customWidth="1"/>
    <col min="5368" max="5368" width="16.83203125" style="778" customWidth="1"/>
    <col min="5369" max="5369" width="16.6640625" style="778" customWidth="1"/>
    <col min="5370" max="5370" width="13.5" style="778" customWidth="1"/>
    <col min="5371" max="5371" width="18.1640625" style="778" customWidth="1"/>
    <col min="5372" max="5372" width="17.1640625" style="778" customWidth="1"/>
    <col min="5373" max="5373" width="10.83203125" style="778" customWidth="1"/>
    <col min="5374" max="5374" width="11.5" style="778" customWidth="1"/>
    <col min="5375" max="5375" width="19.5" style="778" customWidth="1"/>
    <col min="5376" max="5376" width="12.6640625" style="778" customWidth="1"/>
    <col min="5377" max="5377" width="87.6640625" style="778" customWidth="1"/>
    <col min="5378" max="5619" width="9.33203125" style="778"/>
    <col min="5620" max="5620" width="6.83203125" style="778" bestFit="1" customWidth="1"/>
    <col min="5621" max="5621" width="30.1640625" style="778" customWidth="1"/>
    <col min="5622" max="5622" width="9.5" style="778" customWidth="1"/>
    <col min="5623" max="5623" width="35.5" style="778" customWidth="1"/>
    <col min="5624" max="5624" width="16.83203125" style="778" customWidth="1"/>
    <col min="5625" max="5625" width="16.6640625" style="778" customWidth="1"/>
    <col min="5626" max="5626" width="13.5" style="778" customWidth="1"/>
    <col min="5627" max="5627" width="18.1640625" style="778" customWidth="1"/>
    <col min="5628" max="5628" width="17.1640625" style="778" customWidth="1"/>
    <col min="5629" max="5629" width="10.83203125" style="778" customWidth="1"/>
    <col min="5630" max="5630" width="11.5" style="778" customWidth="1"/>
    <col min="5631" max="5631" width="19.5" style="778" customWidth="1"/>
    <col min="5632" max="5632" width="12.6640625" style="778" customWidth="1"/>
    <col min="5633" max="5633" width="87.6640625" style="778" customWidth="1"/>
    <col min="5634" max="5875" width="9.33203125" style="778"/>
    <col min="5876" max="5876" width="6.83203125" style="778" bestFit="1" customWidth="1"/>
    <col min="5877" max="5877" width="30.1640625" style="778" customWidth="1"/>
    <col min="5878" max="5878" width="9.5" style="778" customWidth="1"/>
    <col min="5879" max="5879" width="35.5" style="778" customWidth="1"/>
    <col min="5880" max="5880" width="16.83203125" style="778" customWidth="1"/>
    <col min="5881" max="5881" width="16.6640625" style="778" customWidth="1"/>
    <col min="5882" max="5882" width="13.5" style="778" customWidth="1"/>
    <col min="5883" max="5883" width="18.1640625" style="778" customWidth="1"/>
    <col min="5884" max="5884" width="17.1640625" style="778" customWidth="1"/>
    <col min="5885" max="5885" width="10.83203125" style="778" customWidth="1"/>
    <col min="5886" max="5886" width="11.5" style="778" customWidth="1"/>
    <col min="5887" max="5887" width="19.5" style="778" customWidth="1"/>
    <col min="5888" max="5888" width="12.6640625" style="778" customWidth="1"/>
    <col min="5889" max="5889" width="87.6640625" style="778" customWidth="1"/>
    <col min="5890" max="6131" width="9.33203125" style="778"/>
    <col min="6132" max="6132" width="6.83203125" style="778" bestFit="1" customWidth="1"/>
    <col min="6133" max="6133" width="30.1640625" style="778" customWidth="1"/>
    <col min="6134" max="6134" width="9.5" style="778" customWidth="1"/>
    <col min="6135" max="6135" width="35.5" style="778" customWidth="1"/>
    <col min="6136" max="6136" width="16.83203125" style="778" customWidth="1"/>
    <col min="6137" max="6137" width="16.6640625" style="778" customWidth="1"/>
    <col min="6138" max="6138" width="13.5" style="778" customWidth="1"/>
    <col min="6139" max="6139" width="18.1640625" style="778" customWidth="1"/>
    <col min="6140" max="6140" width="17.1640625" style="778" customWidth="1"/>
    <col min="6141" max="6141" width="10.83203125" style="778" customWidth="1"/>
    <col min="6142" max="6142" width="11.5" style="778" customWidth="1"/>
    <col min="6143" max="6143" width="19.5" style="778" customWidth="1"/>
    <col min="6144" max="6144" width="12.6640625" style="778" customWidth="1"/>
    <col min="6145" max="6145" width="87.6640625" style="778" customWidth="1"/>
    <col min="6146" max="6387" width="9.33203125" style="778"/>
    <col min="6388" max="6388" width="6.83203125" style="778" bestFit="1" customWidth="1"/>
    <col min="6389" max="6389" width="30.1640625" style="778" customWidth="1"/>
    <col min="6390" max="6390" width="9.5" style="778" customWidth="1"/>
    <col min="6391" max="6391" width="35.5" style="778" customWidth="1"/>
    <col min="6392" max="6392" width="16.83203125" style="778" customWidth="1"/>
    <col min="6393" max="6393" width="16.6640625" style="778" customWidth="1"/>
    <col min="6394" max="6394" width="13.5" style="778" customWidth="1"/>
    <col min="6395" max="6395" width="18.1640625" style="778" customWidth="1"/>
    <col min="6396" max="6396" width="17.1640625" style="778" customWidth="1"/>
    <col min="6397" max="6397" width="10.83203125" style="778" customWidth="1"/>
    <col min="6398" max="6398" width="11.5" style="778" customWidth="1"/>
    <col min="6399" max="6399" width="19.5" style="778" customWidth="1"/>
    <col min="6400" max="6400" width="12.6640625" style="778" customWidth="1"/>
    <col min="6401" max="6401" width="87.6640625" style="778" customWidth="1"/>
    <col min="6402" max="6643" width="9.33203125" style="778"/>
    <col min="6644" max="6644" width="6.83203125" style="778" bestFit="1" customWidth="1"/>
    <col min="6645" max="6645" width="30.1640625" style="778" customWidth="1"/>
    <col min="6646" max="6646" width="9.5" style="778" customWidth="1"/>
    <col min="6647" max="6647" width="35.5" style="778" customWidth="1"/>
    <col min="6648" max="6648" width="16.83203125" style="778" customWidth="1"/>
    <col min="6649" max="6649" width="16.6640625" style="778" customWidth="1"/>
    <col min="6650" max="6650" width="13.5" style="778" customWidth="1"/>
    <col min="6651" max="6651" width="18.1640625" style="778" customWidth="1"/>
    <col min="6652" max="6652" width="17.1640625" style="778" customWidth="1"/>
    <col min="6653" max="6653" width="10.83203125" style="778" customWidth="1"/>
    <col min="6654" max="6654" width="11.5" style="778" customWidth="1"/>
    <col min="6655" max="6655" width="19.5" style="778" customWidth="1"/>
    <col min="6656" max="6656" width="12.6640625" style="778" customWidth="1"/>
    <col min="6657" max="6657" width="87.6640625" style="778" customWidth="1"/>
    <col min="6658" max="6899" width="9.33203125" style="778"/>
    <col min="6900" max="6900" width="6.83203125" style="778" bestFit="1" customWidth="1"/>
    <col min="6901" max="6901" width="30.1640625" style="778" customWidth="1"/>
    <col min="6902" max="6902" width="9.5" style="778" customWidth="1"/>
    <col min="6903" max="6903" width="35.5" style="778" customWidth="1"/>
    <col min="6904" max="6904" width="16.83203125" style="778" customWidth="1"/>
    <col min="6905" max="6905" width="16.6640625" style="778" customWidth="1"/>
    <col min="6906" max="6906" width="13.5" style="778" customWidth="1"/>
    <col min="6907" max="6907" width="18.1640625" style="778" customWidth="1"/>
    <col min="6908" max="6908" width="17.1640625" style="778" customWidth="1"/>
    <col min="6909" max="6909" width="10.83203125" style="778" customWidth="1"/>
    <col min="6910" max="6910" width="11.5" style="778" customWidth="1"/>
    <col min="6911" max="6911" width="19.5" style="778" customWidth="1"/>
    <col min="6912" max="6912" width="12.6640625" style="778" customWidth="1"/>
    <col min="6913" max="6913" width="87.6640625" style="778" customWidth="1"/>
    <col min="6914" max="7155" width="9.33203125" style="778"/>
    <col min="7156" max="7156" width="6.83203125" style="778" bestFit="1" customWidth="1"/>
    <col min="7157" max="7157" width="30.1640625" style="778" customWidth="1"/>
    <col min="7158" max="7158" width="9.5" style="778" customWidth="1"/>
    <col min="7159" max="7159" width="35.5" style="778" customWidth="1"/>
    <col min="7160" max="7160" width="16.83203125" style="778" customWidth="1"/>
    <col min="7161" max="7161" width="16.6640625" style="778" customWidth="1"/>
    <col min="7162" max="7162" width="13.5" style="778" customWidth="1"/>
    <col min="7163" max="7163" width="18.1640625" style="778" customWidth="1"/>
    <col min="7164" max="7164" width="17.1640625" style="778" customWidth="1"/>
    <col min="7165" max="7165" width="10.83203125" style="778" customWidth="1"/>
    <col min="7166" max="7166" width="11.5" style="778" customWidth="1"/>
    <col min="7167" max="7167" width="19.5" style="778" customWidth="1"/>
    <col min="7168" max="7168" width="12.6640625" style="778" customWidth="1"/>
    <col min="7169" max="7169" width="87.6640625" style="778" customWidth="1"/>
    <col min="7170" max="7411" width="9.33203125" style="778"/>
    <col min="7412" max="7412" width="6.83203125" style="778" bestFit="1" customWidth="1"/>
    <col min="7413" max="7413" width="30.1640625" style="778" customWidth="1"/>
    <col min="7414" max="7414" width="9.5" style="778" customWidth="1"/>
    <col min="7415" max="7415" width="35.5" style="778" customWidth="1"/>
    <col min="7416" max="7416" width="16.83203125" style="778" customWidth="1"/>
    <col min="7417" max="7417" width="16.6640625" style="778" customWidth="1"/>
    <col min="7418" max="7418" width="13.5" style="778" customWidth="1"/>
    <col min="7419" max="7419" width="18.1640625" style="778" customWidth="1"/>
    <col min="7420" max="7420" width="17.1640625" style="778" customWidth="1"/>
    <col min="7421" max="7421" width="10.83203125" style="778" customWidth="1"/>
    <col min="7422" max="7422" width="11.5" style="778" customWidth="1"/>
    <col min="7423" max="7423" width="19.5" style="778" customWidth="1"/>
    <col min="7424" max="7424" width="12.6640625" style="778" customWidth="1"/>
    <col min="7425" max="7425" width="87.6640625" style="778" customWidth="1"/>
    <col min="7426" max="7667" width="9.33203125" style="778"/>
    <col min="7668" max="7668" width="6.83203125" style="778" bestFit="1" customWidth="1"/>
    <col min="7669" max="7669" width="30.1640625" style="778" customWidth="1"/>
    <col min="7670" max="7670" width="9.5" style="778" customWidth="1"/>
    <col min="7671" max="7671" width="35.5" style="778" customWidth="1"/>
    <col min="7672" max="7672" width="16.83203125" style="778" customWidth="1"/>
    <col min="7673" max="7673" width="16.6640625" style="778" customWidth="1"/>
    <col min="7674" max="7674" width="13.5" style="778" customWidth="1"/>
    <col min="7675" max="7675" width="18.1640625" style="778" customWidth="1"/>
    <col min="7676" max="7676" width="17.1640625" style="778" customWidth="1"/>
    <col min="7677" max="7677" width="10.83203125" style="778" customWidth="1"/>
    <col min="7678" max="7678" width="11.5" style="778" customWidth="1"/>
    <col min="7679" max="7679" width="19.5" style="778" customWidth="1"/>
    <col min="7680" max="7680" width="12.6640625" style="778" customWidth="1"/>
    <col min="7681" max="7681" width="87.6640625" style="778" customWidth="1"/>
    <col min="7682" max="7923" width="9.33203125" style="778"/>
    <col min="7924" max="7924" width="6.83203125" style="778" bestFit="1" customWidth="1"/>
    <col min="7925" max="7925" width="30.1640625" style="778" customWidth="1"/>
    <col min="7926" max="7926" width="9.5" style="778" customWidth="1"/>
    <col min="7927" max="7927" width="35.5" style="778" customWidth="1"/>
    <col min="7928" max="7928" width="16.83203125" style="778" customWidth="1"/>
    <col min="7929" max="7929" width="16.6640625" style="778" customWidth="1"/>
    <col min="7930" max="7930" width="13.5" style="778" customWidth="1"/>
    <col min="7931" max="7931" width="18.1640625" style="778" customWidth="1"/>
    <col min="7932" max="7932" width="17.1640625" style="778" customWidth="1"/>
    <col min="7933" max="7933" width="10.83203125" style="778" customWidth="1"/>
    <col min="7934" max="7934" width="11.5" style="778" customWidth="1"/>
    <col min="7935" max="7935" width="19.5" style="778" customWidth="1"/>
    <col min="7936" max="7936" width="12.6640625" style="778" customWidth="1"/>
    <col min="7937" max="7937" width="87.6640625" style="778" customWidth="1"/>
    <col min="7938" max="8179" width="9.33203125" style="778"/>
    <col min="8180" max="8180" width="6.83203125" style="778" bestFit="1" customWidth="1"/>
    <col min="8181" max="8181" width="30.1640625" style="778" customWidth="1"/>
    <col min="8182" max="8182" width="9.5" style="778" customWidth="1"/>
    <col min="8183" max="8183" width="35.5" style="778" customWidth="1"/>
    <col min="8184" max="8184" width="16.83203125" style="778" customWidth="1"/>
    <col min="8185" max="8185" width="16.6640625" style="778" customWidth="1"/>
    <col min="8186" max="8186" width="13.5" style="778" customWidth="1"/>
    <col min="8187" max="8187" width="18.1640625" style="778" customWidth="1"/>
    <col min="8188" max="8188" width="17.1640625" style="778" customWidth="1"/>
    <col min="8189" max="8189" width="10.83203125" style="778" customWidth="1"/>
    <col min="8190" max="8190" width="11.5" style="778" customWidth="1"/>
    <col min="8191" max="8191" width="19.5" style="778" customWidth="1"/>
    <col min="8192" max="8192" width="12.6640625" style="778" customWidth="1"/>
    <col min="8193" max="8193" width="87.6640625" style="778" customWidth="1"/>
    <col min="8194" max="8435" width="9.33203125" style="778"/>
    <col min="8436" max="8436" width="6.83203125" style="778" bestFit="1" customWidth="1"/>
    <col min="8437" max="8437" width="30.1640625" style="778" customWidth="1"/>
    <col min="8438" max="8438" width="9.5" style="778" customWidth="1"/>
    <col min="8439" max="8439" width="35.5" style="778" customWidth="1"/>
    <col min="8440" max="8440" width="16.83203125" style="778" customWidth="1"/>
    <col min="8441" max="8441" width="16.6640625" style="778" customWidth="1"/>
    <col min="8442" max="8442" width="13.5" style="778" customWidth="1"/>
    <col min="8443" max="8443" width="18.1640625" style="778" customWidth="1"/>
    <col min="8444" max="8444" width="17.1640625" style="778" customWidth="1"/>
    <col min="8445" max="8445" width="10.83203125" style="778" customWidth="1"/>
    <col min="8446" max="8446" width="11.5" style="778" customWidth="1"/>
    <col min="8447" max="8447" width="19.5" style="778" customWidth="1"/>
    <col min="8448" max="8448" width="12.6640625" style="778" customWidth="1"/>
    <col min="8449" max="8449" width="87.6640625" style="778" customWidth="1"/>
    <col min="8450" max="8691" width="9.33203125" style="778"/>
    <col min="8692" max="8692" width="6.83203125" style="778" bestFit="1" customWidth="1"/>
    <col min="8693" max="8693" width="30.1640625" style="778" customWidth="1"/>
    <col min="8694" max="8694" width="9.5" style="778" customWidth="1"/>
    <col min="8695" max="8695" width="35.5" style="778" customWidth="1"/>
    <col min="8696" max="8696" width="16.83203125" style="778" customWidth="1"/>
    <col min="8697" max="8697" width="16.6640625" style="778" customWidth="1"/>
    <col min="8698" max="8698" width="13.5" style="778" customWidth="1"/>
    <col min="8699" max="8699" width="18.1640625" style="778" customWidth="1"/>
    <col min="8700" max="8700" width="17.1640625" style="778" customWidth="1"/>
    <col min="8701" max="8701" width="10.83203125" style="778" customWidth="1"/>
    <col min="8702" max="8702" width="11.5" style="778" customWidth="1"/>
    <col min="8703" max="8703" width="19.5" style="778" customWidth="1"/>
    <col min="8704" max="8704" width="12.6640625" style="778" customWidth="1"/>
    <col min="8705" max="8705" width="87.6640625" style="778" customWidth="1"/>
    <col min="8706" max="8947" width="9.33203125" style="778"/>
    <col min="8948" max="8948" width="6.83203125" style="778" bestFit="1" customWidth="1"/>
    <col min="8949" max="8949" width="30.1640625" style="778" customWidth="1"/>
    <col min="8950" max="8950" width="9.5" style="778" customWidth="1"/>
    <col min="8951" max="8951" width="35.5" style="778" customWidth="1"/>
    <col min="8952" max="8952" width="16.83203125" style="778" customWidth="1"/>
    <col min="8953" max="8953" width="16.6640625" style="778" customWidth="1"/>
    <col min="8954" max="8954" width="13.5" style="778" customWidth="1"/>
    <col min="8955" max="8955" width="18.1640625" style="778" customWidth="1"/>
    <col min="8956" max="8956" width="17.1640625" style="778" customWidth="1"/>
    <col min="8957" max="8957" width="10.83203125" style="778" customWidth="1"/>
    <col min="8958" max="8958" width="11.5" style="778" customWidth="1"/>
    <col min="8959" max="8959" width="19.5" style="778" customWidth="1"/>
    <col min="8960" max="8960" width="12.6640625" style="778" customWidth="1"/>
    <col min="8961" max="8961" width="87.6640625" style="778" customWidth="1"/>
    <col min="8962" max="9203" width="9.33203125" style="778"/>
    <col min="9204" max="9204" width="6.83203125" style="778" bestFit="1" customWidth="1"/>
    <col min="9205" max="9205" width="30.1640625" style="778" customWidth="1"/>
    <col min="9206" max="9206" width="9.5" style="778" customWidth="1"/>
    <col min="9207" max="9207" width="35.5" style="778" customWidth="1"/>
    <col min="9208" max="9208" width="16.83203125" style="778" customWidth="1"/>
    <col min="9209" max="9209" width="16.6640625" style="778" customWidth="1"/>
    <col min="9210" max="9210" width="13.5" style="778" customWidth="1"/>
    <col min="9211" max="9211" width="18.1640625" style="778" customWidth="1"/>
    <col min="9212" max="9212" width="17.1640625" style="778" customWidth="1"/>
    <col min="9213" max="9213" width="10.83203125" style="778" customWidth="1"/>
    <col min="9214" max="9214" width="11.5" style="778" customWidth="1"/>
    <col min="9215" max="9215" width="19.5" style="778" customWidth="1"/>
    <col min="9216" max="9216" width="12.6640625" style="778" customWidth="1"/>
    <col min="9217" max="9217" width="87.6640625" style="778" customWidth="1"/>
    <col min="9218" max="9459" width="9.33203125" style="778"/>
    <col min="9460" max="9460" width="6.83203125" style="778" bestFit="1" customWidth="1"/>
    <col min="9461" max="9461" width="30.1640625" style="778" customWidth="1"/>
    <col min="9462" max="9462" width="9.5" style="778" customWidth="1"/>
    <col min="9463" max="9463" width="35.5" style="778" customWidth="1"/>
    <col min="9464" max="9464" width="16.83203125" style="778" customWidth="1"/>
    <col min="9465" max="9465" width="16.6640625" style="778" customWidth="1"/>
    <col min="9466" max="9466" width="13.5" style="778" customWidth="1"/>
    <col min="9467" max="9467" width="18.1640625" style="778" customWidth="1"/>
    <col min="9468" max="9468" width="17.1640625" style="778" customWidth="1"/>
    <col min="9469" max="9469" width="10.83203125" style="778" customWidth="1"/>
    <col min="9470" max="9470" width="11.5" style="778" customWidth="1"/>
    <col min="9471" max="9471" width="19.5" style="778" customWidth="1"/>
    <col min="9472" max="9472" width="12.6640625" style="778" customWidth="1"/>
    <col min="9473" max="9473" width="87.6640625" style="778" customWidth="1"/>
    <col min="9474" max="9715" width="9.33203125" style="778"/>
    <col min="9716" max="9716" width="6.83203125" style="778" bestFit="1" customWidth="1"/>
    <col min="9717" max="9717" width="30.1640625" style="778" customWidth="1"/>
    <col min="9718" max="9718" width="9.5" style="778" customWidth="1"/>
    <col min="9719" max="9719" width="35.5" style="778" customWidth="1"/>
    <col min="9720" max="9720" width="16.83203125" style="778" customWidth="1"/>
    <col min="9721" max="9721" width="16.6640625" style="778" customWidth="1"/>
    <col min="9722" max="9722" width="13.5" style="778" customWidth="1"/>
    <col min="9723" max="9723" width="18.1640625" style="778" customWidth="1"/>
    <col min="9724" max="9724" width="17.1640625" style="778" customWidth="1"/>
    <col min="9725" max="9725" width="10.83203125" style="778" customWidth="1"/>
    <col min="9726" max="9726" width="11.5" style="778" customWidth="1"/>
    <col min="9727" max="9727" width="19.5" style="778" customWidth="1"/>
    <col min="9728" max="9728" width="12.6640625" style="778" customWidth="1"/>
    <col min="9729" max="9729" width="87.6640625" style="778" customWidth="1"/>
    <col min="9730" max="9971" width="9.33203125" style="778"/>
    <col min="9972" max="9972" width="6.83203125" style="778" bestFit="1" customWidth="1"/>
    <col min="9973" max="9973" width="30.1640625" style="778" customWidth="1"/>
    <col min="9974" max="9974" width="9.5" style="778" customWidth="1"/>
    <col min="9975" max="9975" width="35.5" style="778" customWidth="1"/>
    <col min="9976" max="9976" width="16.83203125" style="778" customWidth="1"/>
    <col min="9977" max="9977" width="16.6640625" style="778" customWidth="1"/>
    <col min="9978" max="9978" width="13.5" style="778" customWidth="1"/>
    <col min="9979" max="9979" width="18.1640625" style="778" customWidth="1"/>
    <col min="9980" max="9980" width="17.1640625" style="778" customWidth="1"/>
    <col min="9981" max="9981" width="10.83203125" style="778" customWidth="1"/>
    <col min="9982" max="9982" width="11.5" style="778" customWidth="1"/>
    <col min="9983" max="9983" width="19.5" style="778" customWidth="1"/>
    <col min="9984" max="9984" width="12.6640625" style="778" customWidth="1"/>
    <col min="9985" max="9985" width="87.6640625" style="778" customWidth="1"/>
    <col min="9986" max="10227" width="9.33203125" style="778"/>
    <col min="10228" max="10228" width="6.83203125" style="778" bestFit="1" customWidth="1"/>
    <col min="10229" max="10229" width="30.1640625" style="778" customWidth="1"/>
    <col min="10230" max="10230" width="9.5" style="778" customWidth="1"/>
    <col min="10231" max="10231" width="35.5" style="778" customWidth="1"/>
    <col min="10232" max="10232" width="16.83203125" style="778" customWidth="1"/>
    <col min="10233" max="10233" width="16.6640625" style="778" customWidth="1"/>
    <col min="10234" max="10234" width="13.5" style="778" customWidth="1"/>
    <col min="10235" max="10235" width="18.1640625" style="778" customWidth="1"/>
    <col min="10236" max="10236" width="17.1640625" style="778" customWidth="1"/>
    <col min="10237" max="10237" width="10.83203125" style="778" customWidth="1"/>
    <col min="10238" max="10238" width="11.5" style="778" customWidth="1"/>
    <col min="10239" max="10239" width="19.5" style="778" customWidth="1"/>
    <col min="10240" max="10240" width="12.6640625" style="778" customWidth="1"/>
    <col min="10241" max="10241" width="87.6640625" style="778" customWidth="1"/>
    <col min="10242" max="10483" width="9.33203125" style="778"/>
    <col min="10484" max="10484" width="6.83203125" style="778" bestFit="1" customWidth="1"/>
    <col min="10485" max="10485" width="30.1640625" style="778" customWidth="1"/>
    <col min="10486" max="10486" width="9.5" style="778" customWidth="1"/>
    <col min="10487" max="10487" width="35.5" style="778" customWidth="1"/>
    <col min="10488" max="10488" width="16.83203125" style="778" customWidth="1"/>
    <col min="10489" max="10489" width="16.6640625" style="778" customWidth="1"/>
    <col min="10490" max="10490" width="13.5" style="778" customWidth="1"/>
    <col min="10491" max="10491" width="18.1640625" style="778" customWidth="1"/>
    <col min="10492" max="10492" width="17.1640625" style="778" customWidth="1"/>
    <col min="10493" max="10493" width="10.83203125" style="778" customWidth="1"/>
    <col min="10494" max="10494" width="11.5" style="778" customWidth="1"/>
    <col min="10495" max="10495" width="19.5" style="778" customWidth="1"/>
    <col min="10496" max="10496" width="12.6640625" style="778" customWidth="1"/>
    <col min="10497" max="10497" width="87.6640625" style="778" customWidth="1"/>
    <col min="10498" max="10739" width="9.33203125" style="778"/>
    <col min="10740" max="10740" width="6.83203125" style="778" bestFit="1" customWidth="1"/>
    <col min="10741" max="10741" width="30.1640625" style="778" customWidth="1"/>
    <col min="10742" max="10742" width="9.5" style="778" customWidth="1"/>
    <col min="10743" max="10743" width="35.5" style="778" customWidth="1"/>
    <col min="10744" max="10744" width="16.83203125" style="778" customWidth="1"/>
    <col min="10745" max="10745" width="16.6640625" style="778" customWidth="1"/>
    <col min="10746" max="10746" width="13.5" style="778" customWidth="1"/>
    <col min="10747" max="10747" width="18.1640625" style="778" customWidth="1"/>
    <col min="10748" max="10748" width="17.1640625" style="778" customWidth="1"/>
    <col min="10749" max="10749" width="10.83203125" style="778" customWidth="1"/>
    <col min="10750" max="10750" width="11.5" style="778" customWidth="1"/>
    <col min="10751" max="10751" width="19.5" style="778" customWidth="1"/>
    <col min="10752" max="10752" width="12.6640625" style="778" customWidth="1"/>
    <col min="10753" max="10753" width="87.6640625" style="778" customWidth="1"/>
    <col min="10754" max="10995" width="9.33203125" style="778"/>
    <col min="10996" max="10996" width="6.83203125" style="778" bestFit="1" customWidth="1"/>
    <col min="10997" max="10997" width="30.1640625" style="778" customWidth="1"/>
    <col min="10998" max="10998" width="9.5" style="778" customWidth="1"/>
    <col min="10999" max="10999" width="35.5" style="778" customWidth="1"/>
    <col min="11000" max="11000" width="16.83203125" style="778" customWidth="1"/>
    <col min="11001" max="11001" width="16.6640625" style="778" customWidth="1"/>
    <col min="11002" max="11002" width="13.5" style="778" customWidth="1"/>
    <col min="11003" max="11003" width="18.1640625" style="778" customWidth="1"/>
    <col min="11004" max="11004" width="17.1640625" style="778" customWidth="1"/>
    <col min="11005" max="11005" width="10.83203125" style="778" customWidth="1"/>
    <col min="11006" max="11006" width="11.5" style="778" customWidth="1"/>
    <col min="11007" max="11007" width="19.5" style="778" customWidth="1"/>
    <col min="11008" max="11008" width="12.6640625" style="778" customWidth="1"/>
    <col min="11009" max="11009" width="87.6640625" style="778" customWidth="1"/>
    <col min="11010" max="11251" width="9.33203125" style="778"/>
    <col min="11252" max="11252" width="6.83203125" style="778" bestFit="1" customWidth="1"/>
    <col min="11253" max="11253" width="30.1640625" style="778" customWidth="1"/>
    <col min="11254" max="11254" width="9.5" style="778" customWidth="1"/>
    <col min="11255" max="11255" width="35.5" style="778" customWidth="1"/>
    <col min="11256" max="11256" width="16.83203125" style="778" customWidth="1"/>
    <col min="11257" max="11257" width="16.6640625" style="778" customWidth="1"/>
    <col min="11258" max="11258" width="13.5" style="778" customWidth="1"/>
    <col min="11259" max="11259" width="18.1640625" style="778" customWidth="1"/>
    <col min="11260" max="11260" width="17.1640625" style="778" customWidth="1"/>
    <col min="11261" max="11261" width="10.83203125" style="778" customWidth="1"/>
    <col min="11262" max="11262" width="11.5" style="778" customWidth="1"/>
    <col min="11263" max="11263" width="19.5" style="778" customWidth="1"/>
    <col min="11264" max="11264" width="12.6640625" style="778" customWidth="1"/>
    <col min="11265" max="11265" width="87.6640625" style="778" customWidth="1"/>
    <col min="11266" max="11507" width="9.33203125" style="778"/>
    <col min="11508" max="11508" width="6.83203125" style="778" bestFit="1" customWidth="1"/>
    <col min="11509" max="11509" width="30.1640625" style="778" customWidth="1"/>
    <col min="11510" max="11510" width="9.5" style="778" customWidth="1"/>
    <col min="11511" max="11511" width="35.5" style="778" customWidth="1"/>
    <col min="11512" max="11512" width="16.83203125" style="778" customWidth="1"/>
    <col min="11513" max="11513" width="16.6640625" style="778" customWidth="1"/>
    <col min="11514" max="11514" width="13.5" style="778" customWidth="1"/>
    <col min="11515" max="11515" width="18.1640625" style="778" customWidth="1"/>
    <col min="11516" max="11516" width="17.1640625" style="778" customWidth="1"/>
    <col min="11517" max="11517" width="10.83203125" style="778" customWidth="1"/>
    <col min="11518" max="11518" width="11.5" style="778" customWidth="1"/>
    <col min="11519" max="11519" width="19.5" style="778" customWidth="1"/>
    <col min="11520" max="11520" width="12.6640625" style="778" customWidth="1"/>
    <col min="11521" max="11521" width="87.6640625" style="778" customWidth="1"/>
    <col min="11522" max="11763" width="9.33203125" style="778"/>
    <col min="11764" max="11764" width="6.83203125" style="778" bestFit="1" customWidth="1"/>
    <col min="11765" max="11765" width="30.1640625" style="778" customWidth="1"/>
    <col min="11766" max="11766" width="9.5" style="778" customWidth="1"/>
    <col min="11767" max="11767" width="35.5" style="778" customWidth="1"/>
    <col min="11768" max="11768" width="16.83203125" style="778" customWidth="1"/>
    <col min="11769" max="11769" width="16.6640625" style="778" customWidth="1"/>
    <col min="11770" max="11770" width="13.5" style="778" customWidth="1"/>
    <col min="11771" max="11771" width="18.1640625" style="778" customWidth="1"/>
    <col min="11772" max="11772" width="17.1640625" style="778" customWidth="1"/>
    <col min="11773" max="11773" width="10.83203125" style="778" customWidth="1"/>
    <col min="11774" max="11774" width="11.5" style="778" customWidth="1"/>
    <col min="11775" max="11775" width="19.5" style="778" customWidth="1"/>
    <col min="11776" max="11776" width="12.6640625" style="778" customWidth="1"/>
    <col min="11777" max="11777" width="87.6640625" style="778" customWidth="1"/>
    <col min="11778" max="12019" width="9.33203125" style="778"/>
    <col min="12020" max="12020" width="6.83203125" style="778" bestFit="1" customWidth="1"/>
    <col min="12021" max="12021" width="30.1640625" style="778" customWidth="1"/>
    <col min="12022" max="12022" width="9.5" style="778" customWidth="1"/>
    <col min="12023" max="12023" width="35.5" style="778" customWidth="1"/>
    <col min="12024" max="12024" width="16.83203125" style="778" customWidth="1"/>
    <col min="12025" max="12025" width="16.6640625" style="778" customWidth="1"/>
    <col min="12026" max="12026" width="13.5" style="778" customWidth="1"/>
    <col min="12027" max="12027" width="18.1640625" style="778" customWidth="1"/>
    <col min="12028" max="12028" width="17.1640625" style="778" customWidth="1"/>
    <col min="12029" max="12029" width="10.83203125" style="778" customWidth="1"/>
    <col min="12030" max="12030" width="11.5" style="778" customWidth="1"/>
    <col min="12031" max="12031" width="19.5" style="778" customWidth="1"/>
    <col min="12032" max="12032" width="12.6640625" style="778" customWidth="1"/>
    <col min="12033" max="12033" width="87.6640625" style="778" customWidth="1"/>
    <col min="12034" max="12275" width="9.33203125" style="778"/>
    <col min="12276" max="12276" width="6.83203125" style="778" bestFit="1" customWidth="1"/>
    <col min="12277" max="12277" width="30.1640625" style="778" customWidth="1"/>
    <col min="12278" max="12278" width="9.5" style="778" customWidth="1"/>
    <col min="12279" max="12279" width="35.5" style="778" customWidth="1"/>
    <col min="12280" max="12280" width="16.83203125" style="778" customWidth="1"/>
    <col min="12281" max="12281" width="16.6640625" style="778" customWidth="1"/>
    <col min="12282" max="12282" width="13.5" style="778" customWidth="1"/>
    <col min="12283" max="12283" width="18.1640625" style="778" customWidth="1"/>
    <col min="12284" max="12284" width="17.1640625" style="778" customWidth="1"/>
    <col min="12285" max="12285" width="10.83203125" style="778" customWidth="1"/>
    <col min="12286" max="12286" width="11.5" style="778" customWidth="1"/>
    <col min="12287" max="12287" width="19.5" style="778" customWidth="1"/>
    <col min="12288" max="12288" width="12.6640625" style="778" customWidth="1"/>
    <col min="12289" max="12289" width="87.6640625" style="778" customWidth="1"/>
    <col min="12290" max="12531" width="9.33203125" style="778"/>
    <col min="12532" max="12532" width="6.83203125" style="778" bestFit="1" customWidth="1"/>
    <col min="12533" max="12533" width="30.1640625" style="778" customWidth="1"/>
    <col min="12534" max="12534" width="9.5" style="778" customWidth="1"/>
    <col min="12535" max="12535" width="35.5" style="778" customWidth="1"/>
    <col min="12536" max="12536" width="16.83203125" style="778" customWidth="1"/>
    <col min="12537" max="12537" width="16.6640625" style="778" customWidth="1"/>
    <col min="12538" max="12538" width="13.5" style="778" customWidth="1"/>
    <col min="12539" max="12539" width="18.1640625" style="778" customWidth="1"/>
    <col min="12540" max="12540" width="17.1640625" style="778" customWidth="1"/>
    <col min="12541" max="12541" width="10.83203125" style="778" customWidth="1"/>
    <col min="12542" max="12542" width="11.5" style="778" customWidth="1"/>
    <col min="12543" max="12543" width="19.5" style="778" customWidth="1"/>
    <col min="12544" max="12544" width="12.6640625" style="778" customWidth="1"/>
    <col min="12545" max="12545" width="87.6640625" style="778" customWidth="1"/>
    <col min="12546" max="12787" width="9.33203125" style="778"/>
    <col min="12788" max="12788" width="6.83203125" style="778" bestFit="1" customWidth="1"/>
    <col min="12789" max="12789" width="30.1640625" style="778" customWidth="1"/>
    <col min="12790" max="12790" width="9.5" style="778" customWidth="1"/>
    <col min="12791" max="12791" width="35.5" style="778" customWidth="1"/>
    <col min="12792" max="12792" width="16.83203125" style="778" customWidth="1"/>
    <col min="12793" max="12793" width="16.6640625" style="778" customWidth="1"/>
    <col min="12794" max="12794" width="13.5" style="778" customWidth="1"/>
    <col min="12795" max="12795" width="18.1640625" style="778" customWidth="1"/>
    <col min="12796" max="12796" width="17.1640625" style="778" customWidth="1"/>
    <col min="12797" max="12797" width="10.83203125" style="778" customWidth="1"/>
    <col min="12798" max="12798" width="11.5" style="778" customWidth="1"/>
    <col min="12799" max="12799" width="19.5" style="778" customWidth="1"/>
    <col min="12800" max="12800" width="12.6640625" style="778" customWidth="1"/>
    <col min="12801" max="12801" width="87.6640625" style="778" customWidth="1"/>
    <col min="12802" max="13043" width="9.33203125" style="778"/>
    <col min="13044" max="13044" width="6.83203125" style="778" bestFit="1" customWidth="1"/>
    <col min="13045" max="13045" width="30.1640625" style="778" customWidth="1"/>
    <col min="13046" max="13046" width="9.5" style="778" customWidth="1"/>
    <col min="13047" max="13047" width="35.5" style="778" customWidth="1"/>
    <col min="13048" max="13048" width="16.83203125" style="778" customWidth="1"/>
    <col min="13049" max="13049" width="16.6640625" style="778" customWidth="1"/>
    <col min="13050" max="13050" width="13.5" style="778" customWidth="1"/>
    <col min="13051" max="13051" width="18.1640625" style="778" customWidth="1"/>
    <col min="13052" max="13052" width="17.1640625" style="778" customWidth="1"/>
    <col min="13053" max="13053" width="10.83203125" style="778" customWidth="1"/>
    <col min="13054" max="13054" width="11.5" style="778" customWidth="1"/>
    <col min="13055" max="13055" width="19.5" style="778" customWidth="1"/>
    <col min="13056" max="13056" width="12.6640625" style="778" customWidth="1"/>
    <col min="13057" max="13057" width="87.6640625" style="778" customWidth="1"/>
    <col min="13058" max="13299" width="9.33203125" style="778"/>
    <col min="13300" max="13300" width="6.83203125" style="778" bestFit="1" customWidth="1"/>
    <col min="13301" max="13301" width="30.1640625" style="778" customWidth="1"/>
    <col min="13302" max="13302" width="9.5" style="778" customWidth="1"/>
    <col min="13303" max="13303" width="35.5" style="778" customWidth="1"/>
    <col min="13304" max="13304" width="16.83203125" style="778" customWidth="1"/>
    <col min="13305" max="13305" width="16.6640625" style="778" customWidth="1"/>
    <col min="13306" max="13306" width="13.5" style="778" customWidth="1"/>
    <col min="13307" max="13307" width="18.1640625" style="778" customWidth="1"/>
    <col min="13308" max="13308" width="17.1640625" style="778" customWidth="1"/>
    <col min="13309" max="13309" width="10.83203125" style="778" customWidth="1"/>
    <col min="13310" max="13310" width="11.5" style="778" customWidth="1"/>
    <col min="13311" max="13311" width="19.5" style="778" customWidth="1"/>
    <col min="13312" max="13312" width="12.6640625" style="778" customWidth="1"/>
    <col min="13313" max="13313" width="87.6640625" style="778" customWidth="1"/>
    <col min="13314" max="13555" width="9.33203125" style="778"/>
    <col min="13556" max="13556" width="6.83203125" style="778" bestFit="1" customWidth="1"/>
    <col min="13557" max="13557" width="30.1640625" style="778" customWidth="1"/>
    <col min="13558" max="13558" width="9.5" style="778" customWidth="1"/>
    <col min="13559" max="13559" width="35.5" style="778" customWidth="1"/>
    <col min="13560" max="13560" width="16.83203125" style="778" customWidth="1"/>
    <col min="13561" max="13561" width="16.6640625" style="778" customWidth="1"/>
    <col min="13562" max="13562" width="13.5" style="778" customWidth="1"/>
    <col min="13563" max="13563" width="18.1640625" style="778" customWidth="1"/>
    <col min="13564" max="13564" width="17.1640625" style="778" customWidth="1"/>
    <col min="13565" max="13565" width="10.83203125" style="778" customWidth="1"/>
    <col min="13566" max="13566" width="11.5" style="778" customWidth="1"/>
    <col min="13567" max="13567" width="19.5" style="778" customWidth="1"/>
    <col min="13568" max="13568" width="12.6640625" style="778" customWidth="1"/>
    <col min="13569" max="13569" width="87.6640625" style="778" customWidth="1"/>
    <col min="13570" max="13811" width="9.33203125" style="778"/>
    <col min="13812" max="13812" width="6.83203125" style="778" bestFit="1" customWidth="1"/>
    <col min="13813" max="13813" width="30.1640625" style="778" customWidth="1"/>
    <col min="13814" max="13814" width="9.5" style="778" customWidth="1"/>
    <col min="13815" max="13815" width="35.5" style="778" customWidth="1"/>
    <col min="13816" max="13816" width="16.83203125" style="778" customWidth="1"/>
    <col min="13817" max="13817" width="16.6640625" style="778" customWidth="1"/>
    <col min="13818" max="13818" width="13.5" style="778" customWidth="1"/>
    <col min="13819" max="13819" width="18.1640625" style="778" customWidth="1"/>
    <col min="13820" max="13820" width="17.1640625" style="778" customWidth="1"/>
    <col min="13821" max="13821" width="10.83203125" style="778" customWidth="1"/>
    <col min="13822" max="13822" width="11.5" style="778" customWidth="1"/>
    <col min="13823" max="13823" width="19.5" style="778" customWidth="1"/>
    <col min="13824" max="13824" width="12.6640625" style="778" customWidth="1"/>
    <col min="13825" max="13825" width="87.6640625" style="778" customWidth="1"/>
    <col min="13826" max="14067" width="9.33203125" style="778"/>
    <col min="14068" max="14068" width="6.83203125" style="778" bestFit="1" customWidth="1"/>
    <col min="14069" max="14069" width="30.1640625" style="778" customWidth="1"/>
    <col min="14070" max="14070" width="9.5" style="778" customWidth="1"/>
    <col min="14071" max="14071" width="35.5" style="778" customWidth="1"/>
    <col min="14072" max="14072" width="16.83203125" style="778" customWidth="1"/>
    <col min="14073" max="14073" width="16.6640625" style="778" customWidth="1"/>
    <col min="14074" max="14074" width="13.5" style="778" customWidth="1"/>
    <col min="14075" max="14075" width="18.1640625" style="778" customWidth="1"/>
    <col min="14076" max="14076" width="17.1640625" style="778" customWidth="1"/>
    <col min="14077" max="14077" width="10.83203125" style="778" customWidth="1"/>
    <col min="14078" max="14078" width="11.5" style="778" customWidth="1"/>
    <col min="14079" max="14079" width="19.5" style="778" customWidth="1"/>
    <col min="14080" max="14080" width="12.6640625" style="778" customWidth="1"/>
    <col min="14081" max="14081" width="87.6640625" style="778" customWidth="1"/>
    <col min="14082" max="14323" width="9.33203125" style="778"/>
    <col min="14324" max="14324" width="6.83203125" style="778" bestFit="1" customWidth="1"/>
    <col min="14325" max="14325" width="30.1640625" style="778" customWidth="1"/>
    <col min="14326" max="14326" width="9.5" style="778" customWidth="1"/>
    <col min="14327" max="14327" width="35.5" style="778" customWidth="1"/>
    <col min="14328" max="14328" width="16.83203125" style="778" customWidth="1"/>
    <col min="14329" max="14329" width="16.6640625" style="778" customWidth="1"/>
    <col min="14330" max="14330" width="13.5" style="778" customWidth="1"/>
    <col min="14331" max="14331" width="18.1640625" style="778" customWidth="1"/>
    <col min="14332" max="14332" width="17.1640625" style="778" customWidth="1"/>
    <col min="14333" max="14333" width="10.83203125" style="778" customWidth="1"/>
    <col min="14334" max="14334" width="11.5" style="778" customWidth="1"/>
    <col min="14335" max="14335" width="19.5" style="778" customWidth="1"/>
    <col min="14336" max="14336" width="12.6640625" style="778" customWidth="1"/>
    <col min="14337" max="14337" width="87.6640625" style="778" customWidth="1"/>
    <col min="14338" max="14579" width="9.33203125" style="778"/>
    <col min="14580" max="14580" width="6.83203125" style="778" bestFit="1" customWidth="1"/>
    <col min="14581" max="14581" width="30.1640625" style="778" customWidth="1"/>
    <col min="14582" max="14582" width="9.5" style="778" customWidth="1"/>
    <col min="14583" max="14583" width="35.5" style="778" customWidth="1"/>
    <col min="14584" max="14584" width="16.83203125" style="778" customWidth="1"/>
    <col min="14585" max="14585" width="16.6640625" style="778" customWidth="1"/>
    <col min="14586" max="14586" width="13.5" style="778" customWidth="1"/>
    <col min="14587" max="14587" width="18.1640625" style="778" customWidth="1"/>
    <col min="14588" max="14588" width="17.1640625" style="778" customWidth="1"/>
    <col min="14589" max="14589" width="10.83203125" style="778" customWidth="1"/>
    <col min="14590" max="14590" width="11.5" style="778" customWidth="1"/>
    <col min="14591" max="14591" width="19.5" style="778" customWidth="1"/>
    <col min="14592" max="14592" width="12.6640625" style="778" customWidth="1"/>
    <col min="14593" max="14593" width="87.6640625" style="778" customWidth="1"/>
    <col min="14594" max="14835" width="9.33203125" style="778"/>
    <col min="14836" max="14836" width="6.83203125" style="778" bestFit="1" customWidth="1"/>
    <col min="14837" max="14837" width="30.1640625" style="778" customWidth="1"/>
    <col min="14838" max="14838" width="9.5" style="778" customWidth="1"/>
    <col min="14839" max="14839" width="35.5" style="778" customWidth="1"/>
    <col min="14840" max="14840" width="16.83203125" style="778" customWidth="1"/>
    <col min="14841" max="14841" width="16.6640625" style="778" customWidth="1"/>
    <col min="14842" max="14842" width="13.5" style="778" customWidth="1"/>
    <col min="14843" max="14843" width="18.1640625" style="778" customWidth="1"/>
    <col min="14844" max="14844" width="17.1640625" style="778" customWidth="1"/>
    <col min="14845" max="14845" width="10.83203125" style="778" customWidth="1"/>
    <col min="14846" max="14846" width="11.5" style="778" customWidth="1"/>
    <col min="14847" max="14847" width="19.5" style="778" customWidth="1"/>
    <col min="14848" max="14848" width="12.6640625" style="778" customWidth="1"/>
    <col min="14849" max="14849" width="87.6640625" style="778" customWidth="1"/>
    <col min="14850" max="15091" width="9.33203125" style="778"/>
    <col min="15092" max="15092" width="6.83203125" style="778" bestFit="1" customWidth="1"/>
    <col min="15093" max="15093" width="30.1640625" style="778" customWidth="1"/>
    <col min="15094" max="15094" width="9.5" style="778" customWidth="1"/>
    <col min="15095" max="15095" width="35.5" style="778" customWidth="1"/>
    <col min="15096" max="15096" width="16.83203125" style="778" customWidth="1"/>
    <col min="15097" max="15097" width="16.6640625" style="778" customWidth="1"/>
    <col min="15098" max="15098" width="13.5" style="778" customWidth="1"/>
    <col min="15099" max="15099" width="18.1640625" style="778" customWidth="1"/>
    <col min="15100" max="15100" width="17.1640625" style="778" customWidth="1"/>
    <col min="15101" max="15101" width="10.83203125" style="778" customWidth="1"/>
    <col min="15102" max="15102" width="11.5" style="778" customWidth="1"/>
    <col min="15103" max="15103" width="19.5" style="778" customWidth="1"/>
    <col min="15104" max="15104" width="12.6640625" style="778" customWidth="1"/>
    <col min="15105" max="15105" width="87.6640625" style="778" customWidth="1"/>
    <col min="15106" max="15347" width="9.33203125" style="778"/>
    <col min="15348" max="15348" width="6.83203125" style="778" bestFit="1" customWidth="1"/>
    <col min="15349" max="15349" width="30.1640625" style="778" customWidth="1"/>
    <col min="15350" max="15350" width="9.5" style="778" customWidth="1"/>
    <col min="15351" max="15351" width="35.5" style="778" customWidth="1"/>
    <col min="15352" max="15352" width="16.83203125" style="778" customWidth="1"/>
    <col min="15353" max="15353" width="16.6640625" style="778" customWidth="1"/>
    <col min="15354" max="15354" width="13.5" style="778" customWidth="1"/>
    <col min="15355" max="15355" width="18.1640625" style="778" customWidth="1"/>
    <col min="15356" max="15356" width="17.1640625" style="778" customWidth="1"/>
    <col min="15357" max="15357" width="10.83203125" style="778" customWidth="1"/>
    <col min="15358" max="15358" width="11.5" style="778" customWidth="1"/>
    <col min="15359" max="15359" width="19.5" style="778" customWidth="1"/>
    <col min="15360" max="15360" width="12.6640625" style="778" customWidth="1"/>
    <col min="15361" max="15361" width="87.6640625" style="778" customWidth="1"/>
    <col min="15362" max="15603" width="9.33203125" style="778"/>
    <col min="15604" max="15604" width="6.83203125" style="778" bestFit="1" customWidth="1"/>
    <col min="15605" max="15605" width="30.1640625" style="778" customWidth="1"/>
    <col min="15606" max="15606" width="9.5" style="778" customWidth="1"/>
    <col min="15607" max="15607" width="35.5" style="778" customWidth="1"/>
    <col min="15608" max="15608" width="16.83203125" style="778" customWidth="1"/>
    <col min="15609" max="15609" width="16.6640625" style="778" customWidth="1"/>
    <col min="15610" max="15610" width="13.5" style="778" customWidth="1"/>
    <col min="15611" max="15611" width="18.1640625" style="778" customWidth="1"/>
    <col min="15612" max="15612" width="17.1640625" style="778" customWidth="1"/>
    <col min="15613" max="15613" width="10.83203125" style="778" customWidth="1"/>
    <col min="15614" max="15614" width="11.5" style="778" customWidth="1"/>
    <col min="15615" max="15615" width="19.5" style="778" customWidth="1"/>
    <col min="15616" max="15616" width="12.6640625" style="778" customWidth="1"/>
    <col min="15617" max="15617" width="87.6640625" style="778" customWidth="1"/>
    <col min="15618" max="15859" width="9.33203125" style="778"/>
    <col min="15860" max="15860" width="6.83203125" style="778" bestFit="1" customWidth="1"/>
    <col min="15861" max="15861" width="30.1640625" style="778" customWidth="1"/>
    <col min="15862" max="15862" width="9.5" style="778" customWidth="1"/>
    <col min="15863" max="15863" width="35.5" style="778" customWidth="1"/>
    <col min="15864" max="15864" width="16.83203125" style="778" customWidth="1"/>
    <col min="15865" max="15865" width="16.6640625" style="778" customWidth="1"/>
    <col min="15866" max="15866" width="13.5" style="778" customWidth="1"/>
    <col min="15867" max="15867" width="18.1640625" style="778" customWidth="1"/>
    <col min="15868" max="15868" width="17.1640625" style="778" customWidth="1"/>
    <col min="15869" max="15869" width="10.83203125" style="778" customWidth="1"/>
    <col min="15870" max="15870" width="11.5" style="778" customWidth="1"/>
    <col min="15871" max="15871" width="19.5" style="778" customWidth="1"/>
    <col min="15872" max="15872" width="12.6640625" style="778" customWidth="1"/>
    <col min="15873" max="15873" width="87.6640625" style="778" customWidth="1"/>
    <col min="15874" max="16115" width="9.33203125" style="778"/>
    <col min="16116" max="16116" width="6.83203125" style="778" bestFit="1" customWidth="1"/>
    <col min="16117" max="16117" width="30.1640625" style="778" customWidth="1"/>
    <col min="16118" max="16118" width="9.5" style="778" customWidth="1"/>
    <col min="16119" max="16119" width="35.5" style="778" customWidth="1"/>
    <col min="16120" max="16120" width="16.83203125" style="778" customWidth="1"/>
    <col min="16121" max="16121" width="16.6640625" style="778" customWidth="1"/>
    <col min="16122" max="16122" width="13.5" style="778" customWidth="1"/>
    <col min="16123" max="16123" width="18.1640625" style="778" customWidth="1"/>
    <col min="16124" max="16124" width="17.1640625" style="778" customWidth="1"/>
    <col min="16125" max="16125" width="10.83203125" style="778" customWidth="1"/>
    <col min="16126" max="16126" width="11.5" style="778" customWidth="1"/>
    <col min="16127" max="16127" width="19.5" style="778" customWidth="1"/>
    <col min="16128" max="16128" width="12.6640625" style="778" customWidth="1"/>
    <col min="16129" max="16129" width="87.6640625" style="778" customWidth="1"/>
    <col min="16130" max="16384" width="9.33203125" style="778"/>
  </cols>
  <sheetData>
    <row r="1" spans="1:12" ht="19.5" customHeight="1" x14ac:dyDescent="0.2">
      <c r="A1" s="2786" t="s">
        <v>1254</v>
      </c>
      <c r="B1" s="2786"/>
      <c r="C1" s="2786"/>
      <c r="D1" s="2786"/>
      <c r="E1" s="2786"/>
      <c r="F1" s="2786"/>
      <c r="G1" s="2786"/>
      <c r="H1" s="2786"/>
      <c r="I1" s="2786"/>
      <c r="J1" s="2786"/>
      <c r="K1" s="2786"/>
      <c r="L1" s="2786"/>
    </row>
    <row r="2" spans="1:12" ht="19.5" customHeight="1" x14ac:dyDescent="0.2">
      <c r="C2" s="780"/>
      <c r="D2" s="780"/>
      <c r="E2" s="780"/>
      <c r="F2" s="780"/>
      <c r="G2" s="780"/>
      <c r="H2" s="780"/>
      <c r="I2" s="780"/>
    </row>
    <row r="3" spans="1:12" ht="31.5" customHeight="1" x14ac:dyDescent="0.2">
      <c r="A3" s="2787" t="s">
        <v>1255</v>
      </c>
      <c r="B3" s="2787"/>
      <c r="C3" s="2787"/>
      <c r="D3" s="2787"/>
      <c r="E3" s="2787"/>
      <c r="F3" s="2787"/>
      <c r="G3" s="2787"/>
      <c r="H3" s="2787"/>
      <c r="I3" s="2787"/>
      <c r="J3" s="2787"/>
      <c r="K3" s="2787"/>
      <c r="L3" s="2787"/>
    </row>
    <row r="4" spans="1:12" ht="31.5" customHeight="1" x14ac:dyDescent="0.2">
      <c r="A4" s="781"/>
      <c r="B4" s="781"/>
      <c r="C4" s="781"/>
      <c r="D4" s="781"/>
      <c r="E4" s="781"/>
      <c r="F4" s="781"/>
      <c r="G4" s="781"/>
      <c r="H4" s="781"/>
      <c r="I4" s="781"/>
      <c r="J4" s="781"/>
      <c r="K4" s="782" t="s">
        <v>176</v>
      </c>
      <c r="L4" s="783" t="s">
        <v>1701</v>
      </c>
    </row>
    <row r="5" spans="1:12" ht="17.25" customHeight="1" x14ac:dyDescent="0.2">
      <c r="A5" s="2788" t="s">
        <v>78</v>
      </c>
      <c r="B5" s="2788" t="s">
        <v>177</v>
      </c>
      <c r="C5" s="2790" t="s">
        <v>178</v>
      </c>
      <c r="D5" s="2791" t="s">
        <v>179</v>
      </c>
      <c r="E5" s="2790">
        <v>2020</v>
      </c>
      <c r="F5" s="2790"/>
      <c r="G5" s="2790"/>
      <c r="H5" s="2790"/>
      <c r="I5" s="2790"/>
      <c r="J5" s="2792" t="s">
        <v>180</v>
      </c>
      <c r="K5" s="2792" t="s">
        <v>181</v>
      </c>
      <c r="L5" s="2794" t="s">
        <v>182</v>
      </c>
    </row>
    <row r="6" spans="1:12" ht="31.5" customHeight="1" x14ac:dyDescent="0.2">
      <c r="A6" s="2789"/>
      <c r="B6" s="2789"/>
      <c r="C6" s="2790"/>
      <c r="D6" s="2791"/>
      <c r="E6" s="784" t="s">
        <v>183</v>
      </c>
      <c r="F6" s="784" t="s">
        <v>184</v>
      </c>
      <c r="G6" s="784" t="s">
        <v>185</v>
      </c>
      <c r="H6" s="784" t="s">
        <v>186</v>
      </c>
      <c r="I6" s="785" t="s">
        <v>187</v>
      </c>
      <c r="J6" s="2793"/>
      <c r="K6" s="2793"/>
      <c r="L6" s="2795"/>
    </row>
    <row r="7" spans="1:12" s="792" customFormat="1" ht="13.5" x14ac:dyDescent="0.2">
      <c r="A7" s="786"/>
      <c r="B7" s="787" t="s">
        <v>1256</v>
      </c>
      <c r="C7" s="788"/>
      <c r="D7" s="787"/>
      <c r="E7" s="789">
        <f>E8+E15+E23</f>
        <v>237.4</v>
      </c>
      <c r="F7" s="790">
        <f>F8+F15+F23</f>
        <v>13</v>
      </c>
      <c r="G7" s="790">
        <f>G8+G15+G23</f>
        <v>42</v>
      </c>
      <c r="H7" s="789"/>
      <c r="I7" s="789">
        <f>E7</f>
        <v>237.4</v>
      </c>
      <c r="J7" s="840"/>
      <c r="K7" s="840"/>
      <c r="L7" s="791"/>
    </row>
    <row r="8" spans="1:12" s="799" customFormat="1" ht="18.95" customHeight="1" x14ac:dyDescent="0.2">
      <c r="A8" s="793" t="s">
        <v>1041</v>
      </c>
      <c r="B8" s="794"/>
      <c r="C8" s="795" t="s">
        <v>189</v>
      </c>
      <c r="D8" s="794" t="s">
        <v>190</v>
      </c>
      <c r="E8" s="796">
        <f>E9+E10+E11</f>
        <v>13.5</v>
      </c>
      <c r="F8" s="797">
        <f t="shared" ref="F8:G8" si="0">F9+F10+F11</f>
        <v>4</v>
      </c>
      <c r="G8" s="797">
        <f t="shared" si="0"/>
        <v>22</v>
      </c>
      <c r="H8" s="796"/>
      <c r="I8" s="796">
        <f>I9+I10+I11+I12+I13+I14</f>
        <v>13.5</v>
      </c>
      <c r="J8" s="796">
        <v>13.5</v>
      </c>
      <c r="K8" s="796">
        <v>13.5</v>
      </c>
      <c r="L8" s="798"/>
    </row>
    <row r="9" spans="1:12" s="808" customFormat="1" ht="36" customHeight="1" x14ac:dyDescent="0.2">
      <c r="A9" s="800" t="s">
        <v>779</v>
      </c>
      <c r="B9" s="801"/>
      <c r="C9" s="795" t="s">
        <v>189</v>
      </c>
      <c r="D9" s="802" t="s">
        <v>191</v>
      </c>
      <c r="E9" s="803">
        <f>0.5*G9*F9</f>
        <v>5</v>
      </c>
      <c r="F9" s="804">
        <v>1</v>
      </c>
      <c r="G9" s="804">
        <v>10</v>
      </c>
      <c r="H9" s="805" t="s">
        <v>1696</v>
      </c>
      <c r="I9" s="806">
        <f>E9-5</f>
        <v>0</v>
      </c>
      <c r="J9" s="806">
        <v>5</v>
      </c>
      <c r="K9" s="806">
        <v>5</v>
      </c>
      <c r="L9" s="807" t="s">
        <v>1258</v>
      </c>
    </row>
    <row r="10" spans="1:12" s="808" customFormat="1" ht="41.45" customHeight="1" x14ac:dyDescent="0.2">
      <c r="A10" s="800" t="s">
        <v>782</v>
      </c>
      <c r="B10" s="801"/>
      <c r="C10" s="795" t="s">
        <v>189</v>
      </c>
      <c r="D10" s="802" t="s">
        <v>191</v>
      </c>
      <c r="E10" s="803">
        <f>0.5*G10*F10</f>
        <v>5</v>
      </c>
      <c r="F10" s="804">
        <v>2</v>
      </c>
      <c r="G10" s="804">
        <v>5</v>
      </c>
      <c r="H10" s="809" t="s">
        <v>1259</v>
      </c>
      <c r="I10" s="810">
        <f>E10</f>
        <v>5</v>
      </c>
      <c r="J10" s="806">
        <v>5</v>
      </c>
      <c r="K10" s="806">
        <v>5</v>
      </c>
      <c r="L10" s="798"/>
    </row>
    <row r="11" spans="1:12" s="808" customFormat="1" ht="47.45" customHeight="1" x14ac:dyDescent="0.2">
      <c r="A11" s="800" t="s">
        <v>784</v>
      </c>
      <c r="B11" s="801"/>
      <c r="C11" s="795" t="s">
        <v>189</v>
      </c>
      <c r="D11" s="802" t="s">
        <v>191</v>
      </c>
      <c r="E11" s="803">
        <f>0.5*G11*F11</f>
        <v>3.5</v>
      </c>
      <c r="F11" s="804">
        <v>1</v>
      </c>
      <c r="G11" s="804">
        <v>7</v>
      </c>
      <c r="H11" s="809" t="s">
        <v>1260</v>
      </c>
      <c r="I11" s="810">
        <f>E11-3.5</f>
        <v>0</v>
      </c>
      <c r="J11" s="806">
        <v>3.5</v>
      </c>
      <c r="K11" s="806">
        <v>3.5</v>
      </c>
      <c r="L11" s="811"/>
    </row>
    <row r="12" spans="1:12" s="808" customFormat="1" ht="47.45" customHeight="1" x14ac:dyDescent="0.2">
      <c r="A12" s="800" t="s">
        <v>1056</v>
      </c>
      <c r="B12" s="801"/>
      <c r="C12" s="795" t="s">
        <v>189</v>
      </c>
      <c r="D12" s="802" t="s">
        <v>191</v>
      </c>
      <c r="E12" s="803">
        <v>2</v>
      </c>
      <c r="F12" s="804">
        <v>1</v>
      </c>
      <c r="G12" s="804">
        <v>4</v>
      </c>
      <c r="H12" s="809" t="s">
        <v>1260</v>
      </c>
      <c r="I12" s="810">
        <f>E12</f>
        <v>2</v>
      </c>
      <c r="J12" s="806"/>
      <c r="K12" s="806"/>
      <c r="L12" s="811"/>
    </row>
    <row r="13" spans="1:12" s="808" customFormat="1" ht="47.45" customHeight="1" x14ac:dyDescent="0.2">
      <c r="A13" s="800" t="s">
        <v>1702</v>
      </c>
      <c r="B13" s="801"/>
      <c r="C13" s="795" t="s">
        <v>189</v>
      </c>
      <c r="D13" s="802" t="s">
        <v>191</v>
      </c>
      <c r="E13" s="803">
        <v>4.5</v>
      </c>
      <c r="F13" s="804">
        <v>1</v>
      </c>
      <c r="G13" s="804">
        <v>9</v>
      </c>
      <c r="H13" s="2144" t="s">
        <v>1257</v>
      </c>
      <c r="I13" s="810">
        <f>E13</f>
        <v>4.5</v>
      </c>
      <c r="J13" s="806"/>
      <c r="K13" s="806"/>
      <c r="L13" s="811"/>
    </row>
    <row r="14" spans="1:12" s="808" customFormat="1" ht="47.45" customHeight="1" x14ac:dyDescent="0.2">
      <c r="A14" s="800" t="s">
        <v>1703</v>
      </c>
      <c r="B14" s="801"/>
      <c r="C14" s="795" t="s">
        <v>189</v>
      </c>
      <c r="D14" s="802" t="s">
        <v>191</v>
      </c>
      <c r="E14" s="803">
        <v>2</v>
      </c>
      <c r="F14" s="804">
        <v>1</v>
      </c>
      <c r="G14" s="804">
        <v>4</v>
      </c>
      <c r="H14" s="2144" t="s">
        <v>1257</v>
      </c>
      <c r="I14" s="810">
        <f>E14</f>
        <v>2</v>
      </c>
      <c r="J14" s="806"/>
      <c r="K14" s="806"/>
      <c r="L14" s="811"/>
    </row>
    <row r="15" spans="1:12" s="799" customFormat="1" ht="27" x14ac:dyDescent="0.2">
      <c r="A15" s="793" t="s">
        <v>1042</v>
      </c>
      <c r="B15" s="794"/>
      <c r="C15" s="795" t="s">
        <v>192</v>
      </c>
      <c r="D15" s="812" t="s">
        <v>193</v>
      </c>
      <c r="E15" s="796">
        <f t="shared" ref="E15:K15" si="1">E18+E16+E17</f>
        <v>131.9</v>
      </c>
      <c r="F15" s="797">
        <f t="shared" si="1"/>
        <v>5</v>
      </c>
      <c r="G15" s="796">
        <f t="shared" si="1"/>
        <v>0</v>
      </c>
      <c r="H15" s="796"/>
      <c r="I15" s="796">
        <f>I18+I16+I17+I19+I20+I21+I22</f>
        <v>131.9</v>
      </c>
      <c r="J15" s="796">
        <f t="shared" si="1"/>
        <v>131.9</v>
      </c>
      <c r="K15" s="796">
        <f t="shared" si="1"/>
        <v>131.9</v>
      </c>
      <c r="L15" s="798"/>
    </row>
    <row r="16" spans="1:12" s="808" customFormat="1" ht="39.950000000000003" customHeight="1" x14ac:dyDescent="0.2">
      <c r="A16" s="800" t="s">
        <v>1189</v>
      </c>
      <c r="B16" s="801"/>
      <c r="C16" s="795" t="s">
        <v>192</v>
      </c>
      <c r="D16" s="802" t="s">
        <v>194</v>
      </c>
      <c r="E16" s="813">
        <f>42.5*F16</f>
        <v>42.5</v>
      </c>
      <c r="F16" s="804">
        <v>1</v>
      </c>
      <c r="G16" s="813"/>
      <c r="H16" s="805" t="s">
        <v>1257</v>
      </c>
      <c r="I16" s="813">
        <f>E16-42.5</f>
        <v>0</v>
      </c>
      <c r="J16" s="806">
        <v>42.5</v>
      </c>
      <c r="K16" s="806">
        <v>42.5</v>
      </c>
      <c r="L16" s="807" t="s">
        <v>1258</v>
      </c>
    </row>
    <row r="17" spans="1:12" s="808" customFormat="1" ht="38.450000000000003" customHeight="1" x14ac:dyDescent="0.2">
      <c r="A17" s="800" t="s">
        <v>1196</v>
      </c>
      <c r="B17" s="801"/>
      <c r="C17" s="795" t="s">
        <v>192</v>
      </c>
      <c r="D17" s="802" t="s">
        <v>194</v>
      </c>
      <c r="E17" s="813">
        <f>23.1*F17</f>
        <v>46.2</v>
      </c>
      <c r="F17" s="804">
        <v>2</v>
      </c>
      <c r="G17" s="813"/>
      <c r="H17" s="809" t="s">
        <v>1259</v>
      </c>
      <c r="I17" s="813">
        <f>E17</f>
        <v>46.2</v>
      </c>
      <c r="J17" s="806">
        <v>46.2</v>
      </c>
      <c r="K17" s="806">
        <v>46.2</v>
      </c>
      <c r="L17" s="798"/>
    </row>
    <row r="18" spans="1:12" s="808" customFormat="1" ht="42" customHeight="1" x14ac:dyDescent="0.2">
      <c r="A18" s="800" t="s">
        <v>1197</v>
      </c>
      <c r="B18" s="801"/>
      <c r="C18" s="795" t="s">
        <v>192</v>
      </c>
      <c r="D18" s="802" t="s">
        <v>194</v>
      </c>
      <c r="E18" s="813">
        <f>21.6*F18</f>
        <v>43.2</v>
      </c>
      <c r="F18" s="804">
        <v>2</v>
      </c>
      <c r="G18" s="813"/>
      <c r="H18" s="809" t="s">
        <v>1260</v>
      </c>
      <c r="I18" s="813">
        <f>E18-21.6-21.6</f>
        <v>0</v>
      </c>
      <c r="J18" s="806">
        <v>43.2</v>
      </c>
      <c r="K18" s="806">
        <v>43.2</v>
      </c>
      <c r="L18" s="798"/>
    </row>
    <row r="19" spans="1:12" s="808" customFormat="1" ht="42" customHeight="1" x14ac:dyDescent="0.2">
      <c r="A19" s="800" t="s">
        <v>1704</v>
      </c>
      <c r="B19" s="801"/>
      <c r="C19" s="795" t="s">
        <v>192</v>
      </c>
      <c r="D19" s="802" t="s">
        <v>194</v>
      </c>
      <c r="E19" s="813">
        <v>25</v>
      </c>
      <c r="F19" s="804">
        <v>1</v>
      </c>
      <c r="G19" s="813"/>
      <c r="H19" s="809" t="s">
        <v>1260</v>
      </c>
      <c r="I19" s="813">
        <f>E19</f>
        <v>25</v>
      </c>
      <c r="J19" s="806"/>
      <c r="K19" s="806"/>
      <c r="L19" s="798"/>
    </row>
    <row r="20" spans="1:12" s="808" customFormat="1" ht="42" customHeight="1" x14ac:dyDescent="0.2">
      <c r="A20" s="800" t="s">
        <v>1705</v>
      </c>
      <c r="B20" s="801"/>
      <c r="C20" s="795" t="s">
        <v>192</v>
      </c>
      <c r="D20" s="802" t="s">
        <v>194</v>
      </c>
      <c r="E20" s="813">
        <v>27</v>
      </c>
      <c r="F20" s="804">
        <v>1</v>
      </c>
      <c r="G20" s="813"/>
      <c r="H20" s="2144" t="s">
        <v>1699</v>
      </c>
      <c r="I20" s="813">
        <f t="shared" ref="I20:I22" si="2">E20</f>
        <v>27</v>
      </c>
      <c r="J20" s="806"/>
      <c r="K20" s="806"/>
      <c r="L20" s="798"/>
    </row>
    <row r="21" spans="1:12" s="808" customFormat="1" ht="42" customHeight="1" x14ac:dyDescent="0.2">
      <c r="A21" s="800" t="s">
        <v>1706</v>
      </c>
      <c r="B21" s="801"/>
      <c r="C21" s="795" t="s">
        <v>192</v>
      </c>
      <c r="D21" s="802" t="s">
        <v>194</v>
      </c>
      <c r="E21" s="813">
        <v>8.6999999999999993</v>
      </c>
      <c r="F21" s="804">
        <v>1</v>
      </c>
      <c r="G21" s="813"/>
      <c r="H21" s="2144" t="s">
        <v>1700</v>
      </c>
      <c r="I21" s="813">
        <f t="shared" si="2"/>
        <v>8.6999999999999993</v>
      </c>
      <c r="J21" s="806"/>
      <c r="K21" s="806"/>
      <c r="L21" s="798"/>
    </row>
    <row r="22" spans="1:12" s="808" customFormat="1" ht="42" customHeight="1" x14ac:dyDescent="0.2">
      <c r="A22" s="800" t="s">
        <v>1707</v>
      </c>
      <c r="B22" s="801"/>
      <c r="C22" s="795" t="s">
        <v>192</v>
      </c>
      <c r="D22" s="802" t="s">
        <v>194</v>
      </c>
      <c r="E22" s="813">
        <v>25</v>
      </c>
      <c r="F22" s="804">
        <v>1</v>
      </c>
      <c r="G22" s="813"/>
      <c r="H22" s="2144" t="s">
        <v>1697</v>
      </c>
      <c r="I22" s="813">
        <f t="shared" si="2"/>
        <v>25</v>
      </c>
      <c r="J22" s="806"/>
      <c r="K22" s="806"/>
      <c r="L22" s="798"/>
    </row>
    <row r="23" spans="1:12" s="808" customFormat="1" ht="13.5" x14ac:dyDescent="0.2">
      <c r="A23" s="793" t="s">
        <v>1043</v>
      </c>
      <c r="B23" s="794"/>
      <c r="C23" s="795" t="s">
        <v>195</v>
      </c>
      <c r="D23" s="814" t="s">
        <v>196</v>
      </c>
      <c r="E23" s="796">
        <f>E29+E25+E26+E27</f>
        <v>92</v>
      </c>
      <c r="F23" s="797">
        <f t="shared" ref="F23:G23" si="3">F29+F25+F26</f>
        <v>4</v>
      </c>
      <c r="G23" s="797">
        <f t="shared" si="3"/>
        <v>20</v>
      </c>
      <c r="H23" s="796"/>
      <c r="I23" s="796">
        <f>I24+I29+I25+I26+I27+I28</f>
        <v>92</v>
      </c>
      <c r="J23" s="796">
        <f t="shared" ref="J23:K23" si="4">J29+J25+J26+J27</f>
        <v>92</v>
      </c>
      <c r="K23" s="796">
        <f t="shared" si="4"/>
        <v>92</v>
      </c>
      <c r="L23" s="798"/>
    </row>
    <row r="24" spans="1:12" s="808" customFormat="1" ht="25.5" x14ac:dyDescent="0.2">
      <c r="A24" s="800" t="s">
        <v>1191</v>
      </c>
      <c r="B24" s="794"/>
      <c r="C24" s="795" t="s">
        <v>195</v>
      </c>
      <c r="D24" s="802" t="s">
        <v>198</v>
      </c>
      <c r="E24" s="813">
        <v>15</v>
      </c>
      <c r="F24" s="2145">
        <v>1</v>
      </c>
      <c r="G24" s="2145">
        <v>3</v>
      </c>
      <c r="H24" s="2144" t="s">
        <v>1697</v>
      </c>
      <c r="I24" s="813">
        <f>E24</f>
        <v>15</v>
      </c>
      <c r="J24" s="796"/>
      <c r="K24" s="796"/>
      <c r="L24" s="798"/>
    </row>
    <row r="25" spans="1:12" s="808" customFormat="1" ht="45" customHeight="1" x14ac:dyDescent="0.2">
      <c r="A25" s="800" t="s">
        <v>1192</v>
      </c>
      <c r="B25" s="801"/>
      <c r="C25" s="795" t="s">
        <v>195</v>
      </c>
      <c r="D25" s="802" t="s">
        <v>198</v>
      </c>
      <c r="E25" s="813">
        <f>2.5*G25*F25</f>
        <v>25</v>
      </c>
      <c r="F25" s="804">
        <v>1</v>
      </c>
      <c r="G25" s="804">
        <v>10</v>
      </c>
      <c r="H25" s="2144" t="s">
        <v>1698</v>
      </c>
      <c r="I25" s="813">
        <f>E25</f>
        <v>25</v>
      </c>
      <c r="J25" s="806">
        <v>25</v>
      </c>
      <c r="K25" s="806">
        <v>25</v>
      </c>
      <c r="L25" s="807" t="s">
        <v>1258</v>
      </c>
    </row>
    <row r="26" spans="1:12" s="808" customFormat="1" ht="40.5" customHeight="1" x14ac:dyDescent="0.2">
      <c r="A26" s="800" t="s">
        <v>1261</v>
      </c>
      <c r="B26" s="801"/>
      <c r="C26" s="795" t="s">
        <v>195</v>
      </c>
      <c r="D26" s="802" t="s">
        <v>198</v>
      </c>
      <c r="E26" s="813">
        <f>3.7*G26*F26</f>
        <v>37</v>
      </c>
      <c r="F26" s="804">
        <v>2</v>
      </c>
      <c r="G26" s="804">
        <v>5</v>
      </c>
      <c r="H26" s="809" t="s">
        <v>1259</v>
      </c>
      <c r="I26" s="813">
        <f>E26</f>
        <v>37</v>
      </c>
      <c r="J26" s="806">
        <v>37</v>
      </c>
      <c r="K26" s="806">
        <v>37</v>
      </c>
      <c r="L26" s="798"/>
    </row>
    <row r="27" spans="1:12" s="808" customFormat="1" ht="21.95" customHeight="1" x14ac:dyDescent="0.2">
      <c r="A27" s="800" t="s">
        <v>1708</v>
      </c>
      <c r="B27" s="801"/>
      <c r="C27" s="795" t="s">
        <v>195</v>
      </c>
      <c r="D27" s="802" t="s">
        <v>198</v>
      </c>
      <c r="E27" s="813">
        <f>2.5*F27*G27</f>
        <v>17.5</v>
      </c>
      <c r="F27" s="804">
        <v>1</v>
      </c>
      <c r="G27" s="804">
        <v>7</v>
      </c>
      <c r="H27" s="2782" t="s">
        <v>1260</v>
      </c>
      <c r="I27" s="813">
        <f>E27-17.5</f>
        <v>0</v>
      </c>
      <c r="J27" s="806">
        <v>17.5</v>
      </c>
      <c r="K27" s="806">
        <v>17.5</v>
      </c>
      <c r="L27" s="798"/>
    </row>
    <row r="28" spans="1:12" s="808" customFormat="1" ht="21.95" customHeight="1" x14ac:dyDescent="0.2">
      <c r="A28" s="800" t="s">
        <v>1709</v>
      </c>
      <c r="B28" s="801"/>
      <c r="C28" s="795" t="s">
        <v>195</v>
      </c>
      <c r="D28" s="802" t="s">
        <v>198</v>
      </c>
      <c r="E28" s="813">
        <v>15</v>
      </c>
      <c r="F28" s="804">
        <v>1</v>
      </c>
      <c r="G28" s="804">
        <v>3</v>
      </c>
      <c r="H28" s="2783"/>
      <c r="I28" s="813">
        <f>E28</f>
        <v>15</v>
      </c>
      <c r="J28" s="806"/>
      <c r="K28" s="806"/>
      <c r="L28" s="798"/>
    </row>
    <row r="29" spans="1:12" s="808" customFormat="1" ht="39" customHeight="1" x14ac:dyDescent="0.2">
      <c r="A29" s="800" t="s">
        <v>1710</v>
      </c>
      <c r="B29" s="801"/>
      <c r="C29" s="795" t="s">
        <v>195</v>
      </c>
      <c r="D29" s="802" t="s">
        <v>198</v>
      </c>
      <c r="E29" s="813">
        <f>2.5*F29*G29</f>
        <v>12.5</v>
      </c>
      <c r="F29" s="804">
        <v>1</v>
      </c>
      <c r="G29" s="804">
        <v>5</v>
      </c>
      <c r="H29" s="2784"/>
      <c r="I29" s="813">
        <f>E29-12.5</f>
        <v>0</v>
      </c>
      <c r="J29" s="806">
        <v>12.5</v>
      </c>
      <c r="K29" s="806">
        <v>12.5</v>
      </c>
      <c r="L29" s="798"/>
    </row>
    <row r="30" spans="1:12" s="821" customFormat="1" ht="13.5" x14ac:dyDescent="0.2">
      <c r="A30" s="815"/>
      <c r="B30" s="816" t="s">
        <v>199</v>
      </c>
      <c r="C30" s="817"/>
      <c r="D30" s="818"/>
      <c r="E30" s="819"/>
      <c r="F30" s="819"/>
      <c r="G30" s="819"/>
      <c r="H30" s="820"/>
      <c r="I30" s="819"/>
    </row>
    <row r="32" spans="1:12" x14ac:dyDescent="0.2">
      <c r="A32" s="778" t="s">
        <v>200</v>
      </c>
      <c r="B32" s="778"/>
      <c r="C32" s="822"/>
    </row>
    <row r="33" spans="1:9" ht="33.950000000000003" customHeight="1" x14ac:dyDescent="0.2">
      <c r="A33" s="2785" t="s">
        <v>201</v>
      </c>
      <c r="B33" s="2785"/>
      <c r="C33" s="824" t="s">
        <v>202</v>
      </c>
    </row>
    <row r="34" spans="1:9" ht="12.75" customHeight="1" x14ac:dyDescent="0.2">
      <c r="A34" s="2779" t="s">
        <v>203</v>
      </c>
      <c r="B34" s="2779"/>
      <c r="C34" s="825">
        <f>11000*2</f>
        <v>22000</v>
      </c>
    </row>
    <row r="35" spans="1:9" ht="12.75" customHeight="1" x14ac:dyDescent="0.2">
      <c r="A35" s="2779" t="s">
        <v>204</v>
      </c>
      <c r="B35" s="2779"/>
      <c r="C35" s="825">
        <f>16600*2</f>
        <v>33200</v>
      </c>
    </row>
    <row r="36" spans="1:9" ht="12.75" customHeight="1" x14ac:dyDescent="0.2">
      <c r="A36" s="2779" t="s">
        <v>205</v>
      </c>
      <c r="B36" s="2779"/>
      <c r="C36" s="825">
        <f>19000*2</f>
        <v>38000</v>
      </c>
    </row>
    <row r="37" spans="1:9" ht="12.75" customHeight="1" x14ac:dyDescent="0.2">
      <c r="A37" s="2779" t="s">
        <v>206</v>
      </c>
      <c r="B37" s="2779"/>
      <c r="C37" s="825">
        <f>12200*2</f>
        <v>24400</v>
      </c>
    </row>
    <row r="38" spans="1:9" ht="12.75" customHeight="1" x14ac:dyDescent="0.2">
      <c r="A38" s="2779" t="s">
        <v>207</v>
      </c>
      <c r="B38" s="2779"/>
      <c r="C38" s="825">
        <f>17000*2</f>
        <v>34000</v>
      </c>
    </row>
    <row r="39" spans="1:9" ht="12.75" customHeight="1" x14ac:dyDescent="0.2">
      <c r="A39" s="2779" t="s">
        <v>208</v>
      </c>
      <c r="B39" s="2779"/>
      <c r="C39" s="825">
        <f>15200*2</f>
        <v>30400</v>
      </c>
    </row>
    <row r="41" spans="1:9" x14ac:dyDescent="0.2">
      <c r="A41" s="826" t="s">
        <v>209</v>
      </c>
      <c r="B41" s="827"/>
      <c r="C41" s="828"/>
      <c r="D41" s="827"/>
    </row>
    <row r="42" spans="1:9" x14ac:dyDescent="0.2">
      <c r="A42" s="826"/>
      <c r="B42" s="827"/>
      <c r="C42" s="828"/>
      <c r="D42" s="827"/>
    </row>
    <row r="43" spans="1:9" x14ac:dyDescent="0.2">
      <c r="A43" s="826" t="s">
        <v>210</v>
      </c>
      <c r="B43" s="827"/>
      <c r="C43" s="828"/>
      <c r="D43" s="827"/>
    </row>
    <row r="44" spans="1:9" s="834" customFormat="1" ht="32.1" customHeight="1" x14ac:dyDescent="0.3">
      <c r="A44" s="829"/>
      <c r="B44" s="830" t="s">
        <v>14</v>
      </c>
      <c r="C44" s="831"/>
      <c r="D44" s="832"/>
      <c r="E44" s="2780" t="s">
        <v>1262</v>
      </c>
      <c r="F44" s="2780"/>
      <c r="G44" s="833"/>
      <c r="H44" s="829"/>
      <c r="I44" s="833"/>
    </row>
    <row r="45" spans="1:9" x14ac:dyDescent="0.2">
      <c r="B45" s="835"/>
      <c r="C45" s="835"/>
      <c r="D45" s="835"/>
      <c r="E45" s="2781" t="s">
        <v>211</v>
      </c>
      <c r="F45" s="2781"/>
    </row>
    <row r="46" spans="1:9" x14ac:dyDescent="0.2">
      <c r="B46" s="836"/>
      <c r="C46" s="836"/>
      <c r="D46" s="836"/>
      <c r="E46" s="837"/>
      <c r="F46" s="837"/>
    </row>
    <row r="47" spans="1:9" ht="15.75" x14ac:dyDescent="0.2">
      <c r="B47" s="838" t="s">
        <v>1263</v>
      </c>
      <c r="C47" s="836"/>
      <c r="D47" s="838"/>
      <c r="E47" s="839"/>
      <c r="F47" s="839"/>
    </row>
  </sheetData>
  <mergeCells count="20">
    <mergeCell ref="A1:L1"/>
    <mergeCell ref="A3:L3"/>
    <mergeCell ref="A5:A6"/>
    <mergeCell ref="B5:B6"/>
    <mergeCell ref="C5:C6"/>
    <mergeCell ref="D5:D6"/>
    <mergeCell ref="E5:I5"/>
    <mergeCell ref="J5:J6"/>
    <mergeCell ref="K5:K6"/>
    <mergeCell ref="L5:L6"/>
    <mergeCell ref="A38:B38"/>
    <mergeCell ref="A39:B39"/>
    <mergeCell ref="E44:F44"/>
    <mergeCell ref="E45:F45"/>
    <mergeCell ref="H27:H29"/>
    <mergeCell ref="A33:B33"/>
    <mergeCell ref="A34:B34"/>
    <mergeCell ref="A35:B35"/>
    <mergeCell ref="A36:B36"/>
    <mergeCell ref="A37:B37"/>
  </mergeCells>
  <printOptions horizontalCentered="1"/>
  <pageMargins left="0.70866141732283472" right="0.70866141732283472" top="0.74803149606299213" bottom="0.74803149606299213" header="0.31496062992125984" footer="0.31496062992125984"/>
  <pageSetup paperSize="9" scale="52" orientation="landscape" r:id="rId1"/>
  <rowBreaks count="1" manualBreakCount="1">
    <brk id="48" max="1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00FFFF"/>
  </sheetPr>
  <dimension ref="A1:E14"/>
  <sheetViews>
    <sheetView view="pageBreakPreview" zoomScale="80" zoomScaleNormal="100" zoomScaleSheetLayoutView="80" workbookViewId="0">
      <selection activeCell="C4" sqref="C4:E4"/>
    </sheetView>
  </sheetViews>
  <sheetFormatPr defaultRowHeight="39.75" customHeight="1" x14ac:dyDescent="0.25"/>
  <cols>
    <col min="1" max="1" width="81.33203125" style="365" customWidth="1"/>
    <col min="2" max="2" width="10" style="365" customWidth="1"/>
    <col min="3" max="5" width="25.83203125" style="365" customWidth="1"/>
    <col min="6" max="16384" width="9.33203125" style="365"/>
  </cols>
  <sheetData>
    <row r="1" spans="1:5" ht="55.5" customHeight="1" x14ac:dyDescent="0.25">
      <c r="A1" s="2509" t="s">
        <v>1195</v>
      </c>
      <c r="B1" s="2509"/>
      <c r="C1" s="2509"/>
      <c r="D1" s="2509"/>
      <c r="E1" s="2509"/>
    </row>
    <row r="2" spans="1:5" ht="34.5" customHeight="1" x14ac:dyDescent="0.25">
      <c r="A2" s="2509" t="s">
        <v>1253</v>
      </c>
      <c r="B2" s="2509"/>
      <c r="C2" s="2509"/>
      <c r="D2" s="2509"/>
      <c r="E2" s="2509"/>
    </row>
    <row r="3" spans="1:5" ht="13.5" customHeight="1" x14ac:dyDescent="0.25">
      <c r="A3" s="666"/>
      <c r="B3" s="666"/>
      <c r="C3" s="666"/>
      <c r="D3" s="666"/>
      <c r="E3" s="367">
        <v>43829</v>
      </c>
    </row>
    <row r="4" spans="1:5" ht="39.75" customHeight="1" x14ac:dyDescent="0.25">
      <c r="A4" s="2454" t="s">
        <v>416</v>
      </c>
      <c r="B4" s="2454" t="s">
        <v>417</v>
      </c>
      <c r="C4" s="2454" t="s">
        <v>418</v>
      </c>
      <c r="D4" s="2454"/>
      <c r="E4" s="2454"/>
    </row>
    <row r="5" spans="1:5" ht="39.75" customHeight="1" x14ac:dyDescent="0.25">
      <c r="A5" s="2454"/>
      <c r="B5" s="2454"/>
      <c r="C5" s="667" t="s">
        <v>428</v>
      </c>
      <c r="D5" s="667" t="s">
        <v>429</v>
      </c>
      <c r="E5" s="667" t="s">
        <v>430</v>
      </c>
    </row>
    <row r="6" spans="1:5" ht="39.75" customHeight="1" x14ac:dyDescent="0.25">
      <c r="A6" s="2454"/>
      <c r="B6" s="2454"/>
      <c r="C6" s="667" t="s">
        <v>419</v>
      </c>
      <c r="D6" s="667" t="s">
        <v>420</v>
      </c>
      <c r="E6" s="667" t="s">
        <v>421</v>
      </c>
    </row>
    <row r="7" spans="1:5" ht="16.5" customHeight="1" x14ac:dyDescent="0.25">
      <c r="A7" s="667">
        <v>1</v>
      </c>
      <c r="B7" s="667">
        <v>2</v>
      </c>
      <c r="C7" s="667">
        <v>3</v>
      </c>
      <c r="D7" s="667">
        <v>4</v>
      </c>
      <c r="E7" s="667">
        <v>5</v>
      </c>
    </row>
    <row r="8" spans="1:5" ht="17.25" customHeight="1" x14ac:dyDescent="0.25">
      <c r="A8" s="369" t="s">
        <v>512</v>
      </c>
      <c r="B8" s="667">
        <v>100</v>
      </c>
      <c r="C8" s="370"/>
      <c r="D8" s="370"/>
      <c r="E8" s="370"/>
    </row>
    <row r="9" spans="1:5" ht="17.25" customHeight="1" x14ac:dyDescent="0.25">
      <c r="A9" s="369" t="s">
        <v>513</v>
      </c>
      <c r="B9" s="667">
        <v>200</v>
      </c>
      <c r="C9" s="370"/>
      <c r="D9" s="370"/>
      <c r="E9" s="370"/>
    </row>
    <row r="10" spans="1:5" ht="44.25" customHeight="1" x14ac:dyDescent="0.25">
      <c r="A10" s="369" t="s">
        <v>514</v>
      </c>
      <c r="B10" s="667">
        <v>300</v>
      </c>
      <c r="C10" s="370">
        <f>C11</f>
        <v>0</v>
      </c>
      <c r="D10" s="370">
        <f t="shared" ref="D10:E10" si="0">D11</f>
        <v>0</v>
      </c>
      <c r="E10" s="370">
        <f t="shared" si="0"/>
        <v>0</v>
      </c>
    </row>
    <row r="11" spans="1:5" ht="104.25" customHeight="1" x14ac:dyDescent="0.25">
      <c r="A11" s="369" t="s">
        <v>515</v>
      </c>
      <c r="B11" s="667">
        <v>301</v>
      </c>
      <c r="C11" s="370"/>
      <c r="D11" s="370"/>
      <c r="E11" s="370"/>
    </row>
    <row r="12" spans="1:5" ht="18" customHeight="1" x14ac:dyDescent="0.25">
      <c r="A12" s="369" t="s">
        <v>516</v>
      </c>
      <c r="B12" s="667">
        <v>400</v>
      </c>
      <c r="C12" s="370"/>
      <c r="D12" s="370"/>
      <c r="E12" s="370"/>
    </row>
    <row r="13" spans="1:5" ht="18" customHeight="1" x14ac:dyDescent="0.25">
      <c r="A13" s="369" t="s">
        <v>517</v>
      </c>
      <c r="B13" s="667">
        <v>500</v>
      </c>
      <c r="C13" s="370"/>
      <c r="D13" s="370"/>
      <c r="E13" s="370"/>
    </row>
    <row r="14" spans="1:5" s="374" customFormat="1" ht="66.75" customHeight="1" x14ac:dyDescent="0.2">
      <c r="A14" s="371" t="s">
        <v>538</v>
      </c>
      <c r="B14" s="372">
        <v>600</v>
      </c>
      <c r="C14" s="373">
        <f>C8-C9+C10-C12+C13</f>
        <v>0</v>
      </c>
      <c r="D14" s="373">
        <f t="shared" ref="D14:E14" si="1">D8-D9+D10-D12+D13</f>
        <v>0</v>
      </c>
      <c r="E14" s="373">
        <f t="shared" si="1"/>
        <v>0</v>
      </c>
    </row>
  </sheetData>
  <mergeCells count="5">
    <mergeCell ref="A1:E1"/>
    <mergeCell ref="A2:E2"/>
    <mergeCell ref="A4:A6"/>
    <mergeCell ref="B4:B6"/>
    <mergeCell ref="C4:E4"/>
  </mergeCells>
  <pageMargins left="0.7" right="0.7" top="0.75" bottom="0.75" header="0.3" footer="0.3"/>
  <pageSetup paperSize="9" scale="56"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00FFFF"/>
  </sheetPr>
  <dimension ref="A1:G32"/>
  <sheetViews>
    <sheetView view="pageBreakPreview" zoomScale="90" zoomScaleNormal="100" zoomScaleSheetLayoutView="90" workbookViewId="0">
      <pane xSplit="4" ySplit="7" topLeftCell="E8" activePane="bottomRight" state="frozen"/>
      <selection pane="topRight" activeCell="E1" sqref="E1"/>
      <selection pane="bottomLeft" activeCell="A8" sqref="A8"/>
      <selection pane="bottomRight" activeCell="C8" sqref="C8:C9"/>
    </sheetView>
  </sheetViews>
  <sheetFormatPr defaultRowHeight="15" x14ac:dyDescent="0.25"/>
  <cols>
    <col min="1" max="1" width="67.83203125" style="323" customWidth="1"/>
    <col min="2" max="2" width="10.83203125" style="323" customWidth="1"/>
    <col min="3" max="5" width="29" style="323" customWidth="1"/>
    <col min="6" max="6" width="17.6640625" style="323" customWidth="1"/>
    <col min="7" max="7" width="14.6640625" style="323" customWidth="1"/>
    <col min="8" max="16384" width="9.33203125" style="323"/>
  </cols>
  <sheetData>
    <row r="1" spans="1:5" ht="36.75" customHeight="1" x14ac:dyDescent="0.25">
      <c r="A1" s="2507" t="s">
        <v>1680</v>
      </c>
      <c r="B1" s="2507"/>
      <c r="C1" s="2507"/>
      <c r="D1" s="2507"/>
      <c r="E1" s="2507"/>
    </row>
    <row r="2" spans="1:5" x14ac:dyDescent="0.25">
      <c r="A2" s="2506" t="s">
        <v>1253</v>
      </c>
      <c r="B2" s="2506"/>
      <c r="C2" s="2506"/>
      <c r="D2" s="2506"/>
      <c r="E2" s="2506"/>
    </row>
    <row r="3" spans="1:5" x14ac:dyDescent="0.25">
      <c r="A3" s="2062"/>
      <c r="B3" s="2062"/>
      <c r="C3" s="2062"/>
      <c r="D3" s="2062"/>
      <c r="E3" s="324">
        <v>43829</v>
      </c>
    </row>
    <row r="4" spans="1:5" x14ac:dyDescent="0.25">
      <c r="A4" s="2724" t="s">
        <v>416</v>
      </c>
      <c r="B4" s="2724" t="s">
        <v>417</v>
      </c>
      <c r="C4" s="2724" t="s">
        <v>418</v>
      </c>
      <c r="D4" s="2724"/>
      <c r="E4" s="2724"/>
    </row>
    <row r="5" spans="1:5" ht="20.25" customHeight="1" x14ac:dyDescent="0.25">
      <c r="A5" s="2724"/>
      <c r="B5" s="2724"/>
      <c r="C5" s="2063" t="s">
        <v>428</v>
      </c>
      <c r="D5" s="2063" t="s">
        <v>429</v>
      </c>
      <c r="E5" s="2063" t="s">
        <v>430</v>
      </c>
    </row>
    <row r="6" spans="1:5" ht="47.25" customHeight="1" x14ac:dyDescent="0.25">
      <c r="A6" s="2724"/>
      <c r="B6" s="2724"/>
      <c r="C6" s="2063" t="s">
        <v>419</v>
      </c>
      <c r="D6" s="2063" t="s">
        <v>420</v>
      </c>
      <c r="E6" s="2063" t="s">
        <v>421</v>
      </c>
    </row>
    <row r="7" spans="1:5" x14ac:dyDescent="0.25">
      <c r="A7" s="2063">
        <v>1</v>
      </c>
      <c r="B7" s="2063">
        <v>2</v>
      </c>
      <c r="C7" s="2063">
        <v>3</v>
      </c>
      <c r="D7" s="2063">
        <v>4</v>
      </c>
      <c r="E7" s="2063">
        <v>5</v>
      </c>
    </row>
    <row r="8" spans="1:5" ht="60" customHeight="1" x14ac:dyDescent="0.25">
      <c r="A8" s="325" t="s">
        <v>437</v>
      </c>
      <c r="B8" s="2063">
        <v>100</v>
      </c>
      <c r="C8" s="326">
        <v>35267.1</v>
      </c>
      <c r="D8" s="326"/>
      <c r="E8" s="326"/>
    </row>
    <row r="9" spans="1:5" ht="42" customHeight="1" x14ac:dyDescent="0.25">
      <c r="A9" s="325" t="s">
        <v>438</v>
      </c>
      <c r="B9" s="2063">
        <v>200</v>
      </c>
      <c r="C9" s="326">
        <v>62236</v>
      </c>
      <c r="D9" s="326"/>
      <c r="E9" s="326"/>
    </row>
    <row r="10" spans="1:5" ht="19.5" customHeight="1" x14ac:dyDescent="0.25">
      <c r="A10" s="325" t="s">
        <v>439</v>
      </c>
      <c r="B10" s="2063">
        <v>300</v>
      </c>
      <c r="C10" s="326">
        <f>SUM(C12:C27)</f>
        <v>2588000</v>
      </c>
      <c r="D10" s="326">
        <f t="shared" ref="D10:E10" si="0">SUM(D12:D27)</f>
        <v>2696300</v>
      </c>
      <c r="E10" s="326">
        <f t="shared" si="0"/>
        <v>2806900</v>
      </c>
    </row>
    <row r="11" spans="1:5" x14ac:dyDescent="0.25">
      <c r="A11" s="325" t="s">
        <v>440</v>
      </c>
      <c r="B11" s="325"/>
      <c r="C11" s="326"/>
      <c r="D11" s="326"/>
      <c r="E11" s="326"/>
    </row>
    <row r="12" spans="1:5" ht="60" x14ac:dyDescent="0.25">
      <c r="A12" s="700" t="s">
        <v>497</v>
      </c>
      <c r="B12" s="2063">
        <v>301</v>
      </c>
      <c r="C12" s="326"/>
      <c r="D12" s="326"/>
      <c r="E12" s="326"/>
    </row>
    <row r="13" spans="1:5" x14ac:dyDescent="0.25">
      <c r="A13" s="325" t="s">
        <v>442</v>
      </c>
      <c r="B13" s="2063">
        <v>302</v>
      </c>
      <c r="C13" s="326"/>
      <c r="D13" s="326"/>
      <c r="E13" s="326"/>
    </row>
    <row r="14" spans="1:5" x14ac:dyDescent="0.25">
      <c r="A14" s="325" t="s">
        <v>441</v>
      </c>
      <c r="B14" s="2063">
        <v>303</v>
      </c>
      <c r="C14" s="326">
        <f>'внеб 925 (01.01.20)'!F84*1000</f>
        <v>246500</v>
      </c>
      <c r="D14" s="326">
        <f>'внеб 925 (01.01.20)'!G84*1000</f>
        <v>354800</v>
      </c>
      <c r="E14" s="326">
        <f>'внеб 925 (01.01.20)'!H84*1000</f>
        <v>465400</v>
      </c>
    </row>
    <row r="15" spans="1:5" x14ac:dyDescent="0.25">
      <c r="A15" s="325" t="s">
        <v>443</v>
      </c>
      <c r="B15" s="2063">
        <v>304</v>
      </c>
      <c r="C15" s="326">
        <f>'внеб 931,932,933 (01.01.20)'!G29*1000</f>
        <v>107100</v>
      </c>
      <c r="D15" s="326">
        <f>'внеб 931,932,933 (01.01.20)'!H29*1000</f>
        <v>107100</v>
      </c>
      <c r="E15" s="326">
        <f>'внеб 931,932,933 (01.01.20)'!I29*1000</f>
        <v>107100</v>
      </c>
    </row>
    <row r="16" spans="1:5" x14ac:dyDescent="0.25">
      <c r="A16" s="325" t="s">
        <v>444</v>
      </c>
      <c r="B16" s="2063">
        <v>305</v>
      </c>
      <c r="C16" s="326"/>
      <c r="D16" s="326"/>
      <c r="E16" s="326"/>
    </row>
    <row r="17" spans="1:7" x14ac:dyDescent="0.25">
      <c r="A17" s="325" t="s">
        <v>445</v>
      </c>
      <c r="B17" s="2063">
        <v>306</v>
      </c>
      <c r="C17" s="326">
        <f>('расходы самоокупаемые (01.01.20'!H19+'расходы самоокупаемые (01.01.20'!H20+'внеб 941 (01.01.20)'!G73)*1000</f>
        <v>48000</v>
      </c>
      <c r="D17" s="326">
        <f>('расходы самоокупаемые (01.01.20'!I19+'расходы самоокупаемые (01.01.20'!I20+'внеб 941 (01.01.20)'!H73+'внеб 941 (01.01.20)'!I73)*1000</f>
        <v>48000</v>
      </c>
      <c r="E17" s="326">
        <f>('расходы самоокупаемые (01.01.20'!J19+'расходы самоокупаемые (01.01.20'!J20+'внеб 941 (01.01.20)'!I73)*1000</f>
        <v>48000</v>
      </c>
    </row>
    <row r="18" spans="1:7" x14ac:dyDescent="0.25">
      <c r="A18" s="325" t="s">
        <v>446</v>
      </c>
      <c r="B18" s="2063">
        <v>307</v>
      </c>
      <c r="C18" s="326"/>
      <c r="D18" s="326"/>
      <c r="E18" s="326"/>
    </row>
    <row r="19" spans="1:7" x14ac:dyDescent="0.25">
      <c r="A19" s="325" t="s">
        <v>454</v>
      </c>
      <c r="B19" s="2063">
        <v>308</v>
      </c>
      <c r="C19" s="327">
        <f>('внеб 954 (21.02.20)'!I23+'внеб 947 (21.02.20)'!F27)*1000</f>
        <v>359940</v>
      </c>
      <c r="D19" s="327">
        <f>'внеб 954 (21.02.20)'!J23*1000</f>
        <v>309940</v>
      </c>
      <c r="E19" s="327">
        <f>'внеб 954 (21.02.20)'!K23*1000</f>
        <v>309940</v>
      </c>
      <c r="F19" s="328">
        <f>392500+350000-C19</f>
        <v>382560</v>
      </c>
    </row>
    <row r="20" spans="1:7" ht="18" customHeight="1" x14ac:dyDescent="0.25">
      <c r="A20" s="325" t="s">
        <v>447</v>
      </c>
      <c r="B20" s="2063">
        <v>309</v>
      </c>
      <c r="C20" s="326"/>
      <c r="D20" s="326"/>
      <c r="E20" s="326"/>
    </row>
    <row r="21" spans="1:7" ht="26.25" customHeight="1" x14ac:dyDescent="0.25">
      <c r="A21" s="700" t="s">
        <v>735</v>
      </c>
      <c r="B21" s="2063">
        <v>310</v>
      </c>
      <c r="C21" s="326">
        <f>'внеб 955 (01.01.20)'!E17*1000</f>
        <v>195750</v>
      </c>
      <c r="D21" s="326">
        <f>'внеб 955 (01.01.20)'!F17*1000</f>
        <v>195750</v>
      </c>
      <c r="E21" s="326">
        <f>'внеб 955 (01.01.20)'!G17*1000</f>
        <v>195750</v>
      </c>
    </row>
    <row r="22" spans="1:7" ht="26.25" customHeight="1" x14ac:dyDescent="0.25">
      <c r="A22" s="700" t="s">
        <v>736</v>
      </c>
      <c r="B22" s="2063">
        <v>311</v>
      </c>
      <c r="C22" s="326"/>
      <c r="D22" s="326"/>
      <c r="E22" s="326"/>
    </row>
    <row r="23" spans="1:7" ht="28.5" customHeight="1" x14ac:dyDescent="0.25">
      <c r="A23" s="325" t="s">
        <v>455</v>
      </c>
      <c r="B23" s="2063">
        <v>312</v>
      </c>
      <c r="C23" s="326">
        <f>'внеб 963 (23.03.20)'!Q18*1000</f>
        <v>157200</v>
      </c>
      <c r="D23" s="326">
        <f>'внеб 963 (23.03.20)'!R18*1000</f>
        <v>138700</v>
      </c>
      <c r="E23" s="326">
        <f>'внеб 963 (23.03.20)'!S18*1000</f>
        <v>138700</v>
      </c>
    </row>
    <row r="24" spans="1:7" ht="15" customHeight="1" x14ac:dyDescent="0.25">
      <c r="A24" s="325" t="s">
        <v>456</v>
      </c>
      <c r="B24" s="2063">
        <v>313</v>
      </c>
      <c r="C24" s="326"/>
      <c r="D24" s="326"/>
      <c r="E24" s="326"/>
    </row>
    <row r="25" spans="1:7" ht="63.75" customHeight="1" x14ac:dyDescent="0.25">
      <c r="A25" s="325" t="s">
        <v>448</v>
      </c>
      <c r="B25" s="2063">
        <v>314</v>
      </c>
      <c r="C25" s="326"/>
      <c r="D25" s="326"/>
      <c r="E25" s="326"/>
    </row>
    <row r="26" spans="1:7" ht="20.25" customHeight="1" x14ac:dyDescent="0.25">
      <c r="A26" s="325" t="s">
        <v>449</v>
      </c>
      <c r="B26" s="2063">
        <v>315</v>
      </c>
      <c r="C26" s="326">
        <f>'внеб 971 (23.03.20)'!K85*1000</f>
        <v>999600</v>
      </c>
      <c r="D26" s="326">
        <f>'внеб 971 (23.03.20)'!L85*1000</f>
        <v>1073100</v>
      </c>
      <c r="E26" s="326">
        <f>'внеб 971 (23.03.20)'!M85*1000</f>
        <v>1073100</v>
      </c>
    </row>
    <row r="27" spans="1:7" ht="20.25" customHeight="1" x14ac:dyDescent="0.25">
      <c r="A27" s="325" t="s">
        <v>450</v>
      </c>
      <c r="B27" s="2063">
        <v>316</v>
      </c>
      <c r="C27" s="326">
        <f>('внеб 981 (23.03.20)'!K37+'внеб 982 (01.01.20)'!D9+'внеб 983 (01.01.20)'!G34+'внеб 985 (01.01.20)'!E14+'внеб 986 (01.01.20)'!E19)*1000</f>
        <v>473910</v>
      </c>
      <c r="D27" s="326">
        <f>('внеб 981 (23.03.20)'!L37+'внеб 982 (01.01.20)'!F9+'внеб 983 (01.01.20)'!K34+'внеб 985 (01.01.20)'!F14+'внеб 986 (01.01.20)'!F19)*1000</f>
        <v>468910</v>
      </c>
      <c r="E27" s="326">
        <f>('внеб 981 (23.03.20)'!M37+'внеб 982 (01.01.20)'!H9+'внеб 983 (01.01.20)'!N34+'внеб 985 (01.01.20)'!G14+'внеб 986 (01.01.20)'!G19)*1000</f>
        <v>468910</v>
      </c>
      <c r="F27" s="328">
        <f>783100+5000+50000+600000-C27</f>
        <v>964190</v>
      </c>
      <c r="G27" s="328"/>
    </row>
    <row r="28" spans="1:7" ht="59.25" customHeight="1" x14ac:dyDescent="0.25">
      <c r="A28" s="325" t="s">
        <v>451</v>
      </c>
      <c r="B28" s="2063">
        <v>400</v>
      </c>
      <c r="C28" s="326"/>
      <c r="D28" s="326"/>
      <c r="E28" s="326"/>
      <c r="F28" s="328"/>
    </row>
    <row r="29" spans="1:7" ht="49.5" customHeight="1" x14ac:dyDescent="0.25">
      <c r="A29" s="325" t="s">
        <v>452</v>
      </c>
      <c r="B29" s="2063">
        <v>500</v>
      </c>
      <c r="C29" s="326"/>
      <c r="D29" s="326"/>
      <c r="E29" s="326"/>
    </row>
    <row r="30" spans="1:7" s="332" customFormat="1" ht="31.5" customHeight="1" x14ac:dyDescent="0.25">
      <c r="A30" s="329" t="s">
        <v>453</v>
      </c>
      <c r="B30" s="2060">
        <v>600</v>
      </c>
      <c r="C30" s="331">
        <f>C8-C9+C10-C28+C29</f>
        <v>2561031.1</v>
      </c>
      <c r="D30" s="331">
        <f>D8-D9+D10-D28+D29</f>
        <v>2696300</v>
      </c>
      <c r="E30" s="331">
        <f>E8-E9+E10-E28+E29</f>
        <v>2806900</v>
      </c>
    </row>
    <row r="31" spans="1:7" x14ac:dyDescent="0.25">
      <c r="A31" s="323" t="s">
        <v>197</v>
      </c>
      <c r="C31" s="328">
        <f>2168000+420000</f>
        <v>2588000</v>
      </c>
      <c r="D31" s="328">
        <f>2588000+108300</f>
        <v>2696300</v>
      </c>
      <c r="E31" s="328">
        <f>2168000+420000+218900</f>
        <v>2806900</v>
      </c>
      <c r="F31" s="328"/>
    </row>
    <row r="32" spans="1:7" x14ac:dyDescent="0.25">
      <c r="C32" s="328">
        <f>C30-C31</f>
        <v>-26968.9</v>
      </c>
      <c r="D32" s="328">
        <f t="shared" ref="D32:E32" si="1">D30-D31</f>
        <v>0</v>
      </c>
      <c r="E32" s="328">
        <f t="shared" si="1"/>
        <v>0</v>
      </c>
    </row>
  </sheetData>
  <mergeCells count="5">
    <mergeCell ref="A1:E1"/>
    <mergeCell ref="A4:A6"/>
    <mergeCell ref="B4:B6"/>
    <mergeCell ref="C4:E4"/>
    <mergeCell ref="A2:E2"/>
  </mergeCells>
  <pageMargins left="0.70866141732283472" right="0.70866141732283472" top="0.74803149606299213" bottom="0.74803149606299213" header="0.31496062992125984" footer="0.31496062992125984"/>
  <pageSetup paperSize="9" scale="5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7" tint="0.39997558519241921"/>
  </sheetPr>
  <dimension ref="A1:L29"/>
  <sheetViews>
    <sheetView view="pageBreakPreview" zoomScale="80" zoomScaleNormal="85" zoomScaleSheetLayoutView="80" workbookViewId="0">
      <selection activeCell="P11" sqref="P11"/>
    </sheetView>
  </sheetViews>
  <sheetFormatPr defaultRowHeight="15" x14ac:dyDescent="0.25"/>
  <cols>
    <col min="1" max="1" width="6" style="511" customWidth="1"/>
    <col min="2" max="2" width="11.33203125" style="512" customWidth="1"/>
    <col min="3" max="3" width="62.33203125" style="841" customWidth="1"/>
    <col min="4" max="4" width="9.33203125" style="511"/>
    <col min="5" max="5" width="12.1640625" style="515" customWidth="1"/>
    <col min="6" max="6" width="9.33203125" style="515"/>
    <col min="7" max="7" width="13.6640625" style="515" customWidth="1"/>
    <col min="8" max="8" width="29.6640625" style="511" customWidth="1"/>
    <col min="9" max="10" width="17.83203125" style="511" customWidth="1"/>
    <col min="11" max="11" width="13" style="511" customWidth="1"/>
    <col min="12" max="12" width="16.5" style="511" customWidth="1"/>
    <col min="13" max="258" width="9.33203125" style="511"/>
    <col min="259" max="259" width="6" style="511" customWidth="1"/>
    <col min="260" max="260" width="11.33203125" style="511" customWidth="1"/>
    <col min="261" max="261" width="62.33203125" style="511" customWidth="1"/>
    <col min="262" max="262" width="9.33203125" style="511"/>
    <col min="263" max="263" width="12.1640625" style="511" customWidth="1"/>
    <col min="264" max="264" width="9.33203125" style="511"/>
    <col min="265" max="265" width="13.6640625" style="511" customWidth="1"/>
    <col min="266" max="266" width="19.6640625" style="511" customWidth="1"/>
    <col min="267" max="267" width="13" style="511" customWidth="1"/>
    <col min="268" max="514" width="9.33203125" style="511"/>
    <col min="515" max="515" width="6" style="511" customWidth="1"/>
    <col min="516" max="516" width="11.33203125" style="511" customWidth="1"/>
    <col min="517" max="517" width="62.33203125" style="511" customWidth="1"/>
    <col min="518" max="518" width="9.33203125" style="511"/>
    <col min="519" max="519" width="12.1640625" style="511" customWidth="1"/>
    <col min="520" max="520" width="9.33203125" style="511"/>
    <col min="521" max="521" width="13.6640625" style="511" customWidth="1"/>
    <col min="522" max="522" width="19.6640625" style="511" customWidth="1"/>
    <col min="523" max="523" width="13" style="511" customWidth="1"/>
    <col min="524" max="770" width="9.33203125" style="511"/>
    <col min="771" max="771" width="6" style="511" customWidth="1"/>
    <col min="772" max="772" width="11.33203125" style="511" customWidth="1"/>
    <col min="773" max="773" width="62.33203125" style="511" customWidth="1"/>
    <col min="774" max="774" width="9.33203125" style="511"/>
    <col min="775" max="775" width="12.1640625" style="511" customWidth="1"/>
    <col min="776" max="776" width="9.33203125" style="511"/>
    <col min="777" max="777" width="13.6640625" style="511" customWidth="1"/>
    <col min="778" max="778" width="19.6640625" style="511" customWidth="1"/>
    <col min="779" max="779" width="13" style="511" customWidth="1"/>
    <col min="780" max="1026" width="9.33203125" style="511"/>
    <col min="1027" max="1027" width="6" style="511" customWidth="1"/>
    <col min="1028" max="1028" width="11.33203125" style="511" customWidth="1"/>
    <col min="1029" max="1029" width="62.33203125" style="511" customWidth="1"/>
    <col min="1030" max="1030" width="9.33203125" style="511"/>
    <col min="1031" max="1031" width="12.1640625" style="511" customWidth="1"/>
    <col min="1032" max="1032" width="9.33203125" style="511"/>
    <col min="1033" max="1033" width="13.6640625" style="511" customWidth="1"/>
    <col min="1034" max="1034" width="19.6640625" style="511" customWidth="1"/>
    <col min="1035" max="1035" width="13" style="511" customWidth="1"/>
    <col min="1036" max="1282" width="9.33203125" style="511"/>
    <col min="1283" max="1283" width="6" style="511" customWidth="1"/>
    <col min="1284" max="1284" width="11.33203125" style="511" customWidth="1"/>
    <col min="1285" max="1285" width="62.33203125" style="511" customWidth="1"/>
    <col min="1286" max="1286" width="9.33203125" style="511"/>
    <col min="1287" max="1287" width="12.1640625" style="511" customWidth="1"/>
    <col min="1288" max="1288" width="9.33203125" style="511"/>
    <col min="1289" max="1289" width="13.6640625" style="511" customWidth="1"/>
    <col min="1290" max="1290" width="19.6640625" style="511" customWidth="1"/>
    <col min="1291" max="1291" width="13" style="511" customWidth="1"/>
    <col min="1292" max="1538" width="9.33203125" style="511"/>
    <col min="1539" max="1539" width="6" style="511" customWidth="1"/>
    <col min="1540" max="1540" width="11.33203125" style="511" customWidth="1"/>
    <col min="1541" max="1541" width="62.33203125" style="511" customWidth="1"/>
    <col min="1542" max="1542" width="9.33203125" style="511"/>
    <col min="1543" max="1543" width="12.1640625" style="511" customWidth="1"/>
    <col min="1544" max="1544" width="9.33203125" style="511"/>
    <col min="1545" max="1545" width="13.6640625" style="511" customWidth="1"/>
    <col min="1546" max="1546" width="19.6640625" style="511" customWidth="1"/>
    <col min="1547" max="1547" width="13" style="511" customWidth="1"/>
    <col min="1548" max="1794" width="9.33203125" style="511"/>
    <col min="1795" max="1795" width="6" style="511" customWidth="1"/>
    <col min="1796" max="1796" width="11.33203125" style="511" customWidth="1"/>
    <col min="1797" max="1797" width="62.33203125" style="511" customWidth="1"/>
    <col min="1798" max="1798" width="9.33203125" style="511"/>
    <col min="1799" max="1799" width="12.1640625" style="511" customWidth="1"/>
    <col min="1800" max="1800" width="9.33203125" style="511"/>
    <col min="1801" max="1801" width="13.6640625" style="511" customWidth="1"/>
    <col min="1802" max="1802" width="19.6640625" style="511" customWidth="1"/>
    <col min="1803" max="1803" width="13" style="511" customWidth="1"/>
    <col min="1804" max="2050" width="9.33203125" style="511"/>
    <col min="2051" max="2051" width="6" style="511" customWidth="1"/>
    <col min="2052" max="2052" width="11.33203125" style="511" customWidth="1"/>
    <col min="2053" max="2053" width="62.33203125" style="511" customWidth="1"/>
    <col min="2054" max="2054" width="9.33203125" style="511"/>
    <col min="2055" max="2055" width="12.1640625" style="511" customWidth="1"/>
    <col min="2056" max="2056" width="9.33203125" style="511"/>
    <col min="2057" max="2057" width="13.6640625" style="511" customWidth="1"/>
    <col min="2058" max="2058" width="19.6640625" style="511" customWidth="1"/>
    <col min="2059" max="2059" width="13" style="511" customWidth="1"/>
    <col min="2060" max="2306" width="9.33203125" style="511"/>
    <col min="2307" max="2307" width="6" style="511" customWidth="1"/>
    <col min="2308" max="2308" width="11.33203125" style="511" customWidth="1"/>
    <col min="2309" max="2309" width="62.33203125" style="511" customWidth="1"/>
    <col min="2310" max="2310" width="9.33203125" style="511"/>
    <col min="2311" max="2311" width="12.1640625" style="511" customWidth="1"/>
    <col min="2312" max="2312" width="9.33203125" style="511"/>
    <col min="2313" max="2313" width="13.6640625" style="511" customWidth="1"/>
    <col min="2314" max="2314" width="19.6640625" style="511" customWidth="1"/>
    <col min="2315" max="2315" width="13" style="511" customWidth="1"/>
    <col min="2316" max="2562" width="9.33203125" style="511"/>
    <col min="2563" max="2563" width="6" style="511" customWidth="1"/>
    <col min="2564" max="2564" width="11.33203125" style="511" customWidth="1"/>
    <col min="2565" max="2565" width="62.33203125" style="511" customWidth="1"/>
    <col min="2566" max="2566" width="9.33203125" style="511"/>
    <col min="2567" max="2567" width="12.1640625" style="511" customWidth="1"/>
    <col min="2568" max="2568" width="9.33203125" style="511"/>
    <col min="2569" max="2569" width="13.6640625" style="511" customWidth="1"/>
    <col min="2570" max="2570" width="19.6640625" style="511" customWidth="1"/>
    <col min="2571" max="2571" width="13" style="511" customWidth="1"/>
    <col min="2572" max="2818" width="9.33203125" style="511"/>
    <col min="2819" max="2819" width="6" style="511" customWidth="1"/>
    <col min="2820" max="2820" width="11.33203125" style="511" customWidth="1"/>
    <col min="2821" max="2821" width="62.33203125" style="511" customWidth="1"/>
    <col min="2822" max="2822" width="9.33203125" style="511"/>
    <col min="2823" max="2823" width="12.1640625" style="511" customWidth="1"/>
    <col min="2824" max="2824" width="9.33203125" style="511"/>
    <col min="2825" max="2825" width="13.6640625" style="511" customWidth="1"/>
    <col min="2826" max="2826" width="19.6640625" style="511" customWidth="1"/>
    <col min="2827" max="2827" width="13" style="511" customWidth="1"/>
    <col min="2828" max="3074" width="9.33203125" style="511"/>
    <col min="3075" max="3075" width="6" style="511" customWidth="1"/>
    <col min="3076" max="3076" width="11.33203125" style="511" customWidth="1"/>
    <col min="3077" max="3077" width="62.33203125" style="511" customWidth="1"/>
    <col min="3078" max="3078" width="9.33203125" style="511"/>
    <col min="3079" max="3079" width="12.1640625" style="511" customWidth="1"/>
    <col min="3080" max="3080" width="9.33203125" style="511"/>
    <col min="3081" max="3081" width="13.6640625" style="511" customWidth="1"/>
    <col min="3082" max="3082" width="19.6640625" style="511" customWidth="1"/>
    <col min="3083" max="3083" width="13" style="511" customWidth="1"/>
    <col min="3084" max="3330" width="9.33203125" style="511"/>
    <col min="3331" max="3331" width="6" style="511" customWidth="1"/>
    <col min="3332" max="3332" width="11.33203125" style="511" customWidth="1"/>
    <col min="3333" max="3333" width="62.33203125" style="511" customWidth="1"/>
    <col min="3334" max="3334" width="9.33203125" style="511"/>
    <col min="3335" max="3335" width="12.1640625" style="511" customWidth="1"/>
    <col min="3336" max="3336" width="9.33203125" style="511"/>
    <col min="3337" max="3337" width="13.6640625" style="511" customWidth="1"/>
    <col min="3338" max="3338" width="19.6640625" style="511" customWidth="1"/>
    <col min="3339" max="3339" width="13" style="511" customWidth="1"/>
    <col min="3340" max="3586" width="9.33203125" style="511"/>
    <col min="3587" max="3587" width="6" style="511" customWidth="1"/>
    <col min="3588" max="3588" width="11.33203125" style="511" customWidth="1"/>
    <col min="3589" max="3589" width="62.33203125" style="511" customWidth="1"/>
    <col min="3590" max="3590" width="9.33203125" style="511"/>
    <col min="3591" max="3591" width="12.1640625" style="511" customWidth="1"/>
    <col min="3592" max="3592" width="9.33203125" style="511"/>
    <col min="3593" max="3593" width="13.6640625" style="511" customWidth="1"/>
    <col min="3594" max="3594" width="19.6640625" style="511" customWidth="1"/>
    <col min="3595" max="3595" width="13" style="511" customWidth="1"/>
    <col min="3596" max="3842" width="9.33203125" style="511"/>
    <col min="3843" max="3843" width="6" style="511" customWidth="1"/>
    <col min="3844" max="3844" width="11.33203125" style="511" customWidth="1"/>
    <col min="3845" max="3845" width="62.33203125" style="511" customWidth="1"/>
    <col min="3846" max="3846" width="9.33203125" style="511"/>
    <col min="3847" max="3847" width="12.1640625" style="511" customWidth="1"/>
    <col min="3848" max="3848" width="9.33203125" style="511"/>
    <col min="3849" max="3849" width="13.6640625" style="511" customWidth="1"/>
    <col min="3850" max="3850" width="19.6640625" style="511" customWidth="1"/>
    <col min="3851" max="3851" width="13" style="511" customWidth="1"/>
    <col min="3852" max="4098" width="9.33203125" style="511"/>
    <col min="4099" max="4099" width="6" style="511" customWidth="1"/>
    <col min="4100" max="4100" width="11.33203125" style="511" customWidth="1"/>
    <col min="4101" max="4101" width="62.33203125" style="511" customWidth="1"/>
    <col min="4102" max="4102" width="9.33203125" style="511"/>
    <col min="4103" max="4103" width="12.1640625" style="511" customWidth="1"/>
    <col min="4104" max="4104" width="9.33203125" style="511"/>
    <col min="4105" max="4105" width="13.6640625" style="511" customWidth="1"/>
    <col min="4106" max="4106" width="19.6640625" style="511" customWidth="1"/>
    <col min="4107" max="4107" width="13" style="511" customWidth="1"/>
    <col min="4108" max="4354" width="9.33203125" style="511"/>
    <col min="4355" max="4355" width="6" style="511" customWidth="1"/>
    <col min="4356" max="4356" width="11.33203125" style="511" customWidth="1"/>
    <col min="4357" max="4357" width="62.33203125" style="511" customWidth="1"/>
    <col min="4358" max="4358" width="9.33203125" style="511"/>
    <col min="4359" max="4359" width="12.1640625" style="511" customWidth="1"/>
    <col min="4360" max="4360" width="9.33203125" style="511"/>
    <col min="4361" max="4361" width="13.6640625" style="511" customWidth="1"/>
    <col min="4362" max="4362" width="19.6640625" style="511" customWidth="1"/>
    <col min="4363" max="4363" width="13" style="511" customWidth="1"/>
    <col min="4364" max="4610" width="9.33203125" style="511"/>
    <col min="4611" max="4611" width="6" style="511" customWidth="1"/>
    <col min="4612" max="4612" width="11.33203125" style="511" customWidth="1"/>
    <col min="4613" max="4613" width="62.33203125" style="511" customWidth="1"/>
    <col min="4614" max="4614" width="9.33203125" style="511"/>
    <col min="4615" max="4615" width="12.1640625" style="511" customWidth="1"/>
    <col min="4616" max="4616" width="9.33203125" style="511"/>
    <col min="4617" max="4617" width="13.6640625" style="511" customWidth="1"/>
    <col min="4618" max="4618" width="19.6640625" style="511" customWidth="1"/>
    <col min="4619" max="4619" width="13" style="511" customWidth="1"/>
    <col min="4620" max="4866" width="9.33203125" style="511"/>
    <col min="4867" max="4867" width="6" style="511" customWidth="1"/>
    <col min="4868" max="4868" width="11.33203125" style="511" customWidth="1"/>
    <col min="4869" max="4869" width="62.33203125" style="511" customWidth="1"/>
    <col min="4870" max="4870" width="9.33203125" style="511"/>
    <col min="4871" max="4871" width="12.1640625" style="511" customWidth="1"/>
    <col min="4872" max="4872" width="9.33203125" style="511"/>
    <col min="4873" max="4873" width="13.6640625" style="511" customWidth="1"/>
    <col min="4874" max="4874" width="19.6640625" style="511" customWidth="1"/>
    <col min="4875" max="4875" width="13" style="511" customWidth="1"/>
    <col min="4876" max="5122" width="9.33203125" style="511"/>
    <col min="5123" max="5123" width="6" style="511" customWidth="1"/>
    <col min="5124" max="5124" width="11.33203125" style="511" customWidth="1"/>
    <col min="5125" max="5125" width="62.33203125" style="511" customWidth="1"/>
    <col min="5126" max="5126" width="9.33203125" style="511"/>
    <col min="5127" max="5127" width="12.1640625" style="511" customWidth="1"/>
    <col min="5128" max="5128" width="9.33203125" style="511"/>
    <col min="5129" max="5129" width="13.6640625" style="511" customWidth="1"/>
    <col min="5130" max="5130" width="19.6640625" style="511" customWidth="1"/>
    <col min="5131" max="5131" width="13" style="511" customWidth="1"/>
    <col min="5132" max="5378" width="9.33203125" style="511"/>
    <col min="5379" max="5379" width="6" style="511" customWidth="1"/>
    <col min="5380" max="5380" width="11.33203125" style="511" customWidth="1"/>
    <col min="5381" max="5381" width="62.33203125" style="511" customWidth="1"/>
    <col min="5382" max="5382" width="9.33203125" style="511"/>
    <col min="5383" max="5383" width="12.1640625" style="511" customWidth="1"/>
    <col min="5384" max="5384" width="9.33203125" style="511"/>
    <col min="5385" max="5385" width="13.6640625" style="511" customWidth="1"/>
    <col min="5386" max="5386" width="19.6640625" style="511" customWidth="1"/>
    <col min="5387" max="5387" width="13" style="511" customWidth="1"/>
    <col min="5388" max="5634" width="9.33203125" style="511"/>
    <col min="5635" max="5635" width="6" style="511" customWidth="1"/>
    <col min="5636" max="5636" width="11.33203125" style="511" customWidth="1"/>
    <col min="5637" max="5637" width="62.33203125" style="511" customWidth="1"/>
    <col min="5638" max="5638" width="9.33203125" style="511"/>
    <col min="5639" max="5639" width="12.1640625" style="511" customWidth="1"/>
    <col min="5640" max="5640" width="9.33203125" style="511"/>
    <col min="5641" max="5641" width="13.6640625" style="511" customWidth="1"/>
    <col min="5642" max="5642" width="19.6640625" style="511" customWidth="1"/>
    <col min="5643" max="5643" width="13" style="511" customWidth="1"/>
    <col min="5644" max="5890" width="9.33203125" style="511"/>
    <col min="5891" max="5891" width="6" style="511" customWidth="1"/>
    <col min="5892" max="5892" width="11.33203125" style="511" customWidth="1"/>
    <col min="5893" max="5893" width="62.33203125" style="511" customWidth="1"/>
    <col min="5894" max="5894" width="9.33203125" style="511"/>
    <col min="5895" max="5895" width="12.1640625" style="511" customWidth="1"/>
    <col min="5896" max="5896" width="9.33203125" style="511"/>
    <col min="5897" max="5897" width="13.6640625" style="511" customWidth="1"/>
    <col min="5898" max="5898" width="19.6640625" style="511" customWidth="1"/>
    <col min="5899" max="5899" width="13" style="511" customWidth="1"/>
    <col min="5900" max="6146" width="9.33203125" style="511"/>
    <col min="6147" max="6147" width="6" style="511" customWidth="1"/>
    <col min="6148" max="6148" width="11.33203125" style="511" customWidth="1"/>
    <col min="6149" max="6149" width="62.33203125" style="511" customWidth="1"/>
    <col min="6150" max="6150" width="9.33203125" style="511"/>
    <col min="6151" max="6151" width="12.1640625" style="511" customWidth="1"/>
    <col min="6152" max="6152" width="9.33203125" style="511"/>
    <col min="6153" max="6153" width="13.6640625" style="511" customWidth="1"/>
    <col min="6154" max="6154" width="19.6640625" style="511" customWidth="1"/>
    <col min="6155" max="6155" width="13" style="511" customWidth="1"/>
    <col min="6156" max="6402" width="9.33203125" style="511"/>
    <col min="6403" max="6403" width="6" style="511" customWidth="1"/>
    <col min="6404" max="6404" width="11.33203125" style="511" customWidth="1"/>
    <col min="6405" max="6405" width="62.33203125" style="511" customWidth="1"/>
    <col min="6406" max="6406" width="9.33203125" style="511"/>
    <col min="6407" max="6407" width="12.1640625" style="511" customWidth="1"/>
    <col min="6408" max="6408" width="9.33203125" style="511"/>
    <col min="6409" max="6409" width="13.6640625" style="511" customWidth="1"/>
    <col min="6410" max="6410" width="19.6640625" style="511" customWidth="1"/>
    <col min="6411" max="6411" width="13" style="511" customWidth="1"/>
    <col min="6412" max="6658" width="9.33203125" style="511"/>
    <col min="6659" max="6659" width="6" style="511" customWidth="1"/>
    <col min="6660" max="6660" width="11.33203125" style="511" customWidth="1"/>
    <col min="6661" max="6661" width="62.33203125" style="511" customWidth="1"/>
    <col min="6662" max="6662" width="9.33203125" style="511"/>
    <col min="6663" max="6663" width="12.1640625" style="511" customWidth="1"/>
    <col min="6664" max="6664" width="9.33203125" style="511"/>
    <col min="6665" max="6665" width="13.6640625" style="511" customWidth="1"/>
    <col min="6666" max="6666" width="19.6640625" style="511" customWidth="1"/>
    <col min="6667" max="6667" width="13" style="511" customWidth="1"/>
    <col min="6668" max="6914" width="9.33203125" style="511"/>
    <col min="6915" max="6915" width="6" style="511" customWidth="1"/>
    <col min="6916" max="6916" width="11.33203125" style="511" customWidth="1"/>
    <col min="6917" max="6917" width="62.33203125" style="511" customWidth="1"/>
    <col min="6918" max="6918" width="9.33203125" style="511"/>
    <col min="6919" max="6919" width="12.1640625" style="511" customWidth="1"/>
    <col min="6920" max="6920" width="9.33203125" style="511"/>
    <col min="6921" max="6921" width="13.6640625" style="511" customWidth="1"/>
    <col min="6922" max="6922" width="19.6640625" style="511" customWidth="1"/>
    <col min="6923" max="6923" width="13" style="511" customWidth="1"/>
    <col min="6924" max="7170" width="9.33203125" style="511"/>
    <col min="7171" max="7171" width="6" style="511" customWidth="1"/>
    <col min="7172" max="7172" width="11.33203125" style="511" customWidth="1"/>
    <col min="7173" max="7173" width="62.33203125" style="511" customWidth="1"/>
    <col min="7174" max="7174" width="9.33203125" style="511"/>
    <col min="7175" max="7175" width="12.1640625" style="511" customWidth="1"/>
    <col min="7176" max="7176" width="9.33203125" style="511"/>
    <col min="7177" max="7177" width="13.6640625" style="511" customWidth="1"/>
    <col min="7178" max="7178" width="19.6640625" style="511" customWidth="1"/>
    <col min="7179" max="7179" width="13" style="511" customWidth="1"/>
    <col min="7180" max="7426" width="9.33203125" style="511"/>
    <col min="7427" max="7427" width="6" style="511" customWidth="1"/>
    <col min="7428" max="7428" width="11.33203125" style="511" customWidth="1"/>
    <col min="7429" max="7429" width="62.33203125" style="511" customWidth="1"/>
    <col min="7430" max="7430" width="9.33203125" style="511"/>
    <col min="7431" max="7431" width="12.1640625" style="511" customWidth="1"/>
    <col min="7432" max="7432" width="9.33203125" style="511"/>
    <col min="7433" max="7433" width="13.6640625" style="511" customWidth="1"/>
    <col min="7434" max="7434" width="19.6640625" style="511" customWidth="1"/>
    <col min="7435" max="7435" width="13" style="511" customWidth="1"/>
    <col min="7436" max="7682" width="9.33203125" style="511"/>
    <col min="7683" max="7683" width="6" style="511" customWidth="1"/>
    <col min="7684" max="7684" width="11.33203125" style="511" customWidth="1"/>
    <col min="7685" max="7685" width="62.33203125" style="511" customWidth="1"/>
    <col min="7686" max="7686" width="9.33203125" style="511"/>
    <col min="7687" max="7687" width="12.1640625" style="511" customWidth="1"/>
    <col min="7688" max="7688" width="9.33203125" style="511"/>
    <col min="7689" max="7689" width="13.6640625" style="511" customWidth="1"/>
    <col min="7690" max="7690" width="19.6640625" style="511" customWidth="1"/>
    <col min="7691" max="7691" width="13" style="511" customWidth="1"/>
    <col min="7692" max="7938" width="9.33203125" style="511"/>
    <col min="7939" max="7939" width="6" style="511" customWidth="1"/>
    <col min="7940" max="7940" width="11.33203125" style="511" customWidth="1"/>
    <col min="7941" max="7941" width="62.33203125" style="511" customWidth="1"/>
    <col min="7942" max="7942" width="9.33203125" style="511"/>
    <col min="7943" max="7943" width="12.1640625" style="511" customWidth="1"/>
    <col min="7944" max="7944" width="9.33203125" style="511"/>
    <col min="7945" max="7945" width="13.6640625" style="511" customWidth="1"/>
    <col min="7946" max="7946" width="19.6640625" style="511" customWidth="1"/>
    <col min="7947" max="7947" width="13" style="511" customWidth="1"/>
    <col min="7948" max="8194" width="9.33203125" style="511"/>
    <col min="8195" max="8195" width="6" style="511" customWidth="1"/>
    <col min="8196" max="8196" width="11.33203125" style="511" customWidth="1"/>
    <col min="8197" max="8197" width="62.33203125" style="511" customWidth="1"/>
    <col min="8198" max="8198" width="9.33203125" style="511"/>
    <col min="8199" max="8199" width="12.1640625" style="511" customWidth="1"/>
    <col min="8200" max="8200" width="9.33203125" style="511"/>
    <col min="8201" max="8201" width="13.6640625" style="511" customWidth="1"/>
    <col min="8202" max="8202" width="19.6640625" style="511" customWidth="1"/>
    <col min="8203" max="8203" width="13" style="511" customWidth="1"/>
    <col min="8204" max="8450" width="9.33203125" style="511"/>
    <col min="8451" max="8451" width="6" style="511" customWidth="1"/>
    <col min="8452" max="8452" width="11.33203125" style="511" customWidth="1"/>
    <col min="8453" max="8453" width="62.33203125" style="511" customWidth="1"/>
    <col min="8454" max="8454" width="9.33203125" style="511"/>
    <col min="8455" max="8455" width="12.1640625" style="511" customWidth="1"/>
    <col min="8456" max="8456" width="9.33203125" style="511"/>
    <col min="8457" max="8457" width="13.6640625" style="511" customWidth="1"/>
    <col min="8458" max="8458" width="19.6640625" style="511" customWidth="1"/>
    <col min="8459" max="8459" width="13" style="511" customWidth="1"/>
    <col min="8460" max="8706" width="9.33203125" style="511"/>
    <col min="8707" max="8707" width="6" style="511" customWidth="1"/>
    <col min="8708" max="8708" width="11.33203125" style="511" customWidth="1"/>
    <col min="8709" max="8709" width="62.33203125" style="511" customWidth="1"/>
    <col min="8710" max="8710" width="9.33203125" style="511"/>
    <col min="8711" max="8711" width="12.1640625" style="511" customWidth="1"/>
    <col min="8712" max="8712" width="9.33203125" style="511"/>
    <col min="8713" max="8713" width="13.6640625" style="511" customWidth="1"/>
    <col min="8714" max="8714" width="19.6640625" style="511" customWidth="1"/>
    <col min="8715" max="8715" width="13" style="511" customWidth="1"/>
    <col min="8716" max="8962" width="9.33203125" style="511"/>
    <col min="8963" max="8963" width="6" style="511" customWidth="1"/>
    <col min="8964" max="8964" width="11.33203125" style="511" customWidth="1"/>
    <col min="8965" max="8965" width="62.33203125" style="511" customWidth="1"/>
    <col min="8966" max="8966" width="9.33203125" style="511"/>
    <col min="8967" max="8967" width="12.1640625" style="511" customWidth="1"/>
    <col min="8968" max="8968" width="9.33203125" style="511"/>
    <col min="8969" max="8969" width="13.6640625" style="511" customWidth="1"/>
    <col min="8970" max="8970" width="19.6640625" style="511" customWidth="1"/>
    <col min="8971" max="8971" width="13" style="511" customWidth="1"/>
    <col min="8972" max="9218" width="9.33203125" style="511"/>
    <col min="9219" max="9219" width="6" style="511" customWidth="1"/>
    <col min="9220" max="9220" width="11.33203125" style="511" customWidth="1"/>
    <col min="9221" max="9221" width="62.33203125" style="511" customWidth="1"/>
    <col min="9222" max="9222" width="9.33203125" style="511"/>
    <col min="9223" max="9223" width="12.1640625" style="511" customWidth="1"/>
    <col min="9224" max="9224" width="9.33203125" style="511"/>
    <col min="9225" max="9225" width="13.6640625" style="511" customWidth="1"/>
    <col min="9226" max="9226" width="19.6640625" style="511" customWidth="1"/>
    <col min="9227" max="9227" width="13" style="511" customWidth="1"/>
    <col min="9228" max="9474" width="9.33203125" style="511"/>
    <col min="9475" max="9475" width="6" style="511" customWidth="1"/>
    <col min="9476" max="9476" width="11.33203125" style="511" customWidth="1"/>
    <col min="9477" max="9477" width="62.33203125" style="511" customWidth="1"/>
    <col min="9478" max="9478" width="9.33203125" style="511"/>
    <col min="9479" max="9479" width="12.1640625" style="511" customWidth="1"/>
    <col min="9480" max="9480" width="9.33203125" style="511"/>
    <col min="9481" max="9481" width="13.6640625" style="511" customWidth="1"/>
    <col min="9482" max="9482" width="19.6640625" style="511" customWidth="1"/>
    <col min="9483" max="9483" width="13" style="511" customWidth="1"/>
    <col min="9484" max="9730" width="9.33203125" style="511"/>
    <col min="9731" max="9731" width="6" style="511" customWidth="1"/>
    <col min="9732" max="9732" width="11.33203125" style="511" customWidth="1"/>
    <col min="9733" max="9733" width="62.33203125" style="511" customWidth="1"/>
    <col min="9734" max="9734" width="9.33203125" style="511"/>
    <col min="9735" max="9735" width="12.1640625" style="511" customWidth="1"/>
    <col min="9736" max="9736" width="9.33203125" style="511"/>
    <col min="9737" max="9737" width="13.6640625" style="511" customWidth="1"/>
    <col min="9738" max="9738" width="19.6640625" style="511" customWidth="1"/>
    <col min="9739" max="9739" width="13" style="511" customWidth="1"/>
    <col min="9740" max="9986" width="9.33203125" style="511"/>
    <col min="9987" max="9987" width="6" style="511" customWidth="1"/>
    <col min="9988" max="9988" width="11.33203125" style="511" customWidth="1"/>
    <col min="9989" max="9989" width="62.33203125" style="511" customWidth="1"/>
    <col min="9990" max="9990" width="9.33203125" style="511"/>
    <col min="9991" max="9991" width="12.1640625" style="511" customWidth="1"/>
    <col min="9992" max="9992" width="9.33203125" style="511"/>
    <col min="9993" max="9993" width="13.6640625" style="511" customWidth="1"/>
    <col min="9994" max="9994" width="19.6640625" style="511" customWidth="1"/>
    <col min="9995" max="9995" width="13" style="511" customWidth="1"/>
    <col min="9996" max="10242" width="9.33203125" style="511"/>
    <col min="10243" max="10243" width="6" style="511" customWidth="1"/>
    <col min="10244" max="10244" width="11.33203125" style="511" customWidth="1"/>
    <col min="10245" max="10245" width="62.33203125" style="511" customWidth="1"/>
    <col min="10246" max="10246" width="9.33203125" style="511"/>
    <col min="10247" max="10247" width="12.1640625" style="511" customWidth="1"/>
    <col min="10248" max="10248" width="9.33203125" style="511"/>
    <col min="10249" max="10249" width="13.6640625" style="511" customWidth="1"/>
    <col min="10250" max="10250" width="19.6640625" style="511" customWidth="1"/>
    <col min="10251" max="10251" width="13" style="511" customWidth="1"/>
    <col min="10252" max="10498" width="9.33203125" style="511"/>
    <col min="10499" max="10499" width="6" style="511" customWidth="1"/>
    <col min="10500" max="10500" width="11.33203125" style="511" customWidth="1"/>
    <col min="10501" max="10501" width="62.33203125" style="511" customWidth="1"/>
    <col min="10502" max="10502" width="9.33203125" style="511"/>
    <col min="10503" max="10503" width="12.1640625" style="511" customWidth="1"/>
    <col min="10504" max="10504" width="9.33203125" style="511"/>
    <col min="10505" max="10505" width="13.6640625" style="511" customWidth="1"/>
    <col min="10506" max="10506" width="19.6640625" style="511" customWidth="1"/>
    <col min="10507" max="10507" width="13" style="511" customWidth="1"/>
    <col min="10508" max="10754" width="9.33203125" style="511"/>
    <col min="10755" max="10755" width="6" style="511" customWidth="1"/>
    <col min="10756" max="10756" width="11.33203125" style="511" customWidth="1"/>
    <col min="10757" max="10757" width="62.33203125" style="511" customWidth="1"/>
    <col min="10758" max="10758" width="9.33203125" style="511"/>
    <col min="10759" max="10759" width="12.1640625" style="511" customWidth="1"/>
    <col min="10760" max="10760" width="9.33203125" style="511"/>
    <col min="10761" max="10761" width="13.6640625" style="511" customWidth="1"/>
    <col min="10762" max="10762" width="19.6640625" style="511" customWidth="1"/>
    <col min="10763" max="10763" width="13" style="511" customWidth="1"/>
    <col min="10764" max="11010" width="9.33203125" style="511"/>
    <col min="11011" max="11011" width="6" style="511" customWidth="1"/>
    <col min="11012" max="11012" width="11.33203125" style="511" customWidth="1"/>
    <col min="11013" max="11013" width="62.33203125" style="511" customWidth="1"/>
    <col min="11014" max="11014" width="9.33203125" style="511"/>
    <col min="11015" max="11015" width="12.1640625" style="511" customWidth="1"/>
    <col min="11016" max="11016" width="9.33203125" style="511"/>
    <col min="11017" max="11017" width="13.6640625" style="511" customWidth="1"/>
    <col min="11018" max="11018" width="19.6640625" style="511" customWidth="1"/>
    <col min="11019" max="11019" width="13" style="511" customWidth="1"/>
    <col min="11020" max="11266" width="9.33203125" style="511"/>
    <col min="11267" max="11267" width="6" style="511" customWidth="1"/>
    <col min="11268" max="11268" width="11.33203125" style="511" customWidth="1"/>
    <col min="11269" max="11269" width="62.33203125" style="511" customWidth="1"/>
    <col min="11270" max="11270" width="9.33203125" style="511"/>
    <col min="11271" max="11271" width="12.1640625" style="511" customWidth="1"/>
    <col min="11272" max="11272" width="9.33203125" style="511"/>
    <col min="11273" max="11273" width="13.6640625" style="511" customWidth="1"/>
    <col min="11274" max="11274" width="19.6640625" style="511" customWidth="1"/>
    <col min="11275" max="11275" width="13" style="511" customWidth="1"/>
    <col min="11276" max="11522" width="9.33203125" style="511"/>
    <col min="11523" max="11523" width="6" style="511" customWidth="1"/>
    <col min="11524" max="11524" width="11.33203125" style="511" customWidth="1"/>
    <col min="11525" max="11525" width="62.33203125" style="511" customWidth="1"/>
    <col min="11526" max="11526" width="9.33203125" style="511"/>
    <col min="11527" max="11527" width="12.1640625" style="511" customWidth="1"/>
    <col min="11528" max="11528" width="9.33203125" style="511"/>
    <col min="11529" max="11529" width="13.6640625" style="511" customWidth="1"/>
    <col min="11530" max="11530" width="19.6640625" style="511" customWidth="1"/>
    <col min="11531" max="11531" width="13" style="511" customWidth="1"/>
    <col min="11532" max="11778" width="9.33203125" style="511"/>
    <col min="11779" max="11779" width="6" style="511" customWidth="1"/>
    <col min="11780" max="11780" width="11.33203125" style="511" customWidth="1"/>
    <col min="11781" max="11781" width="62.33203125" style="511" customWidth="1"/>
    <col min="11782" max="11782" width="9.33203125" style="511"/>
    <col min="11783" max="11783" width="12.1640625" style="511" customWidth="1"/>
    <col min="11784" max="11784" width="9.33203125" style="511"/>
    <col min="11785" max="11785" width="13.6640625" style="511" customWidth="1"/>
    <col min="11786" max="11786" width="19.6640625" style="511" customWidth="1"/>
    <col min="11787" max="11787" width="13" style="511" customWidth="1"/>
    <col min="11788" max="12034" width="9.33203125" style="511"/>
    <col min="12035" max="12035" width="6" style="511" customWidth="1"/>
    <col min="12036" max="12036" width="11.33203125" style="511" customWidth="1"/>
    <col min="12037" max="12037" width="62.33203125" style="511" customWidth="1"/>
    <col min="12038" max="12038" width="9.33203125" style="511"/>
    <col min="12039" max="12039" width="12.1640625" style="511" customWidth="1"/>
    <col min="12040" max="12040" width="9.33203125" style="511"/>
    <col min="12041" max="12041" width="13.6640625" style="511" customWidth="1"/>
    <col min="12042" max="12042" width="19.6640625" style="511" customWidth="1"/>
    <col min="12043" max="12043" width="13" style="511" customWidth="1"/>
    <col min="12044" max="12290" width="9.33203125" style="511"/>
    <col min="12291" max="12291" width="6" style="511" customWidth="1"/>
    <col min="12292" max="12292" width="11.33203125" style="511" customWidth="1"/>
    <col min="12293" max="12293" width="62.33203125" style="511" customWidth="1"/>
    <col min="12294" max="12294" width="9.33203125" style="511"/>
    <col min="12295" max="12295" width="12.1640625" style="511" customWidth="1"/>
    <col min="12296" max="12296" width="9.33203125" style="511"/>
    <col min="12297" max="12297" width="13.6640625" style="511" customWidth="1"/>
    <col min="12298" max="12298" width="19.6640625" style="511" customWidth="1"/>
    <col min="12299" max="12299" width="13" style="511" customWidth="1"/>
    <col min="12300" max="12546" width="9.33203125" style="511"/>
    <col min="12547" max="12547" width="6" style="511" customWidth="1"/>
    <col min="12548" max="12548" width="11.33203125" style="511" customWidth="1"/>
    <col min="12549" max="12549" width="62.33203125" style="511" customWidth="1"/>
    <col min="12550" max="12550" width="9.33203125" style="511"/>
    <col min="12551" max="12551" width="12.1640625" style="511" customWidth="1"/>
    <col min="12552" max="12552" width="9.33203125" style="511"/>
    <col min="12553" max="12553" width="13.6640625" style="511" customWidth="1"/>
    <col min="12554" max="12554" width="19.6640625" style="511" customWidth="1"/>
    <col min="12555" max="12555" width="13" style="511" customWidth="1"/>
    <col min="12556" max="12802" width="9.33203125" style="511"/>
    <col min="12803" max="12803" width="6" style="511" customWidth="1"/>
    <col min="12804" max="12804" width="11.33203125" style="511" customWidth="1"/>
    <col min="12805" max="12805" width="62.33203125" style="511" customWidth="1"/>
    <col min="12806" max="12806" width="9.33203125" style="511"/>
    <col min="12807" max="12807" width="12.1640625" style="511" customWidth="1"/>
    <col min="12808" max="12808" width="9.33203125" style="511"/>
    <col min="12809" max="12809" width="13.6640625" style="511" customWidth="1"/>
    <col min="12810" max="12810" width="19.6640625" style="511" customWidth="1"/>
    <col min="12811" max="12811" width="13" style="511" customWidth="1"/>
    <col min="12812" max="13058" width="9.33203125" style="511"/>
    <col min="13059" max="13059" width="6" style="511" customWidth="1"/>
    <col min="13060" max="13060" width="11.33203125" style="511" customWidth="1"/>
    <col min="13061" max="13061" width="62.33203125" style="511" customWidth="1"/>
    <col min="13062" max="13062" width="9.33203125" style="511"/>
    <col min="13063" max="13063" width="12.1640625" style="511" customWidth="1"/>
    <col min="13064" max="13064" width="9.33203125" style="511"/>
    <col min="13065" max="13065" width="13.6640625" style="511" customWidth="1"/>
    <col min="13066" max="13066" width="19.6640625" style="511" customWidth="1"/>
    <col min="13067" max="13067" width="13" style="511" customWidth="1"/>
    <col min="13068" max="13314" width="9.33203125" style="511"/>
    <col min="13315" max="13315" width="6" style="511" customWidth="1"/>
    <col min="13316" max="13316" width="11.33203125" style="511" customWidth="1"/>
    <col min="13317" max="13317" width="62.33203125" style="511" customWidth="1"/>
    <col min="13318" max="13318" width="9.33203125" style="511"/>
    <col min="13319" max="13319" width="12.1640625" style="511" customWidth="1"/>
    <col min="13320" max="13320" width="9.33203125" style="511"/>
    <col min="13321" max="13321" width="13.6640625" style="511" customWidth="1"/>
    <col min="13322" max="13322" width="19.6640625" style="511" customWidth="1"/>
    <col min="13323" max="13323" width="13" style="511" customWidth="1"/>
    <col min="13324" max="13570" width="9.33203125" style="511"/>
    <col min="13571" max="13571" width="6" style="511" customWidth="1"/>
    <col min="13572" max="13572" width="11.33203125" style="511" customWidth="1"/>
    <col min="13573" max="13573" width="62.33203125" style="511" customWidth="1"/>
    <col min="13574" max="13574" width="9.33203125" style="511"/>
    <col min="13575" max="13575" width="12.1640625" style="511" customWidth="1"/>
    <col min="13576" max="13576" width="9.33203125" style="511"/>
    <col min="13577" max="13577" width="13.6640625" style="511" customWidth="1"/>
    <col min="13578" max="13578" width="19.6640625" style="511" customWidth="1"/>
    <col min="13579" max="13579" width="13" style="511" customWidth="1"/>
    <col min="13580" max="13826" width="9.33203125" style="511"/>
    <col min="13827" max="13827" width="6" style="511" customWidth="1"/>
    <col min="13828" max="13828" width="11.33203125" style="511" customWidth="1"/>
    <col min="13829" max="13829" width="62.33203125" style="511" customWidth="1"/>
    <col min="13830" max="13830" width="9.33203125" style="511"/>
    <col min="13831" max="13831" width="12.1640625" style="511" customWidth="1"/>
    <col min="13832" max="13832" width="9.33203125" style="511"/>
    <col min="13833" max="13833" width="13.6640625" style="511" customWidth="1"/>
    <col min="13834" max="13834" width="19.6640625" style="511" customWidth="1"/>
    <col min="13835" max="13835" width="13" style="511" customWidth="1"/>
    <col min="13836" max="14082" width="9.33203125" style="511"/>
    <col min="14083" max="14083" width="6" style="511" customWidth="1"/>
    <col min="14084" max="14084" width="11.33203125" style="511" customWidth="1"/>
    <col min="14085" max="14085" width="62.33203125" style="511" customWidth="1"/>
    <col min="14086" max="14086" width="9.33203125" style="511"/>
    <col min="14087" max="14087" width="12.1640625" style="511" customWidth="1"/>
    <col min="14088" max="14088" width="9.33203125" style="511"/>
    <col min="14089" max="14089" width="13.6640625" style="511" customWidth="1"/>
    <col min="14090" max="14090" width="19.6640625" style="511" customWidth="1"/>
    <col min="14091" max="14091" width="13" style="511" customWidth="1"/>
    <col min="14092" max="14338" width="9.33203125" style="511"/>
    <col min="14339" max="14339" width="6" style="511" customWidth="1"/>
    <col min="14340" max="14340" width="11.33203125" style="511" customWidth="1"/>
    <col min="14341" max="14341" width="62.33203125" style="511" customWidth="1"/>
    <col min="14342" max="14342" width="9.33203125" style="511"/>
    <col min="14343" max="14343" width="12.1640625" style="511" customWidth="1"/>
    <col min="14344" max="14344" width="9.33203125" style="511"/>
    <col min="14345" max="14345" width="13.6640625" style="511" customWidth="1"/>
    <col min="14346" max="14346" width="19.6640625" style="511" customWidth="1"/>
    <col min="14347" max="14347" width="13" style="511" customWidth="1"/>
    <col min="14348" max="14594" width="9.33203125" style="511"/>
    <col min="14595" max="14595" width="6" style="511" customWidth="1"/>
    <col min="14596" max="14596" width="11.33203125" style="511" customWidth="1"/>
    <col min="14597" max="14597" width="62.33203125" style="511" customWidth="1"/>
    <col min="14598" max="14598" width="9.33203125" style="511"/>
    <col min="14599" max="14599" width="12.1640625" style="511" customWidth="1"/>
    <col min="14600" max="14600" width="9.33203125" style="511"/>
    <col min="14601" max="14601" width="13.6640625" style="511" customWidth="1"/>
    <col min="14602" max="14602" width="19.6640625" style="511" customWidth="1"/>
    <col min="14603" max="14603" width="13" style="511" customWidth="1"/>
    <col min="14604" max="14850" width="9.33203125" style="511"/>
    <col min="14851" max="14851" width="6" style="511" customWidth="1"/>
    <col min="14852" max="14852" width="11.33203125" style="511" customWidth="1"/>
    <col min="14853" max="14853" width="62.33203125" style="511" customWidth="1"/>
    <col min="14854" max="14854" width="9.33203125" style="511"/>
    <col min="14855" max="14855" width="12.1640625" style="511" customWidth="1"/>
    <col min="14856" max="14856" width="9.33203125" style="511"/>
    <col min="14857" max="14857" width="13.6640625" style="511" customWidth="1"/>
    <col min="14858" max="14858" width="19.6640625" style="511" customWidth="1"/>
    <col min="14859" max="14859" width="13" style="511" customWidth="1"/>
    <col min="14860" max="15106" width="9.33203125" style="511"/>
    <col min="15107" max="15107" width="6" style="511" customWidth="1"/>
    <col min="15108" max="15108" width="11.33203125" style="511" customWidth="1"/>
    <col min="15109" max="15109" width="62.33203125" style="511" customWidth="1"/>
    <col min="15110" max="15110" width="9.33203125" style="511"/>
    <col min="15111" max="15111" width="12.1640625" style="511" customWidth="1"/>
    <col min="15112" max="15112" width="9.33203125" style="511"/>
    <col min="15113" max="15113" width="13.6640625" style="511" customWidth="1"/>
    <col min="15114" max="15114" width="19.6640625" style="511" customWidth="1"/>
    <col min="15115" max="15115" width="13" style="511" customWidth="1"/>
    <col min="15116" max="15362" width="9.33203125" style="511"/>
    <col min="15363" max="15363" width="6" style="511" customWidth="1"/>
    <col min="15364" max="15364" width="11.33203125" style="511" customWidth="1"/>
    <col min="15365" max="15365" width="62.33203125" style="511" customWidth="1"/>
    <col min="15366" max="15366" width="9.33203125" style="511"/>
    <col min="15367" max="15367" width="12.1640625" style="511" customWidth="1"/>
    <col min="15368" max="15368" width="9.33203125" style="511"/>
    <col min="15369" max="15369" width="13.6640625" style="511" customWidth="1"/>
    <col min="15370" max="15370" width="19.6640625" style="511" customWidth="1"/>
    <col min="15371" max="15371" width="13" style="511" customWidth="1"/>
    <col min="15372" max="15618" width="9.33203125" style="511"/>
    <col min="15619" max="15619" width="6" style="511" customWidth="1"/>
    <col min="15620" max="15620" width="11.33203125" style="511" customWidth="1"/>
    <col min="15621" max="15621" width="62.33203125" style="511" customWidth="1"/>
    <col min="15622" max="15622" width="9.33203125" style="511"/>
    <col min="15623" max="15623" width="12.1640625" style="511" customWidth="1"/>
    <col min="15624" max="15624" width="9.33203125" style="511"/>
    <col min="15625" max="15625" width="13.6640625" style="511" customWidth="1"/>
    <col min="15626" max="15626" width="19.6640625" style="511" customWidth="1"/>
    <col min="15627" max="15627" width="13" style="511" customWidth="1"/>
    <col min="15628" max="15874" width="9.33203125" style="511"/>
    <col min="15875" max="15875" width="6" style="511" customWidth="1"/>
    <col min="15876" max="15876" width="11.33203125" style="511" customWidth="1"/>
    <col min="15877" max="15877" width="62.33203125" style="511" customWidth="1"/>
    <col min="15878" max="15878" width="9.33203125" style="511"/>
    <col min="15879" max="15879" width="12.1640625" style="511" customWidth="1"/>
    <col min="15880" max="15880" width="9.33203125" style="511"/>
    <col min="15881" max="15881" width="13.6640625" style="511" customWidth="1"/>
    <col min="15882" max="15882" width="19.6640625" style="511" customWidth="1"/>
    <col min="15883" max="15883" width="13" style="511" customWidth="1"/>
    <col min="15884" max="16130" width="9.33203125" style="511"/>
    <col min="16131" max="16131" width="6" style="511" customWidth="1"/>
    <col min="16132" max="16132" width="11.33203125" style="511" customWidth="1"/>
    <col min="16133" max="16133" width="62.33203125" style="511" customWidth="1"/>
    <col min="16134" max="16134" width="9.33203125" style="511"/>
    <col min="16135" max="16135" width="12.1640625" style="511" customWidth="1"/>
    <col min="16136" max="16136" width="9.33203125" style="511"/>
    <col min="16137" max="16137" width="13.6640625" style="511" customWidth="1"/>
    <col min="16138" max="16138" width="19.6640625" style="511" customWidth="1"/>
    <col min="16139" max="16139" width="13" style="511" customWidth="1"/>
    <col min="16140" max="16384" width="9.33203125" style="511"/>
  </cols>
  <sheetData>
    <row r="1" spans="1:12" x14ac:dyDescent="0.25">
      <c r="D1" s="511" t="s">
        <v>1264</v>
      </c>
    </row>
    <row r="2" spans="1:12" x14ac:dyDescent="0.25">
      <c r="D2" s="511" t="s">
        <v>1265</v>
      </c>
    </row>
    <row r="3" spans="1:12" x14ac:dyDescent="0.25">
      <c r="D3" s="511" t="s">
        <v>1266</v>
      </c>
    </row>
    <row r="4" spans="1:12" x14ac:dyDescent="0.25">
      <c r="D4" s="511" t="s">
        <v>1267</v>
      </c>
    </row>
    <row r="5" spans="1:12" x14ac:dyDescent="0.25">
      <c r="D5" s="511" t="s">
        <v>1268</v>
      </c>
    </row>
    <row r="6" spans="1:12" x14ac:dyDescent="0.25">
      <c r="D6" s="511" t="s">
        <v>1269</v>
      </c>
    </row>
    <row r="8" spans="1:12" x14ac:dyDescent="0.25">
      <c r="A8" s="2796" t="s">
        <v>1270</v>
      </c>
      <c r="B8" s="2796"/>
      <c r="C8" s="2796"/>
      <c r="D8" s="2796"/>
      <c r="E8" s="2796"/>
      <c r="F8" s="2796"/>
      <c r="G8" s="2796"/>
    </row>
    <row r="9" spans="1:12" x14ac:dyDescent="0.25">
      <c r="A9" s="2796" t="s">
        <v>1271</v>
      </c>
      <c r="B9" s="2796"/>
      <c r="C9" s="2796"/>
      <c r="D9" s="2796"/>
      <c r="E9" s="2796"/>
      <c r="F9" s="2796"/>
      <c r="G9" s="2796"/>
    </row>
    <row r="10" spans="1:12" x14ac:dyDescent="0.25">
      <c r="A10" s="2796" t="s">
        <v>1272</v>
      </c>
      <c r="B10" s="2796"/>
      <c r="C10" s="2796"/>
      <c r="D10" s="2796"/>
      <c r="E10" s="2796"/>
      <c r="F10" s="2796"/>
      <c r="G10" s="2796"/>
    </row>
    <row r="11" spans="1:12" x14ac:dyDescent="0.25">
      <c r="A11" s="2796" t="s">
        <v>1256</v>
      </c>
      <c r="B11" s="2796"/>
      <c r="C11" s="2796"/>
      <c r="D11" s="2796"/>
      <c r="E11" s="2796"/>
      <c r="F11" s="2796"/>
      <c r="G11" s="2796"/>
    </row>
    <row r="12" spans="1:12" x14ac:dyDescent="0.25">
      <c r="A12" s="2796"/>
      <c r="B12" s="2796"/>
      <c r="C12" s="2796"/>
      <c r="D12" s="2796"/>
      <c r="E12" s="2796"/>
      <c r="F12" s="2796"/>
      <c r="G12" s="2796"/>
    </row>
    <row r="13" spans="1:12" x14ac:dyDescent="0.25">
      <c r="H13" s="929">
        <v>43829</v>
      </c>
      <c r="I13" s="929"/>
      <c r="J13" s="929"/>
    </row>
    <row r="14" spans="1:12" s="764" customFormat="1" ht="32.25" customHeight="1" x14ac:dyDescent="0.2">
      <c r="A14" s="765" t="s">
        <v>319</v>
      </c>
      <c r="B14" s="763" t="s">
        <v>1113</v>
      </c>
      <c r="C14" s="842" t="s">
        <v>1273</v>
      </c>
      <c r="D14" s="842" t="s">
        <v>1274</v>
      </c>
      <c r="E14" s="765" t="s">
        <v>1275</v>
      </c>
      <c r="F14" s="842" t="s">
        <v>358</v>
      </c>
      <c r="G14" s="842" t="s">
        <v>418</v>
      </c>
      <c r="H14" s="765" t="s">
        <v>1276</v>
      </c>
      <c r="I14" s="765" t="s">
        <v>233</v>
      </c>
      <c r="J14" s="765" t="s">
        <v>234</v>
      </c>
    </row>
    <row r="15" spans="1:12" s="841" customFormat="1" ht="26.1" customHeight="1" x14ac:dyDescent="0.25">
      <c r="A15" s="843">
        <v>1</v>
      </c>
      <c r="B15" s="844" t="s">
        <v>1277</v>
      </c>
      <c r="C15" s="845" t="s">
        <v>1278</v>
      </c>
      <c r="D15" s="846" t="s">
        <v>1279</v>
      </c>
      <c r="E15" s="847">
        <v>31900</v>
      </c>
      <c r="F15" s="846">
        <v>1</v>
      </c>
      <c r="G15" s="848">
        <f t="shared" ref="G15:G27" si="0">E15*F15</f>
        <v>31900</v>
      </c>
      <c r="H15" s="857">
        <f>G15/6*3/1000+3.2</f>
        <v>19.149999999999999</v>
      </c>
      <c r="I15" s="857">
        <v>19.149999999999999</v>
      </c>
      <c r="J15" s="857">
        <v>19.149999999999999</v>
      </c>
      <c r="K15" s="849">
        <f>H15+[20]расходы!$H$15</f>
        <v>3208.75</v>
      </c>
      <c r="L15" s="841">
        <v>15950</v>
      </c>
    </row>
    <row r="16" spans="1:12" s="841" customFormat="1" ht="26.1" customHeight="1" x14ac:dyDescent="0.25">
      <c r="A16" s="843">
        <v>2</v>
      </c>
      <c r="B16" s="844" t="s">
        <v>1280</v>
      </c>
      <c r="C16" s="845" t="s">
        <v>1281</v>
      </c>
      <c r="D16" s="846" t="s">
        <v>1279</v>
      </c>
      <c r="E16" s="847">
        <v>15800</v>
      </c>
      <c r="F16" s="846">
        <v>1</v>
      </c>
      <c r="G16" s="848">
        <f t="shared" si="0"/>
        <v>15800</v>
      </c>
      <c r="H16" s="857">
        <f>G16/6*3/1000+0.58</f>
        <v>8.48</v>
      </c>
      <c r="I16" s="857">
        <v>8.48</v>
      </c>
      <c r="J16" s="857">
        <v>8.48</v>
      </c>
      <c r="K16" s="849">
        <f>H16+[20]расходы!$H$16</f>
        <v>588.08000000000004</v>
      </c>
      <c r="L16" s="841">
        <v>7900</v>
      </c>
    </row>
    <row r="17" spans="1:12" s="841" customFormat="1" ht="26.1" customHeight="1" x14ac:dyDescent="0.25">
      <c r="A17" s="843">
        <v>3</v>
      </c>
      <c r="B17" s="844" t="s">
        <v>1282</v>
      </c>
      <c r="C17" s="845" t="s">
        <v>1283</v>
      </c>
      <c r="D17" s="846" t="s">
        <v>1279</v>
      </c>
      <c r="E17" s="847">
        <v>12100</v>
      </c>
      <c r="F17" s="850">
        <v>1</v>
      </c>
      <c r="G17" s="848">
        <f t="shared" si="0"/>
        <v>12100</v>
      </c>
      <c r="H17" s="857">
        <f>G17/6*3/1000+1.21</f>
        <v>7.26</v>
      </c>
      <c r="I17" s="857">
        <v>7.26</v>
      </c>
      <c r="J17" s="857">
        <v>7.26</v>
      </c>
      <c r="K17" s="849">
        <f>H17+[20]расходы!$H$17</f>
        <v>1216.8599999999999</v>
      </c>
      <c r="L17" s="841">
        <v>6050</v>
      </c>
    </row>
    <row r="18" spans="1:12" ht="26.1" customHeight="1" x14ac:dyDescent="0.25">
      <c r="A18" s="843">
        <v>4</v>
      </c>
      <c r="B18" s="844" t="s">
        <v>1284</v>
      </c>
      <c r="C18" s="845" t="s">
        <v>1285</v>
      </c>
      <c r="D18" s="846" t="s">
        <v>1279</v>
      </c>
      <c r="E18" s="847">
        <v>30000</v>
      </c>
      <c r="F18" s="514">
        <v>1</v>
      </c>
      <c r="G18" s="848">
        <f t="shared" si="0"/>
        <v>30000</v>
      </c>
      <c r="H18" s="857">
        <f t="shared" ref="H18:H25" si="1">G18/6*3/1000</f>
        <v>15</v>
      </c>
      <c r="I18" s="857">
        <v>15</v>
      </c>
      <c r="J18" s="857">
        <v>15</v>
      </c>
      <c r="K18" s="851">
        <f>H18+[20]расходы!$H$18</f>
        <v>1515</v>
      </c>
      <c r="L18" s="511">
        <v>15000</v>
      </c>
    </row>
    <row r="19" spans="1:12" ht="26.1" customHeight="1" x14ac:dyDescent="0.25">
      <c r="A19" s="843">
        <v>5</v>
      </c>
      <c r="B19" s="844" t="s">
        <v>1286</v>
      </c>
      <c r="C19" s="845" t="s">
        <v>1287</v>
      </c>
      <c r="D19" s="846" t="s">
        <v>1279</v>
      </c>
      <c r="E19" s="847">
        <v>50000</v>
      </c>
      <c r="F19" s="514">
        <v>1</v>
      </c>
      <c r="G19" s="848">
        <f t="shared" si="0"/>
        <v>50000</v>
      </c>
      <c r="H19" s="857">
        <f t="shared" si="1"/>
        <v>25</v>
      </c>
      <c r="I19" s="857">
        <v>25</v>
      </c>
      <c r="J19" s="857">
        <v>25</v>
      </c>
      <c r="K19" s="851">
        <f>H19+[20]расходы!$H$19</f>
        <v>4521.3999999999996</v>
      </c>
      <c r="L19" s="511">
        <v>25000</v>
      </c>
    </row>
    <row r="20" spans="1:12" ht="26.1" customHeight="1" x14ac:dyDescent="0.25">
      <c r="A20" s="843">
        <v>6</v>
      </c>
      <c r="B20" s="844" t="s">
        <v>1288</v>
      </c>
      <c r="C20" s="845" t="s">
        <v>1289</v>
      </c>
      <c r="D20" s="846" t="s">
        <v>1279</v>
      </c>
      <c r="E20" s="847">
        <v>40000</v>
      </c>
      <c r="F20" s="514">
        <v>1</v>
      </c>
      <c r="G20" s="848">
        <f t="shared" si="0"/>
        <v>40000</v>
      </c>
      <c r="H20" s="857">
        <f t="shared" si="1"/>
        <v>20</v>
      </c>
      <c r="I20" s="857">
        <v>20</v>
      </c>
      <c r="J20" s="857">
        <v>20</v>
      </c>
      <c r="K20" s="851">
        <f>H20+[20]расходы!$H$20</f>
        <v>440</v>
      </c>
      <c r="L20" s="511">
        <v>20000</v>
      </c>
    </row>
    <row r="21" spans="1:12" ht="26.1" customHeight="1" x14ac:dyDescent="0.25">
      <c r="A21" s="843">
        <v>7</v>
      </c>
      <c r="B21" s="844" t="s">
        <v>1290</v>
      </c>
      <c r="C21" s="845" t="s">
        <v>1291</v>
      </c>
      <c r="D21" s="846" t="s">
        <v>1279</v>
      </c>
      <c r="E21" s="852">
        <f>'[21]Расчет цены'!$F$34</f>
        <v>45100.24</v>
      </c>
      <c r="F21" s="514">
        <v>5</v>
      </c>
      <c r="G21" s="848">
        <f t="shared" si="0"/>
        <v>225501.2</v>
      </c>
      <c r="H21" s="857">
        <f t="shared" si="1"/>
        <v>112.75</v>
      </c>
      <c r="I21" s="857">
        <v>112.75</v>
      </c>
      <c r="J21" s="857">
        <v>112.75</v>
      </c>
      <c r="K21" s="851">
        <f>H21+[20]расходы!$H$21</f>
        <v>22662.87</v>
      </c>
      <c r="L21" s="511">
        <v>112750.6</v>
      </c>
    </row>
    <row r="22" spans="1:12" ht="26.1" customHeight="1" x14ac:dyDescent="0.25">
      <c r="A22" s="843">
        <v>8</v>
      </c>
      <c r="B22" s="844" t="s">
        <v>1292</v>
      </c>
      <c r="C22" s="845" t="s">
        <v>1293</v>
      </c>
      <c r="D22" s="846" t="s">
        <v>1279</v>
      </c>
      <c r="E22" s="847">
        <v>38301.31</v>
      </c>
      <c r="F22" s="514">
        <v>1</v>
      </c>
      <c r="G22" s="848">
        <f t="shared" si="0"/>
        <v>38301.31</v>
      </c>
      <c r="H22" s="857">
        <f t="shared" si="1"/>
        <v>19.149999999999999</v>
      </c>
      <c r="I22" s="857">
        <v>19.149999999999999</v>
      </c>
      <c r="J22" s="857">
        <v>19.149999999999999</v>
      </c>
      <c r="K22" s="851">
        <f>H22+[20]расходы!$H$22</f>
        <v>2179.15</v>
      </c>
      <c r="L22" s="511">
        <v>19150.7</v>
      </c>
    </row>
    <row r="23" spans="1:12" ht="26.1" customHeight="1" x14ac:dyDescent="0.25">
      <c r="A23" s="843">
        <v>9</v>
      </c>
      <c r="B23" s="844" t="s">
        <v>1292</v>
      </c>
      <c r="C23" s="845" t="s">
        <v>1294</v>
      </c>
      <c r="D23" s="846" t="s">
        <v>1279</v>
      </c>
      <c r="E23" s="847">
        <v>33600</v>
      </c>
      <c r="F23" s="514">
        <v>1</v>
      </c>
      <c r="G23" s="848">
        <f t="shared" si="0"/>
        <v>33600</v>
      </c>
      <c r="H23" s="857">
        <f t="shared" si="1"/>
        <v>16.8</v>
      </c>
      <c r="I23" s="857">
        <v>16.8</v>
      </c>
      <c r="J23" s="857">
        <v>16.8</v>
      </c>
      <c r="K23" s="851">
        <f>H23+[20]расходы!$H$23</f>
        <v>2131.5</v>
      </c>
      <c r="L23" s="511">
        <v>16800</v>
      </c>
    </row>
    <row r="24" spans="1:12" ht="26.1" customHeight="1" x14ac:dyDescent="0.25">
      <c r="A24" s="843">
        <v>10</v>
      </c>
      <c r="B24" s="844" t="s">
        <v>1295</v>
      </c>
      <c r="C24" s="845" t="s">
        <v>1296</v>
      </c>
      <c r="D24" s="846" t="s">
        <v>336</v>
      </c>
      <c r="E24" s="847">
        <v>105000</v>
      </c>
      <c r="F24" s="514">
        <v>1</v>
      </c>
      <c r="G24" s="848">
        <f t="shared" si="0"/>
        <v>105000</v>
      </c>
      <c r="H24" s="857">
        <f t="shared" si="1"/>
        <v>52.5</v>
      </c>
      <c r="I24" s="857">
        <v>52.5</v>
      </c>
      <c r="J24" s="857">
        <v>52.5</v>
      </c>
      <c r="K24" s="851">
        <f>H24+[20]расходы!$H$24</f>
        <v>10552.5</v>
      </c>
      <c r="L24" s="511">
        <v>52500</v>
      </c>
    </row>
    <row r="25" spans="1:12" ht="26.1" customHeight="1" x14ac:dyDescent="0.25">
      <c r="A25" s="843">
        <v>11</v>
      </c>
      <c r="B25" s="844" t="s">
        <v>1297</v>
      </c>
      <c r="C25" s="845" t="s">
        <v>1298</v>
      </c>
      <c r="D25" s="846" t="s">
        <v>336</v>
      </c>
      <c r="E25" s="847">
        <v>10000</v>
      </c>
      <c r="F25" s="514">
        <v>1</v>
      </c>
      <c r="G25" s="848">
        <f t="shared" si="0"/>
        <v>10000</v>
      </c>
      <c r="H25" s="857">
        <f t="shared" si="1"/>
        <v>5</v>
      </c>
      <c r="I25" s="857">
        <v>5</v>
      </c>
      <c r="J25" s="857">
        <v>5</v>
      </c>
      <c r="K25" s="851">
        <f>H25+[20]расходы!$H$25</f>
        <v>701</v>
      </c>
      <c r="L25" s="511">
        <v>5000</v>
      </c>
    </row>
    <row r="26" spans="1:12" ht="26.1" customHeight="1" x14ac:dyDescent="0.25">
      <c r="A26" s="843">
        <v>12</v>
      </c>
      <c r="B26" s="844" t="s">
        <v>1297</v>
      </c>
      <c r="C26" s="845" t="s">
        <v>1299</v>
      </c>
      <c r="D26" s="846" t="s">
        <v>336</v>
      </c>
      <c r="E26" s="853">
        <f>'[21]Расчет цены'!$F$35</f>
        <v>45359.5</v>
      </c>
      <c r="F26" s="514">
        <v>5</v>
      </c>
      <c r="G26" s="848">
        <f t="shared" si="0"/>
        <v>226797.5</v>
      </c>
      <c r="H26" s="857">
        <f>(G26/6*3-12000.1)/1000-4.99</f>
        <v>96.41</v>
      </c>
      <c r="I26" s="857">
        <v>96.41</v>
      </c>
      <c r="J26" s="857">
        <v>96.41</v>
      </c>
      <c r="K26" s="851">
        <f>H26+[20]расходы!$H$26</f>
        <v>22315.61</v>
      </c>
      <c r="L26" s="728">
        <v>101398.7</v>
      </c>
    </row>
    <row r="27" spans="1:12" ht="26.1" customHeight="1" x14ac:dyDescent="0.25">
      <c r="A27" s="843">
        <v>13</v>
      </c>
      <c r="B27" s="844" t="s">
        <v>1297</v>
      </c>
      <c r="C27" s="845" t="s">
        <v>1300</v>
      </c>
      <c r="D27" s="846" t="s">
        <v>336</v>
      </c>
      <c r="E27" s="852">
        <v>45000</v>
      </c>
      <c r="F27" s="514">
        <v>1</v>
      </c>
      <c r="G27" s="848">
        <f t="shared" si="0"/>
        <v>45000</v>
      </c>
      <c r="H27" s="857">
        <f>G27/6*3/1000</f>
        <v>22.5</v>
      </c>
      <c r="I27" s="857">
        <v>22.5</v>
      </c>
      <c r="J27" s="857">
        <v>22.5</v>
      </c>
      <c r="K27" s="851">
        <f>H27+[20]расходы!$H$27</f>
        <v>387.28</v>
      </c>
      <c r="L27" s="511">
        <v>22500</v>
      </c>
    </row>
    <row r="28" spans="1:12" x14ac:dyDescent="0.25">
      <c r="C28" s="854" t="s">
        <v>230</v>
      </c>
      <c r="G28" s="856">
        <f>SUM(G15:G27)</f>
        <v>864000.01</v>
      </c>
      <c r="H28" s="729">
        <f>SUM(H15:H27)</f>
        <v>420</v>
      </c>
      <c r="I28" s="729">
        <f>SUM(I15:I27)</f>
        <v>420</v>
      </c>
      <c r="J28" s="729">
        <f>SUM(J15:J27)</f>
        <v>420</v>
      </c>
      <c r="K28" s="851">
        <f>SUM(K15:K27)</f>
        <v>72420</v>
      </c>
      <c r="L28" s="511">
        <v>420000</v>
      </c>
    </row>
    <row r="29" spans="1:12" x14ac:dyDescent="0.25">
      <c r="G29" s="855">
        <f>[22]Кисточка!$F$42+[22]Акварелька!$F$42+[22]Палитра!$F$42+[22]Радуга!$F$42</f>
        <v>543797.29</v>
      </c>
      <c r="H29" s="525">
        <f>H28+[20]расходы!$H$28</f>
        <v>72420</v>
      </c>
      <c r="I29" s="525"/>
      <c r="J29" s="525"/>
    </row>
  </sheetData>
  <mergeCells count="5">
    <mergeCell ref="A8:G8"/>
    <mergeCell ref="A9:G9"/>
    <mergeCell ref="A10:G10"/>
    <mergeCell ref="A11:G11"/>
    <mergeCell ref="A12:G12"/>
  </mergeCells>
  <printOptions horizontalCentered="1"/>
  <pageMargins left="0.70866141732283472" right="0.39370078740157483" top="0.39370078740157483" bottom="0.39370078740157483" header="0" footer="0"/>
  <pageSetup paperSize="9" scale="4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7" tint="0.39997558519241921"/>
  </sheetPr>
  <dimension ref="A1:I87"/>
  <sheetViews>
    <sheetView view="pageBreakPreview" zoomScale="90" zoomScaleNormal="100" zoomScaleSheetLayoutView="90" workbookViewId="0">
      <pane ySplit="8" topLeftCell="A9" activePane="bottomLeft" state="frozen"/>
      <selection activeCell="H22" sqref="H22:H23"/>
      <selection pane="bottomLeft" activeCell="I5" sqref="I5:I8"/>
    </sheetView>
  </sheetViews>
  <sheetFormatPr defaultRowHeight="11.25" x14ac:dyDescent="0.2"/>
  <cols>
    <col min="1" max="1" width="9.1640625" style="920" bestFit="1" customWidth="1"/>
    <col min="2" max="2" width="42.5" style="859" customWidth="1"/>
    <col min="3" max="3" width="10.33203125" style="860" customWidth="1"/>
    <col min="4" max="4" width="28.33203125" style="861" customWidth="1"/>
    <col min="5" max="5" width="29.33203125" style="862" customWidth="1"/>
    <col min="6" max="6" width="17.33203125" style="862" customWidth="1"/>
    <col min="7" max="7" width="11.6640625" style="862" customWidth="1"/>
    <col min="8" max="8" width="12.83203125" style="862" customWidth="1"/>
    <col min="9" max="9" width="16.1640625" style="861" customWidth="1"/>
    <col min="10" max="235" width="9.33203125" style="861"/>
    <col min="236" max="236" width="9.1640625" style="861" bestFit="1" customWidth="1"/>
    <col min="237" max="237" width="42.5" style="861" customWidth="1"/>
    <col min="238" max="238" width="10.33203125" style="861" customWidth="1"/>
    <col min="239" max="239" width="9.6640625" style="861" customWidth="1"/>
    <col min="240" max="240" width="12.6640625" style="861" customWidth="1"/>
    <col min="241" max="242" width="9.6640625" style="861" customWidth="1"/>
    <col min="243" max="243" width="9.33203125" style="861"/>
    <col min="244" max="244" width="9.83203125" style="861" customWidth="1"/>
    <col min="245" max="245" width="12.1640625" style="861" customWidth="1"/>
    <col min="246" max="249" width="9.83203125" style="861" customWidth="1"/>
    <col min="250" max="250" width="9" style="861" customWidth="1"/>
    <col min="251" max="251" width="13.5" style="861" customWidth="1"/>
    <col min="252" max="252" width="13.1640625" style="861" customWidth="1"/>
    <col min="253" max="253" width="9.33203125" style="861"/>
    <col min="254" max="254" width="11.5" style="861" bestFit="1" customWidth="1"/>
    <col min="255" max="255" width="38.5" style="861" customWidth="1"/>
    <col min="256" max="256" width="10.6640625" style="861" customWidth="1"/>
    <col min="257" max="257" width="11.33203125" style="861" customWidth="1"/>
    <col min="258" max="262" width="9.33203125" style="861"/>
    <col min="263" max="263" width="9.5" style="861" bestFit="1" customWidth="1"/>
    <col min="264" max="264" width="18.33203125" style="861" customWidth="1"/>
    <col min="265" max="491" width="9.33203125" style="861"/>
    <col min="492" max="492" width="9.1640625" style="861" bestFit="1" customWidth="1"/>
    <col min="493" max="493" width="42.5" style="861" customWidth="1"/>
    <col min="494" max="494" width="10.33203125" style="861" customWidth="1"/>
    <col min="495" max="495" width="9.6640625" style="861" customWidth="1"/>
    <col min="496" max="496" width="12.6640625" style="861" customWidth="1"/>
    <col min="497" max="498" width="9.6640625" style="861" customWidth="1"/>
    <col min="499" max="499" width="9.33203125" style="861"/>
    <col min="500" max="500" width="9.83203125" style="861" customWidth="1"/>
    <col min="501" max="501" width="12.1640625" style="861" customWidth="1"/>
    <col min="502" max="505" width="9.83203125" style="861" customWidth="1"/>
    <col min="506" max="506" width="9" style="861" customWidth="1"/>
    <col min="507" max="507" width="13.5" style="861" customWidth="1"/>
    <col min="508" max="508" width="13.1640625" style="861" customWidth="1"/>
    <col min="509" max="509" width="9.33203125" style="861"/>
    <col min="510" max="510" width="11.5" style="861" bestFit="1" customWidth="1"/>
    <col min="511" max="511" width="38.5" style="861" customWidth="1"/>
    <col min="512" max="512" width="10.6640625" style="861" customWidth="1"/>
    <col min="513" max="513" width="11.33203125" style="861" customWidth="1"/>
    <col min="514" max="518" width="9.33203125" style="861"/>
    <col min="519" max="519" width="9.5" style="861" bestFit="1" customWidth="1"/>
    <col min="520" max="520" width="18.33203125" style="861" customWidth="1"/>
    <col min="521" max="747" width="9.33203125" style="861"/>
    <col min="748" max="748" width="9.1640625" style="861" bestFit="1" customWidth="1"/>
    <col min="749" max="749" width="42.5" style="861" customWidth="1"/>
    <col min="750" max="750" width="10.33203125" style="861" customWidth="1"/>
    <col min="751" max="751" width="9.6640625" style="861" customWidth="1"/>
    <col min="752" max="752" width="12.6640625" style="861" customWidth="1"/>
    <col min="753" max="754" width="9.6640625" style="861" customWidth="1"/>
    <col min="755" max="755" width="9.33203125" style="861"/>
    <col min="756" max="756" width="9.83203125" style="861" customWidth="1"/>
    <col min="757" max="757" width="12.1640625" style="861" customWidth="1"/>
    <col min="758" max="761" width="9.83203125" style="861" customWidth="1"/>
    <col min="762" max="762" width="9" style="861" customWidth="1"/>
    <col min="763" max="763" width="13.5" style="861" customWidth="1"/>
    <col min="764" max="764" width="13.1640625" style="861" customWidth="1"/>
    <col min="765" max="765" width="9.33203125" style="861"/>
    <col min="766" max="766" width="11.5" style="861" bestFit="1" customWidth="1"/>
    <col min="767" max="767" width="38.5" style="861" customWidth="1"/>
    <col min="768" max="768" width="10.6640625" style="861" customWidth="1"/>
    <col min="769" max="769" width="11.33203125" style="861" customWidth="1"/>
    <col min="770" max="774" width="9.33203125" style="861"/>
    <col min="775" max="775" width="9.5" style="861" bestFit="1" customWidth="1"/>
    <col min="776" max="776" width="18.33203125" style="861" customWidth="1"/>
    <col min="777" max="1003" width="9.33203125" style="861"/>
    <col min="1004" max="1004" width="9.1640625" style="861" bestFit="1" customWidth="1"/>
    <col min="1005" max="1005" width="42.5" style="861" customWidth="1"/>
    <col min="1006" max="1006" width="10.33203125" style="861" customWidth="1"/>
    <col min="1007" max="1007" width="9.6640625" style="861" customWidth="1"/>
    <col min="1008" max="1008" width="12.6640625" style="861" customWidth="1"/>
    <col min="1009" max="1010" width="9.6640625" style="861" customWidth="1"/>
    <col min="1011" max="1011" width="9.33203125" style="861"/>
    <col min="1012" max="1012" width="9.83203125" style="861" customWidth="1"/>
    <col min="1013" max="1013" width="12.1640625" style="861" customWidth="1"/>
    <col min="1014" max="1017" width="9.83203125" style="861" customWidth="1"/>
    <col min="1018" max="1018" width="9" style="861" customWidth="1"/>
    <col min="1019" max="1019" width="13.5" style="861" customWidth="1"/>
    <col min="1020" max="1020" width="13.1640625" style="861" customWidth="1"/>
    <col min="1021" max="1021" width="9.33203125" style="861"/>
    <col min="1022" max="1022" width="11.5" style="861" bestFit="1" customWidth="1"/>
    <col min="1023" max="1023" width="38.5" style="861" customWidth="1"/>
    <col min="1024" max="1024" width="10.6640625" style="861" customWidth="1"/>
    <col min="1025" max="1025" width="11.33203125" style="861" customWidth="1"/>
    <col min="1026" max="1030" width="9.33203125" style="861"/>
    <col min="1031" max="1031" width="9.5" style="861" bestFit="1" customWidth="1"/>
    <col min="1032" max="1032" width="18.33203125" style="861" customWidth="1"/>
    <col min="1033" max="1259" width="9.33203125" style="861"/>
    <col min="1260" max="1260" width="9.1640625" style="861" bestFit="1" customWidth="1"/>
    <col min="1261" max="1261" width="42.5" style="861" customWidth="1"/>
    <col min="1262" max="1262" width="10.33203125" style="861" customWidth="1"/>
    <col min="1263" max="1263" width="9.6640625" style="861" customWidth="1"/>
    <col min="1264" max="1264" width="12.6640625" style="861" customWidth="1"/>
    <col min="1265" max="1266" width="9.6640625" style="861" customWidth="1"/>
    <col min="1267" max="1267" width="9.33203125" style="861"/>
    <col min="1268" max="1268" width="9.83203125" style="861" customWidth="1"/>
    <col min="1269" max="1269" width="12.1640625" style="861" customWidth="1"/>
    <col min="1270" max="1273" width="9.83203125" style="861" customWidth="1"/>
    <col min="1274" max="1274" width="9" style="861" customWidth="1"/>
    <col min="1275" max="1275" width="13.5" style="861" customWidth="1"/>
    <col min="1276" max="1276" width="13.1640625" style="861" customWidth="1"/>
    <col min="1277" max="1277" width="9.33203125" style="861"/>
    <col min="1278" max="1278" width="11.5" style="861" bestFit="1" customWidth="1"/>
    <col min="1279" max="1279" width="38.5" style="861" customWidth="1"/>
    <col min="1280" max="1280" width="10.6640625" style="861" customWidth="1"/>
    <col min="1281" max="1281" width="11.33203125" style="861" customWidth="1"/>
    <col min="1282" max="1286" width="9.33203125" style="861"/>
    <col min="1287" max="1287" width="9.5" style="861" bestFit="1" customWidth="1"/>
    <col min="1288" max="1288" width="18.33203125" style="861" customWidth="1"/>
    <col min="1289" max="1515" width="9.33203125" style="861"/>
    <col min="1516" max="1516" width="9.1640625" style="861" bestFit="1" customWidth="1"/>
    <col min="1517" max="1517" width="42.5" style="861" customWidth="1"/>
    <col min="1518" max="1518" width="10.33203125" style="861" customWidth="1"/>
    <col min="1519" max="1519" width="9.6640625" style="861" customWidth="1"/>
    <col min="1520" max="1520" width="12.6640625" style="861" customWidth="1"/>
    <col min="1521" max="1522" width="9.6640625" style="861" customWidth="1"/>
    <col min="1523" max="1523" width="9.33203125" style="861"/>
    <col min="1524" max="1524" width="9.83203125" style="861" customWidth="1"/>
    <col min="1525" max="1525" width="12.1640625" style="861" customWidth="1"/>
    <col min="1526" max="1529" width="9.83203125" style="861" customWidth="1"/>
    <col min="1530" max="1530" width="9" style="861" customWidth="1"/>
    <col min="1531" max="1531" width="13.5" style="861" customWidth="1"/>
    <col min="1532" max="1532" width="13.1640625" style="861" customWidth="1"/>
    <col min="1533" max="1533" width="9.33203125" style="861"/>
    <col min="1534" max="1534" width="11.5" style="861" bestFit="1" customWidth="1"/>
    <col min="1535" max="1535" width="38.5" style="861" customWidth="1"/>
    <col min="1536" max="1536" width="10.6640625" style="861" customWidth="1"/>
    <col min="1537" max="1537" width="11.33203125" style="861" customWidth="1"/>
    <col min="1538" max="1542" width="9.33203125" style="861"/>
    <col min="1543" max="1543" width="9.5" style="861" bestFit="1" customWidth="1"/>
    <col min="1544" max="1544" width="18.33203125" style="861" customWidth="1"/>
    <col min="1545" max="1771" width="9.33203125" style="861"/>
    <col min="1772" max="1772" width="9.1640625" style="861" bestFit="1" customWidth="1"/>
    <col min="1773" max="1773" width="42.5" style="861" customWidth="1"/>
    <col min="1774" max="1774" width="10.33203125" style="861" customWidth="1"/>
    <col min="1775" max="1775" width="9.6640625" style="861" customWidth="1"/>
    <col min="1776" max="1776" width="12.6640625" style="861" customWidth="1"/>
    <col min="1777" max="1778" width="9.6640625" style="861" customWidth="1"/>
    <col min="1779" max="1779" width="9.33203125" style="861"/>
    <col min="1780" max="1780" width="9.83203125" style="861" customWidth="1"/>
    <col min="1781" max="1781" width="12.1640625" style="861" customWidth="1"/>
    <col min="1782" max="1785" width="9.83203125" style="861" customWidth="1"/>
    <col min="1786" max="1786" width="9" style="861" customWidth="1"/>
    <col min="1787" max="1787" width="13.5" style="861" customWidth="1"/>
    <col min="1788" max="1788" width="13.1640625" style="861" customWidth="1"/>
    <col min="1789" max="1789" width="9.33203125" style="861"/>
    <col min="1790" max="1790" width="11.5" style="861" bestFit="1" customWidth="1"/>
    <col min="1791" max="1791" width="38.5" style="861" customWidth="1"/>
    <col min="1792" max="1792" width="10.6640625" style="861" customWidth="1"/>
    <col min="1793" max="1793" width="11.33203125" style="861" customWidth="1"/>
    <col min="1794" max="1798" width="9.33203125" style="861"/>
    <col min="1799" max="1799" width="9.5" style="861" bestFit="1" customWidth="1"/>
    <col min="1800" max="1800" width="18.33203125" style="861" customWidth="1"/>
    <col min="1801" max="2027" width="9.33203125" style="861"/>
    <col min="2028" max="2028" width="9.1640625" style="861" bestFit="1" customWidth="1"/>
    <col min="2029" max="2029" width="42.5" style="861" customWidth="1"/>
    <col min="2030" max="2030" width="10.33203125" style="861" customWidth="1"/>
    <col min="2031" max="2031" width="9.6640625" style="861" customWidth="1"/>
    <col min="2032" max="2032" width="12.6640625" style="861" customWidth="1"/>
    <col min="2033" max="2034" width="9.6640625" style="861" customWidth="1"/>
    <col min="2035" max="2035" width="9.33203125" style="861"/>
    <col min="2036" max="2036" width="9.83203125" style="861" customWidth="1"/>
    <col min="2037" max="2037" width="12.1640625" style="861" customWidth="1"/>
    <col min="2038" max="2041" width="9.83203125" style="861" customWidth="1"/>
    <col min="2042" max="2042" width="9" style="861" customWidth="1"/>
    <col min="2043" max="2043" width="13.5" style="861" customWidth="1"/>
    <col min="2044" max="2044" width="13.1640625" style="861" customWidth="1"/>
    <col min="2045" max="2045" width="9.33203125" style="861"/>
    <col min="2046" max="2046" width="11.5" style="861" bestFit="1" customWidth="1"/>
    <col min="2047" max="2047" width="38.5" style="861" customWidth="1"/>
    <col min="2048" max="2048" width="10.6640625" style="861" customWidth="1"/>
    <col min="2049" max="2049" width="11.33203125" style="861" customWidth="1"/>
    <col min="2050" max="2054" width="9.33203125" style="861"/>
    <col min="2055" max="2055" width="9.5" style="861" bestFit="1" customWidth="1"/>
    <col min="2056" max="2056" width="18.33203125" style="861" customWidth="1"/>
    <col min="2057" max="2283" width="9.33203125" style="861"/>
    <col min="2284" max="2284" width="9.1640625" style="861" bestFit="1" customWidth="1"/>
    <col min="2285" max="2285" width="42.5" style="861" customWidth="1"/>
    <col min="2286" max="2286" width="10.33203125" style="861" customWidth="1"/>
    <col min="2287" max="2287" width="9.6640625" style="861" customWidth="1"/>
    <col min="2288" max="2288" width="12.6640625" style="861" customWidth="1"/>
    <col min="2289" max="2290" width="9.6640625" style="861" customWidth="1"/>
    <col min="2291" max="2291" width="9.33203125" style="861"/>
    <col min="2292" max="2292" width="9.83203125" style="861" customWidth="1"/>
    <col min="2293" max="2293" width="12.1640625" style="861" customWidth="1"/>
    <col min="2294" max="2297" width="9.83203125" style="861" customWidth="1"/>
    <col min="2298" max="2298" width="9" style="861" customWidth="1"/>
    <col min="2299" max="2299" width="13.5" style="861" customWidth="1"/>
    <col min="2300" max="2300" width="13.1640625" style="861" customWidth="1"/>
    <col min="2301" max="2301" width="9.33203125" style="861"/>
    <col min="2302" max="2302" width="11.5" style="861" bestFit="1" customWidth="1"/>
    <col min="2303" max="2303" width="38.5" style="861" customWidth="1"/>
    <col min="2304" max="2304" width="10.6640625" style="861" customWidth="1"/>
    <col min="2305" max="2305" width="11.33203125" style="861" customWidth="1"/>
    <col min="2306" max="2310" width="9.33203125" style="861"/>
    <col min="2311" max="2311" width="9.5" style="861" bestFit="1" customWidth="1"/>
    <col min="2312" max="2312" width="18.33203125" style="861" customWidth="1"/>
    <col min="2313" max="2539" width="9.33203125" style="861"/>
    <col min="2540" max="2540" width="9.1640625" style="861" bestFit="1" customWidth="1"/>
    <col min="2541" max="2541" width="42.5" style="861" customWidth="1"/>
    <col min="2542" max="2542" width="10.33203125" style="861" customWidth="1"/>
    <col min="2543" max="2543" width="9.6640625" style="861" customWidth="1"/>
    <col min="2544" max="2544" width="12.6640625" style="861" customWidth="1"/>
    <col min="2545" max="2546" width="9.6640625" style="861" customWidth="1"/>
    <col min="2547" max="2547" width="9.33203125" style="861"/>
    <col min="2548" max="2548" width="9.83203125" style="861" customWidth="1"/>
    <col min="2549" max="2549" width="12.1640625" style="861" customWidth="1"/>
    <col min="2550" max="2553" width="9.83203125" style="861" customWidth="1"/>
    <col min="2554" max="2554" width="9" style="861" customWidth="1"/>
    <col min="2555" max="2555" width="13.5" style="861" customWidth="1"/>
    <col min="2556" max="2556" width="13.1640625" style="861" customWidth="1"/>
    <col min="2557" max="2557" width="9.33203125" style="861"/>
    <col min="2558" max="2558" width="11.5" style="861" bestFit="1" customWidth="1"/>
    <col min="2559" max="2559" width="38.5" style="861" customWidth="1"/>
    <col min="2560" max="2560" width="10.6640625" style="861" customWidth="1"/>
    <col min="2561" max="2561" width="11.33203125" style="861" customWidth="1"/>
    <col min="2562" max="2566" width="9.33203125" style="861"/>
    <col min="2567" max="2567" width="9.5" style="861" bestFit="1" customWidth="1"/>
    <col min="2568" max="2568" width="18.33203125" style="861" customWidth="1"/>
    <col min="2569" max="2795" width="9.33203125" style="861"/>
    <col min="2796" max="2796" width="9.1640625" style="861" bestFit="1" customWidth="1"/>
    <col min="2797" max="2797" width="42.5" style="861" customWidth="1"/>
    <col min="2798" max="2798" width="10.33203125" style="861" customWidth="1"/>
    <col min="2799" max="2799" width="9.6640625" style="861" customWidth="1"/>
    <col min="2800" max="2800" width="12.6640625" style="861" customWidth="1"/>
    <col min="2801" max="2802" width="9.6640625" style="861" customWidth="1"/>
    <col min="2803" max="2803" width="9.33203125" style="861"/>
    <col min="2804" max="2804" width="9.83203125" style="861" customWidth="1"/>
    <col min="2805" max="2805" width="12.1640625" style="861" customWidth="1"/>
    <col min="2806" max="2809" width="9.83203125" style="861" customWidth="1"/>
    <col min="2810" max="2810" width="9" style="861" customWidth="1"/>
    <col min="2811" max="2811" width="13.5" style="861" customWidth="1"/>
    <col min="2812" max="2812" width="13.1640625" style="861" customWidth="1"/>
    <col min="2813" max="2813" width="9.33203125" style="861"/>
    <col min="2814" max="2814" width="11.5" style="861" bestFit="1" customWidth="1"/>
    <col min="2815" max="2815" width="38.5" style="861" customWidth="1"/>
    <col min="2816" max="2816" width="10.6640625" style="861" customWidth="1"/>
    <col min="2817" max="2817" width="11.33203125" style="861" customWidth="1"/>
    <col min="2818" max="2822" width="9.33203125" style="861"/>
    <col min="2823" max="2823" width="9.5" style="861" bestFit="1" customWidth="1"/>
    <col min="2824" max="2824" width="18.33203125" style="861" customWidth="1"/>
    <col min="2825" max="3051" width="9.33203125" style="861"/>
    <col min="3052" max="3052" width="9.1640625" style="861" bestFit="1" customWidth="1"/>
    <col min="3053" max="3053" width="42.5" style="861" customWidth="1"/>
    <col min="3054" max="3054" width="10.33203125" style="861" customWidth="1"/>
    <col min="3055" max="3055" width="9.6640625" style="861" customWidth="1"/>
    <col min="3056" max="3056" width="12.6640625" style="861" customWidth="1"/>
    <col min="3057" max="3058" width="9.6640625" style="861" customWidth="1"/>
    <col min="3059" max="3059" width="9.33203125" style="861"/>
    <col min="3060" max="3060" width="9.83203125" style="861" customWidth="1"/>
    <col min="3061" max="3061" width="12.1640625" style="861" customWidth="1"/>
    <col min="3062" max="3065" width="9.83203125" style="861" customWidth="1"/>
    <col min="3066" max="3066" width="9" style="861" customWidth="1"/>
    <col min="3067" max="3067" width="13.5" style="861" customWidth="1"/>
    <col min="3068" max="3068" width="13.1640625" style="861" customWidth="1"/>
    <col min="3069" max="3069" width="9.33203125" style="861"/>
    <col min="3070" max="3070" width="11.5" style="861" bestFit="1" customWidth="1"/>
    <col min="3071" max="3071" width="38.5" style="861" customWidth="1"/>
    <col min="3072" max="3072" width="10.6640625" style="861" customWidth="1"/>
    <col min="3073" max="3073" width="11.33203125" style="861" customWidth="1"/>
    <col min="3074" max="3078" width="9.33203125" style="861"/>
    <col min="3079" max="3079" width="9.5" style="861" bestFit="1" customWidth="1"/>
    <col min="3080" max="3080" width="18.33203125" style="861" customWidth="1"/>
    <col min="3081" max="3307" width="9.33203125" style="861"/>
    <col min="3308" max="3308" width="9.1640625" style="861" bestFit="1" customWidth="1"/>
    <col min="3309" max="3309" width="42.5" style="861" customWidth="1"/>
    <col min="3310" max="3310" width="10.33203125" style="861" customWidth="1"/>
    <col min="3311" max="3311" width="9.6640625" style="861" customWidth="1"/>
    <col min="3312" max="3312" width="12.6640625" style="861" customWidth="1"/>
    <col min="3313" max="3314" width="9.6640625" style="861" customWidth="1"/>
    <col min="3315" max="3315" width="9.33203125" style="861"/>
    <col min="3316" max="3316" width="9.83203125" style="861" customWidth="1"/>
    <col min="3317" max="3317" width="12.1640625" style="861" customWidth="1"/>
    <col min="3318" max="3321" width="9.83203125" style="861" customWidth="1"/>
    <col min="3322" max="3322" width="9" style="861" customWidth="1"/>
    <col min="3323" max="3323" width="13.5" style="861" customWidth="1"/>
    <col min="3324" max="3324" width="13.1640625" style="861" customWidth="1"/>
    <col min="3325" max="3325" width="9.33203125" style="861"/>
    <col min="3326" max="3326" width="11.5" style="861" bestFit="1" customWidth="1"/>
    <col min="3327" max="3327" width="38.5" style="861" customWidth="1"/>
    <col min="3328" max="3328" width="10.6640625" style="861" customWidth="1"/>
    <col min="3329" max="3329" width="11.33203125" style="861" customWidth="1"/>
    <col min="3330" max="3334" width="9.33203125" style="861"/>
    <col min="3335" max="3335" width="9.5" style="861" bestFit="1" customWidth="1"/>
    <col min="3336" max="3336" width="18.33203125" style="861" customWidth="1"/>
    <col min="3337" max="3563" width="9.33203125" style="861"/>
    <col min="3564" max="3564" width="9.1640625" style="861" bestFit="1" customWidth="1"/>
    <col min="3565" max="3565" width="42.5" style="861" customWidth="1"/>
    <col min="3566" max="3566" width="10.33203125" style="861" customWidth="1"/>
    <col min="3567" max="3567" width="9.6640625" style="861" customWidth="1"/>
    <col min="3568" max="3568" width="12.6640625" style="861" customWidth="1"/>
    <col min="3569" max="3570" width="9.6640625" style="861" customWidth="1"/>
    <col min="3571" max="3571" width="9.33203125" style="861"/>
    <col min="3572" max="3572" width="9.83203125" style="861" customWidth="1"/>
    <col min="3573" max="3573" width="12.1640625" style="861" customWidth="1"/>
    <col min="3574" max="3577" width="9.83203125" style="861" customWidth="1"/>
    <col min="3578" max="3578" width="9" style="861" customWidth="1"/>
    <col min="3579" max="3579" width="13.5" style="861" customWidth="1"/>
    <col min="3580" max="3580" width="13.1640625" style="861" customWidth="1"/>
    <col min="3581" max="3581" width="9.33203125" style="861"/>
    <col min="3582" max="3582" width="11.5" style="861" bestFit="1" customWidth="1"/>
    <col min="3583" max="3583" width="38.5" style="861" customWidth="1"/>
    <col min="3584" max="3584" width="10.6640625" style="861" customWidth="1"/>
    <col min="3585" max="3585" width="11.33203125" style="861" customWidth="1"/>
    <col min="3586" max="3590" width="9.33203125" style="861"/>
    <col min="3591" max="3591" width="9.5" style="861" bestFit="1" customWidth="1"/>
    <col min="3592" max="3592" width="18.33203125" style="861" customWidth="1"/>
    <col min="3593" max="3819" width="9.33203125" style="861"/>
    <col min="3820" max="3820" width="9.1640625" style="861" bestFit="1" customWidth="1"/>
    <col min="3821" max="3821" width="42.5" style="861" customWidth="1"/>
    <col min="3822" max="3822" width="10.33203125" style="861" customWidth="1"/>
    <col min="3823" max="3823" width="9.6640625" style="861" customWidth="1"/>
    <col min="3824" max="3824" width="12.6640625" style="861" customWidth="1"/>
    <col min="3825" max="3826" width="9.6640625" style="861" customWidth="1"/>
    <col min="3827" max="3827" width="9.33203125" style="861"/>
    <col min="3828" max="3828" width="9.83203125" style="861" customWidth="1"/>
    <col min="3829" max="3829" width="12.1640625" style="861" customWidth="1"/>
    <col min="3830" max="3833" width="9.83203125" style="861" customWidth="1"/>
    <col min="3834" max="3834" width="9" style="861" customWidth="1"/>
    <col min="3835" max="3835" width="13.5" style="861" customWidth="1"/>
    <col min="3836" max="3836" width="13.1640625" style="861" customWidth="1"/>
    <col min="3837" max="3837" width="9.33203125" style="861"/>
    <col min="3838" max="3838" width="11.5" style="861" bestFit="1" customWidth="1"/>
    <col min="3839" max="3839" width="38.5" style="861" customWidth="1"/>
    <col min="3840" max="3840" width="10.6640625" style="861" customWidth="1"/>
    <col min="3841" max="3841" width="11.33203125" style="861" customWidth="1"/>
    <col min="3842" max="3846" width="9.33203125" style="861"/>
    <col min="3847" max="3847" width="9.5" style="861" bestFit="1" customWidth="1"/>
    <col min="3848" max="3848" width="18.33203125" style="861" customWidth="1"/>
    <col min="3849" max="4075" width="9.33203125" style="861"/>
    <col min="4076" max="4076" width="9.1640625" style="861" bestFit="1" customWidth="1"/>
    <col min="4077" max="4077" width="42.5" style="861" customWidth="1"/>
    <col min="4078" max="4078" width="10.33203125" style="861" customWidth="1"/>
    <col min="4079" max="4079" width="9.6640625" style="861" customWidth="1"/>
    <col min="4080" max="4080" width="12.6640625" style="861" customWidth="1"/>
    <col min="4081" max="4082" width="9.6640625" style="861" customWidth="1"/>
    <col min="4083" max="4083" width="9.33203125" style="861"/>
    <col min="4084" max="4084" width="9.83203125" style="861" customWidth="1"/>
    <col min="4085" max="4085" width="12.1640625" style="861" customWidth="1"/>
    <col min="4086" max="4089" width="9.83203125" style="861" customWidth="1"/>
    <col min="4090" max="4090" width="9" style="861" customWidth="1"/>
    <col min="4091" max="4091" width="13.5" style="861" customWidth="1"/>
    <col min="4092" max="4092" width="13.1640625" style="861" customWidth="1"/>
    <col min="4093" max="4093" width="9.33203125" style="861"/>
    <col min="4094" max="4094" width="11.5" style="861" bestFit="1" customWidth="1"/>
    <col min="4095" max="4095" width="38.5" style="861" customWidth="1"/>
    <col min="4096" max="4096" width="10.6640625" style="861" customWidth="1"/>
    <col min="4097" max="4097" width="11.33203125" style="861" customWidth="1"/>
    <col min="4098" max="4102" width="9.33203125" style="861"/>
    <col min="4103" max="4103" width="9.5" style="861" bestFit="1" customWidth="1"/>
    <col min="4104" max="4104" width="18.33203125" style="861" customWidth="1"/>
    <col min="4105" max="4331" width="9.33203125" style="861"/>
    <col min="4332" max="4332" width="9.1640625" style="861" bestFit="1" customWidth="1"/>
    <col min="4333" max="4333" width="42.5" style="861" customWidth="1"/>
    <col min="4334" max="4334" width="10.33203125" style="861" customWidth="1"/>
    <col min="4335" max="4335" width="9.6640625" style="861" customWidth="1"/>
    <col min="4336" max="4336" width="12.6640625" style="861" customWidth="1"/>
    <col min="4337" max="4338" width="9.6640625" style="861" customWidth="1"/>
    <col min="4339" max="4339" width="9.33203125" style="861"/>
    <col min="4340" max="4340" width="9.83203125" style="861" customWidth="1"/>
    <col min="4341" max="4341" width="12.1640625" style="861" customWidth="1"/>
    <col min="4342" max="4345" width="9.83203125" style="861" customWidth="1"/>
    <col min="4346" max="4346" width="9" style="861" customWidth="1"/>
    <col min="4347" max="4347" width="13.5" style="861" customWidth="1"/>
    <col min="4348" max="4348" width="13.1640625" style="861" customWidth="1"/>
    <col min="4349" max="4349" width="9.33203125" style="861"/>
    <col min="4350" max="4350" width="11.5" style="861" bestFit="1" customWidth="1"/>
    <col min="4351" max="4351" width="38.5" style="861" customWidth="1"/>
    <col min="4352" max="4352" width="10.6640625" style="861" customWidth="1"/>
    <col min="4353" max="4353" width="11.33203125" style="861" customWidth="1"/>
    <col min="4354" max="4358" width="9.33203125" style="861"/>
    <col min="4359" max="4359" width="9.5" style="861" bestFit="1" customWidth="1"/>
    <col min="4360" max="4360" width="18.33203125" style="861" customWidth="1"/>
    <col min="4361" max="4587" width="9.33203125" style="861"/>
    <col min="4588" max="4588" width="9.1640625" style="861" bestFit="1" customWidth="1"/>
    <col min="4589" max="4589" width="42.5" style="861" customWidth="1"/>
    <col min="4590" max="4590" width="10.33203125" style="861" customWidth="1"/>
    <col min="4591" max="4591" width="9.6640625" style="861" customWidth="1"/>
    <col min="4592" max="4592" width="12.6640625" style="861" customWidth="1"/>
    <col min="4593" max="4594" width="9.6640625" style="861" customWidth="1"/>
    <col min="4595" max="4595" width="9.33203125" style="861"/>
    <col min="4596" max="4596" width="9.83203125" style="861" customWidth="1"/>
    <col min="4597" max="4597" width="12.1640625" style="861" customWidth="1"/>
    <col min="4598" max="4601" width="9.83203125" style="861" customWidth="1"/>
    <col min="4602" max="4602" width="9" style="861" customWidth="1"/>
    <col min="4603" max="4603" width="13.5" style="861" customWidth="1"/>
    <col min="4604" max="4604" width="13.1640625" style="861" customWidth="1"/>
    <col min="4605" max="4605" width="9.33203125" style="861"/>
    <col min="4606" max="4606" width="11.5" style="861" bestFit="1" customWidth="1"/>
    <col min="4607" max="4607" width="38.5" style="861" customWidth="1"/>
    <col min="4608" max="4608" width="10.6640625" style="861" customWidth="1"/>
    <col min="4609" max="4609" width="11.33203125" style="861" customWidth="1"/>
    <col min="4610" max="4614" width="9.33203125" style="861"/>
    <col min="4615" max="4615" width="9.5" style="861" bestFit="1" customWidth="1"/>
    <col min="4616" max="4616" width="18.33203125" style="861" customWidth="1"/>
    <col min="4617" max="4843" width="9.33203125" style="861"/>
    <col min="4844" max="4844" width="9.1640625" style="861" bestFit="1" customWidth="1"/>
    <col min="4845" max="4845" width="42.5" style="861" customWidth="1"/>
    <col min="4846" max="4846" width="10.33203125" style="861" customWidth="1"/>
    <col min="4847" max="4847" width="9.6640625" style="861" customWidth="1"/>
    <col min="4848" max="4848" width="12.6640625" style="861" customWidth="1"/>
    <col min="4849" max="4850" width="9.6640625" style="861" customWidth="1"/>
    <col min="4851" max="4851" width="9.33203125" style="861"/>
    <col min="4852" max="4852" width="9.83203125" style="861" customWidth="1"/>
    <col min="4853" max="4853" width="12.1640625" style="861" customWidth="1"/>
    <col min="4854" max="4857" width="9.83203125" style="861" customWidth="1"/>
    <col min="4858" max="4858" width="9" style="861" customWidth="1"/>
    <col min="4859" max="4859" width="13.5" style="861" customWidth="1"/>
    <col min="4860" max="4860" width="13.1640625" style="861" customWidth="1"/>
    <col min="4861" max="4861" width="9.33203125" style="861"/>
    <col min="4862" max="4862" width="11.5" style="861" bestFit="1" customWidth="1"/>
    <col min="4863" max="4863" width="38.5" style="861" customWidth="1"/>
    <col min="4864" max="4864" width="10.6640625" style="861" customWidth="1"/>
    <col min="4865" max="4865" width="11.33203125" style="861" customWidth="1"/>
    <col min="4866" max="4870" width="9.33203125" style="861"/>
    <col min="4871" max="4871" width="9.5" style="861" bestFit="1" customWidth="1"/>
    <col min="4872" max="4872" width="18.33203125" style="861" customWidth="1"/>
    <col min="4873" max="5099" width="9.33203125" style="861"/>
    <col min="5100" max="5100" width="9.1640625" style="861" bestFit="1" customWidth="1"/>
    <col min="5101" max="5101" width="42.5" style="861" customWidth="1"/>
    <col min="5102" max="5102" width="10.33203125" style="861" customWidth="1"/>
    <col min="5103" max="5103" width="9.6640625" style="861" customWidth="1"/>
    <col min="5104" max="5104" width="12.6640625" style="861" customWidth="1"/>
    <col min="5105" max="5106" width="9.6640625" style="861" customWidth="1"/>
    <col min="5107" max="5107" width="9.33203125" style="861"/>
    <col min="5108" max="5108" width="9.83203125" style="861" customWidth="1"/>
    <col min="5109" max="5109" width="12.1640625" style="861" customWidth="1"/>
    <col min="5110" max="5113" width="9.83203125" style="861" customWidth="1"/>
    <col min="5114" max="5114" width="9" style="861" customWidth="1"/>
    <col min="5115" max="5115" width="13.5" style="861" customWidth="1"/>
    <col min="5116" max="5116" width="13.1640625" style="861" customWidth="1"/>
    <col min="5117" max="5117" width="9.33203125" style="861"/>
    <col min="5118" max="5118" width="11.5" style="861" bestFit="1" customWidth="1"/>
    <col min="5119" max="5119" width="38.5" style="861" customWidth="1"/>
    <col min="5120" max="5120" width="10.6640625" style="861" customWidth="1"/>
    <col min="5121" max="5121" width="11.33203125" style="861" customWidth="1"/>
    <col min="5122" max="5126" width="9.33203125" style="861"/>
    <col min="5127" max="5127" width="9.5" style="861" bestFit="1" customWidth="1"/>
    <col min="5128" max="5128" width="18.33203125" style="861" customWidth="1"/>
    <col min="5129" max="5355" width="9.33203125" style="861"/>
    <col min="5356" max="5356" width="9.1640625" style="861" bestFit="1" customWidth="1"/>
    <col min="5357" max="5357" width="42.5" style="861" customWidth="1"/>
    <col min="5358" max="5358" width="10.33203125" style="861" customWidth="1"/>
    <col min="5359" max="5359" width="9.6640625" style="861" customWidth="1"/>
    <col min="5360" max="5360" width="12.6640625" style="861" customWidth="1"/>
    <col min="5361" max="5362" width="9.6640625" style="861" customWidth="1"/>
    <col min="5363" max="5363" width="9.33203125" style="861"/>
    <col min="5364" max="5364" width="9.83203125" style="861" customWidth="1"/>
    <col min="5365" max="5365" width="12.1640625" style="861" customWidth="1"/>
    <col min="5366" max="5369" width="9.83203125" style="861" customWidth="1"/>
    <col min="5370" max="5370" width="9" style="861" customWidth="1"/>
    <col min="5371" max="5371" width="13.5" style="861" customWidth="1"/>
    <col min="5372" max="5372" width="13.1640625" style="861" customWidth="1"/>
    <col min="5373" max="5373" width="9.33203125" style="861"/>
    <col min="5374" max="5374" width="11.5" style="861" bestFit="1" customWidth="1"/>
    <col min="5375" max="5375" width="38.5" style="861" customWidth="1"/>
    <col min="5376" max="5376" width="10.6640625" style="861" customWidth="1"/>
    <col min="5377" max="5377" width="11.33203125" style="861" customWidth="1"/>
    <col min="5378" max="5382" width="9.33203125" style="861"/>
    <col min="5383" max="5383" width="9.5" style="861" bestFit="1" customWidth="1"/>
    <col min="5384" max="5384" width="18.33203125" style="861" customWidth="1"/>
    <col min="5385" max="5611" width="9.33203125" style="861"/>
    <col min="5612" max="5612" width="9.1640625" style="861" bestFit="1" customWidth="1"/>
    <col min="5613" max="5613" width="42.5" style="861" customWidth="1"/>
    <col min="5614" max="5614" width="10.33203125" style="861" customWidth="1"/>
    <col min="5615" max="5615" width="9.6640625" style="861" customWidth="1"/>
    <col min="5616" max="5616" width="12.6640625" style="861" customWidth="1"/>
    <col min="5617" max="5618" width="9.6640625" style="861" customWidth="1"/>
    <col min="5619" max="5619" width="9.33203125" style="861"/>
    <col min="5620" max="5620" width="9.83203125" style="861" customWidth="1"/>
    <col min="5621" max="5621" width="12.1640625" style="861" customWidth="1"/>
    <col min="5622" max="5625" width="9.83203125" style="861" customWidth="1"/>
    <col min="5626" max="5626" width="9" style="861" customWidth="1"/>
    <col min="5627" max="5627" width="13.5" style="861" customWidth="1"/>
    <col min="5628" max="5628" width="13.1640625" style="861" customWidth="1"/>
    <col min="5629" max="5629" width="9.33203125" style="861"/>
    <col min="5630" max="5630" width="11.5" style="861" bestFit="1" customWidth="1"/>
    <col min="5631" max="5631" width="38.5" style="861" customWidth="1"/>
    <col min="5632" max="5632" width="10.6640625" style="861" customWidth="1"/>
    <col min="5633" max="5633" width="11.33203125" style="861" customWidth="1"/>
    <col min="5634" max="5638" width="9.33203125" style="861"/>
    <col min="5639" max="5639" width="9.5" style="861" bestFit="1" customWidth="1"/>
    <col min="5640" max="5640" width="18.33203125" style="861" customWidth="1"/>
    <col min="5641" max="5867" width="9.33203125" style="861"/>
    <col min="5868" max="5868" width="9.1640625" style="861" bestFit="1" customWidth="1"/>
    <col min="5869" max="5869" width="42.5" style="861" customWidth="1"/>
    <col min="5870" max="5870" width="10.33203125" style="861" customWidth="1"/>
    <col min="5871" max="5871" width="9.6640625" style="861" customWidth="1"/>
    <col min="5872" max="5872" width="12.6640625" style="861" customWidth="1"/>
    <col min="5873" max="5874" width="9.6640625" style="861" customWidth="1"/>
    <col min="5875" max="5875" width="9.33203125" style="861"/>
    <col min="5876" max="5876" width="9.83203125" style="861" customWidth="1"/>
    <col min="5877" max="5877" width="12.1640625" style="861" customWidth="1"/>
    <col min="5878" max="5881" width="9.83203125" style="861" customWidth="1"/>
    <col min="5882" max="5882" width="9" style="861" customWidth="1"/>
    <col min="5883" max="5883" width="13.5" style="861" customWidth="1"/>
    <col min="5884" max="5884" width="13.1640625" style="861" customWidth="1"/>
    <col min="5885" max="5885" width="9.33203125" style="861"/>
    <col min="5886" max="5886" width="11.5" style="861" bestFit="1" customWidth="1"/>
    <col min="5887" max="5887" width="38.5" style="861" customWidth="1"/>
    <col min="5888" max="5888" width="10.6640625" style="861" customWidth="1"/>
    <col min="5889" max="5889" width="11.33203125" style="861" customWidth="1"/>
    <col min="5890" max="5894" width="9.33203125" style="861"/>
    <col min="5895" max="5895" width="9.5" style="861" bestFit="1" customWidth="1"/>
    <col min="5896" max="5896" width="18.33203125" style="861" customWidth="1"/>
    <col min="5897" max="6123" width="9.33203125" style="861"/>
    <col min="6124" max="6124" width="9.1640625" style="861" bestFit="1" customWidth="1"/>
    <col min="6125" max="6125" width="42.5" style="861" customWidth="1"/>
    <col min="6126" max="6126" width="10.33203125" style="861" customWidth="1"/>
    <col min="6127" max="6127" width="9.6640625" style="861" customWidth="1"/>
    <col min="6128" max="6128" width="12.6640625" style="861" customWidth="1"/>
    <col min="6129" max="6130" width="9.6640625" style="861" customWidth="1"/>
    <col min="6131" max="6131" width="9.33203125" style="861"/>
    <col min="6132" max="6132" width="9.83203125" style="861" customWidth="1"/>
    <col min="6133" max="6133" width="12.1640625" style="861" customWidth="1"/>
    <col min="6134" max="6137" width="9.83203125" style="861" customWidth="1"/>
    <col min="6138" max="6138" width="9" style="861" customWidth="1"/>
    <col min="6139" max="6139" width="13.5" style="861" customWidth="1"/>
    <col min="6140" max="6140" width="13.1640625" style="861" customWidth="1"/>
    <col min="6141" max="6141" width="9.33203125" style="861"/>
    <col min="6142" max="6142" width="11.5" style="861" bestFit="1" customWidth="1"/>
    <col min="6143" max="6143" width="38.5" style="861" customWidth="1"/>
    <col min="6144" max="6144" width="10.6640625" style="861" customWidth="1"/>
    <col min="6145" max="6145" width="11.33203125" style="861" customWidth="1"/>
    <col min="6146" max="6150" width="9.33203125" style="861"/>
    <col min="6151" max="6151" width="9.5" style="861" bestFit="1" customWidth="1"/>
    <col min="6152" max="6152" width="18.33203125" style="861" customWidth="1"/>
    <col min="6153" max="6379" width="9.33203125" style="861"/>
    <col min="6380" max="6380" width="9.1640625" style="861" bestFit="1" customWidth="1"/>
    <col min="6381" max="6381" width="42.5" style="861" customWidth="1"/>
    <col min="6382" max="6382" width="10.33203125" style="861" customWidth="1"/>
    <col min="6383" max="6383" width="9.6640625" style="861" customWidth="1"/>
    <col min="6384" max="6384" width="12.6640625" style="861" customWidth="1"/>
    <col min="6385" max="6386" width="9.6640625" style="861" customWidth="1"/>
    <col min="6387" max="6387" width="9.33203125" style="861"/>
    <col min="6388" max="6388" width="9.83203125" style="861" customWidth="1"/>
    <col min="6389" max="6389" width="12.1640625" style="861" customWidth="1"/>
    <col min="6390" max="6393" width="9.83203125" style="861" customWidth="1"/>
    <col min="6394" max="6394" width="9" style="861" customWidth="1"/>
    <col min="6395" max="6395" width="13.5" style="861" customWidth="1"/>
    <col min="6396" max="6396" width="13.1640625" style="861" customWidth="1"/>
    <col min="6397" max="6397" width="9.33203125" style="861"/>
    <col min="6398" max="6398" width="11.5" style="861" bestFit="1" customWidth="1"/>
    <col min="6399" max="6399" width="38.5" style="861" customWidth="1"/>
    <col min="6400" max="6400" width="10.6640625" style="861" customWidth="1"/>
    <col min="6401" max="6401" width="11.33203125" style="861" customWidth="1"/>
    <col min="6402" max="6406" width="9.33203125" style="861"/>
    <col min="6407" max="6407" width="9.5" style="861" bestFit="1" customWidth="1"/>
    <col min="6408" max="6408" width="18.33203125" style="861" customWidth="1"/>
    <col min="6409" max="6635" width="9.33203125" style="861"/>
    <col min="6636" max="6636" width="9.1640625" style="861" bestFit="1" customWidth="1"/>
    <col min="6637" max="6637" width="42.5" style="861" customWidth="1"/>
    <col min="6638" max="6638" width="10.33203125" style="861" customWidth="1"/>
    <col min="6639" max="6639" width="9.6640625" style="861" customWidth="1"/>
    <col min="6640" max="6640" width="12.6640625" style="861" customWidth="1"/>
    <col min="6641" max="6642" width="9.6640625" style="861" customWidth="1"/>
    <col min="6643" max="6643" width="9.33203125" style="861"/>
    <col min="6644" max="6644" width="9.83203125" style="861" customWidth="1"/>
    <col min="6645" max="6645" width="12.1640625" style="861" customWidth="1"/>
    <col min="6646" max="6649" width="9.83203125" style="861" customWidth="1"/>
    <col min="6650" max="6650" width="9" style="861" customWidth="1"/>
    <col min="6651" max="6651" width="13.5" style="861" customWidth="1"/>
    <col min="6652" max="6652" width="13.1640625" style="861" customWidth="1"/>
    <col min="6653" max="6653" width="9.33203125" style="861"/>
    <col min="6654" max="6654" width="11.5" style="861" bestFit="1" customWidth="1"/>
    <col min="6655" max="6655" width="38.5" style="861" customWidth="1"/>
    <col min="6656" max="6656" width="10.6640625" style="861" customWidth="1"/>
    <col min="6657" max="6657" width="11.33203125" style="861" customWidth="1"/>
    <col min="6658" max="6662" width="9.33203125" style="861"/>
    <col min="6663" max="6663" width="9.5" style="861" bestFit="1" customWidth="1"/>
    <col min="6664" max="6664" width="18.33203125" style="861" customWidth="1"/>
    <col min="6665" max="6891" width="9.33203125" style="861"/>
    <col min="6892" max="6892" width="9.1640625" style="861" bestFit="1" customWidth="1"/>
    <col min="6893" max="6893" width="42.5" style="861" customWidth="1"/>
    <col min="6894" max="6894" width="10.33203125" style="861" customWidth="1"/>
    <col min="6895" max="6895" width="9.6640625" style="861" customWidth="1"/>
    <col min="6896" max="6896" width="12.6640625" style="861" customWidth="1"/>
    <col min="6897" max="6898" width="9.6640625" style="861" customWidth="1"/>
    <col min="6899" max="6899" width="9.33203125" style="861"/>
    <col min="6900" max="6900" width="9.83203125" style="861" customWidth="1"/>
    <col min="6901" max="6901" width="12.1640625" style="861" customWidth="1"/>
    <col min="6902" max="6905" width="9.83203125" style="861" customWidth="1"/>
    <col min="6906" max="6906" width="9" style="861" customWidth="1"/>
    <col min="6907" max="6907" width="13.5" style="861" customWidth="1"/>
    <col min="6908" max="6908" width="13.1640625" style="861" customWidth="1"/>
    <col min="6909" max="6909" width="9.33203125" style="861"/>
    <col min="6910" max="6910" width="11.5" style="861" bestFit="1" customWidth="1"/>
    <col min="6911" max="6911" width="38.5" style="861" customWidth="1"/>
    <col min="6912" max="6912" width="10.6640625" style="861" customWidth="1"/>
    <col min="6913" max="6913" width="11.33203125" style="861" customWidth="1"/>
    <col min="6914" max="6918" width="9.33203125" style="861"/>
    <col min="6919" max="6919" width="9.5" style="861" bestFit="1" customWidth="1"/>
    <col min="6920" max="6920" width="18.33203125" style="861" customWidth="1"/>
    <col min="6921" max="7147" width="9.33203125" style="861"/>
    <col min="7148" max="7148" width="9.1640625" style="861" bestFit="1" customWidth="1"/>
    <col min="7149" max="7149" width="42.5" style="861" customWidth="1"/>
    <col min="7150" max="7150" width="10.33203125" style="861" customWidth="1"/>
    <col min="7151" max="7151" width="9.6640625" style="861" customWidth="1"/>
    <col min="7152" max="7152" width="12.6640625" style="861" customWidth="1"/>
    <col min="7153" max="7154" width="9.6640625" style="861" customWidth="1"/>
    <col min="7155" max="7155" width="9.33203125" style="861"/>
    <col min="7156" max="7156" width="9.83203125" style="861" customWidth="1"/>
    <col min="7157" max="7157" width="12.1640625" style="861" customWidth="1"/>
    <col min="7158" max="7161" width="9.83203125" style="861" customWidth="1"/>
    <col min="7162" max="7162" width="9" style="861" customWidth="1"/>
    <col min="7163" max="7163" width="13.5" style="861" customWidth="1"/>
    <col min="7164" max="7164" width="13.1640625" style="861" customWidth="1"/>
    <col min="7165" max="7165" width="9.33203125" style="861"/>
    <col min="7166" max="7166" width="11.5" style="861" bestFit="1" customWidth="1"/>
    <col min="7167" max="7167" width="38.5" style="861" customWidth="1"/>
    <col min="7168" max="7168" width="10.6640625" style="861" customWidth="1"/>
    <col min="7169" max="7169" width="11.33203125" style="861" customWidth="1"/>
    <col min="7170" max="7174" width="9.33203125" style="861"/>
    <col min="7175" max="7175" width="9.5" style="861" bestFit="1" customWidth="1"/>
    <col min="7176" max="7176" width="18.33203125" style="861" customWidth="1"/>
    <col min="7177" max="7403" width="9.33203125" style="861"/>
    <col min="7404" max="7404" width="9.1640625" style="861" bestFit="1" customWidth="1"/>
    <col min="7405" max="7405" width="42.5" style="861" customWidth="1"/>
    <col min="7406" max="7406" width="10.33203125" style="861" customWidth="1"/>
    <col min="7407" max="7407" width="9.6640625" style="861" customWidth="1"/>
    <col min="7408" max="7408" width="12.6640625" style="861" customWidth="1"/>
    <col min="7409" max="7410" width="9.6640625" style="861" customWidth="1"/>
    <col min="7411" max="7411" width="9.33203125" style="861"/>
    <col min="7412" max="7412" width="9.83203125" style="861" customWidth="1"/>
    <col min="7413" max="7413" width="12.1640625" style="861" customWidth="1"/>
    <col min="7414" max="7417" width="9.83203125" style="861" customWidth="1"/>
    <col min="7418" max="7418" width="9" style="861" customWidth="1"/>
    <col min="7419" max="7419" width="13.5" style="861" customWidth="1"/>
    <col min="7420" max="7420" width="13.1640625" style="861" customWidth="1"/>
    <col min="7421" max="7421" width="9.33203125" style="861"/>
    <col min="7422" max="7422" width="11.5" style="861" bestFit="1" customWidth="1"/>
    <col min="7423" max="7423" width="38.5" style="861" customWidth="1"/>
    <col min="7424" max="7424" width="10.6640625" style="861" customWidth="1"/>
    <col min="7425" max="7425" width="11.33203125" style="861" customWidth="1"/>
    <col min="7426" max="7430" width="9.33203125" style="861"/>
    <col min="7431" max="7431" width="9.5" style="861" bestFit="1" customWidth="1"/>
    <col min="7432" max="7432" width="18.33203125" style="861" customWidth="1"/>
    <col min="7433" max="7659" width="9.33203125" style="861"/>
    <col min="7660" max="7660" width="9.1640625" style="861" bestFit="1" customWidth="1"/>
    <col min="7661" max="7661" width="42.5" style="861" customWidth="1"/>
    <col min="7662" max="7662" width="10.33203125" style="861" customWidth="1"/>
    <col min="7663" max="7663" width="9.6640625" style="861" customWidth="1"/>
    <col min="7664" max="7664" width="12.6640625" style="861" customWidth="1"/>
    <col min="7665" max="7666" width="9.6640625" style="861" customWidth="1"/>
    <col min="7667" max="7667" width="9.33203125" style="861"/>
    <col min="7668" max="7668" width="9.83203125" style="861" customWidth="1"/>
    <col min="7669" max="7669" width="12.1640625" style="861" customWidth="1"/>
    <col min="7670" max="7673" width="9.83203125" style="861" customWidth="1"/>
    <col min="7674" max="7674" width="9" style="861" customWidth="1"/>
    <col min="7675" max="7675" width="13.5" style="861" customWidth="1"/>
    <col min="7676" max="7676" width="13.1640625" style="861" customWidth="1"/>
    <col min="7677" max="7677" width="9.33203125" style="861"/>
    <col min="7678" max="7678" width="11.5" style="861" bestFit="1" customWidth="1"/>
    <col min="7679" max="7679" width="38.5" style="861" customWidth="1"/>
    <col min="7680" max="7680" width="10.6640625" style="861" customWidth="1"/>
    <col min="7681" max="7681" width="11.33203125" style="861" customWidth="1"/>
    <col min="7682" max="7686" width="9.33203125" style="861"/>
    <col min="7687" max="7687" width="9.5" style="861" bestFit="1" customWidth="1"/>
    <col min="7688" max="7688" width="18.33203125" style="861" customWidth="1"/>
    <col min="7689" max="7915" width="9.33203125" style="861"/>
    <col min="7916" max="7916" width="9.1640625" style="861" bestFit="1" customWidth="1"/>
    <col min="7917" max="7917" width="42.5" style="861" customWidth="1"/>
    <col min="7918" max="7918" width="10.33203125" style="861" customWidth="1"/>
    <col min="7919" max="7919" width="9.6640625" style="861" customWidth="1"/>
    <col min="7920" max="7920" width="12.6640625" style="861" customWidth="1"/>
    <col min="7921" max="7922" width="9.6640625" style="861" customWidth="1"/>
    <col min="7923" max="7923" width="9.33203125" style="861"/>
    <col min="7924" max="7924" width="9.83203125" style="861" customWidth="1"/>
    <col min="7925" max="7925" width="12.1640625" style="861" customWidth="1"/>
    <col min="7926" max="7929" width="9.83203125" style="861" customWidth="1"/>
    <col min="7930" max="7930" width="9" style="861" customWidth="1"/>
    <col min="7931" max="7931" width="13.5" style="861" customWidth="1"/>
    <col min="7932" max="7932" width="13.1640625" style="861" customWidth="1"/>
    <col min="7933" max="7933" width="9.33203125" style="861"/>
    <col min="7934" max="7934" width="11.5" style="861" bestFit="1" customWidth="1"/>
    <col min="7935" max="7935" width="38.5" style="861" customWidth="1"/>
    <col min="7936" max="7936" width="10.6640625" style="861" customWidth="1"/>
    <col min="7937" max="7937" width="11.33203125" style="861" customWidth="1"/>
    <col min="7938" max="7942" width="9.33203125" style="861"/>
    <col min="7943" max="7943" width="9.5" style="861" bestFit="1" customWidth="1"/>
    <col min="7944" max="7944" width="18.33203125" style="861" customWidth="1"/>
    <col min="7945" max="8171" width="9.33203125" style="861"/>
    <col min="8172" max="8172" width="9.1640625" style="861" bestFit="1" customWidth="1"/>
    <col min="8173" max="8173" width="42.5" style="861" customWidth="1"/>
    <col min="8174" max="8174" width="10.33203125" style="861" customWidth="1"/>
    <col min="8175" max="8175" width="9.6640625" style="861" customWidth="1"/>
    <col min="8176" max="8176" width="12.6640625" style="861" customWidth="1"/>
    <col min="8177" max="8178" width="9.6640625" style="861" customWidth="1"/>
    <col min="8179" max="8179" width="9.33203125" style="861"/>
    <col min="8180" max="8180" width="9.83203125" style="861" customWidth="1"/>
    <col min="8181" max="8181" width="12.1640625" style="861" customWidth="1"/>
    <col min="8182" max="8185" width="9.83203125" style="861" customWidth="1"/>
    <col min="8186" max="8186" width="9" style="861" customWidth="1"/>
    <col min="8187" max="8187" width="13.5" style="861" customWidth="1"/>
    <col min="8188" max="8188" width="13.1640625" style="861" customWidth="1"/>
    <col min="8189" max="8189" width="9.33203125" style="861"/>
    <col min="8190" max="8190" width="11.5" style="861" bestFit="1" customWidth="1"/>
    <col min="8191" max="8191" width="38.5" style="861" customWidth="1"/>
    <col min="8192" max="8192" width="10.6640625" style="861" customWidth="1"/>
    <col min="8193" max="8193" width="11.33203125" style="861" customWidth="1"/>
    <col min="8194" max="8198" width="9.33203125" style="861"/>
    <col min="8199" max="8199" width="9.5" style="861" bestFit="1" customWidth="1"/>
    <col min="8200" max="8200" width="18.33203125" style="861" customWidth="1"/>
    <col min="8201" max="8427" width="9.33203125" style="861"/>
    <col min="8428" max="8428" width="9.1640625" style="861" bestFit="1" customWidth="1"/>
    <col min="8429" max="8429" width="42.5" style="861" customWidth="1"/>
    <col min="8430" max="8430" width="10.33203125" style="861" customWidth="1"/>
    <col min="8431" max="8431" width="9.6640625" style="861" customWidth="1"/>
    <col min="8432" max="8432" width="12.6640625" style="861" customWidth="1"/>
    <col min="8433" max="8434" width="9.6640625" style="861" customWidth="1"/>
    <col min="8435" max="8435" width="9.33203125" style="861"/>
    <col min="8436" max="8436" width="9.83203125" style="861" customWidth="1"/>
    <col min="8437" max="8437" width="12.1640625" style="861" customWidth="1"/>
    <col min="8438" max="8441" width="9.83203125" style="861" customWidth="1"/>
    <col min="8442" max="8442" width="9" style="861" customWidth="1"/>
    <col min="8443" max="8443" width="13.5" style="861" customWidth="1"/>
    <col min="8444" max="8444" width="13.1640625" style="861" customWidth="1"/>
    <col min="8445" max="8445" width="9.33203125" style="861"/>
    <col min="8446" max="8446" width="11.5" style="861" bestFit="1" customWidth="1"/>
    <col min="8447" max="8447" width="38.5" style="861" customWidth="1"/>
    <col min="8448" max="8448" width="10.6640625" style="861" customWidth="1"/>
    <col min="8449" max="8449" width="11.33203125" style="861" customWidth="1"/>
    <col min="8450" max="8454" width="9.33203125" style="861"/>
    <col min="8455" max="8455" width="9.5" style="861" bestFit="1" customWidth="1"/>
    <col min="8456" max="8456" width="18.33203125" style="861" customWidth="1"/>
    <col min="8457" max="8683" width="9.33203125" style="861"/>
    <col min="8684" max="8684" width="9.1640625" style="861" bestFit="1" customWidth="1"/>
    <col min="8685" max="8685" width="42.5" style="861" customWidth="1"/>
    <col min="8686" max="8686" width="10.33203125" style="861" customWidth="1"/>
    <col min="8687" max="8687" width="9.6640625" style="861" customWidth="1"/>
    <col min="8688" max="8688" width="12.6640625" style="861" customWidth="1"/>
    <col min="8689" max="8690" width="9.6640625" style="861" customWidth="1"/>
    <col min="8691" max="8691" width="9.33203125" style="861"/>
    <col min="8692" max="8692" width="9.83203125" style="861" customWidth="1"/>
    <col min="8693" max="8693" width="12.1640625" style="861" customWidth="1"/>
    <col min="8694" max="8697" width="9.83203125" style="861" customWidth="1"/>
    <col min="8698" max="8698" width="9" style="861" customWidth="1"/>
    <col min="8699" max="8699" width="13.5" style="861" customWidth="1"/>
    <col min="8700" max="8700" width="13.1640625" style="861" customWidth="1"/>
    <col min="8701" max="8701" width="9.33203125" style="861"/>
    <col min="8702" max="8702" width="11.5" style="861" bestFit="1" customWidth="1"/>
    <col min="8703" max="8703" width="38.5" style="861" customWidth="1"/>
    <col min="8704" max="8704" width="10.6640625" style="861" customWidth="1"/>
    <col min="8705" max="8705" width="11.33203125" style="861" customWidth="1"/>
    <col min="8706" max="8710" width="9.33203125" style="861"/>
    <col min="8711" max="8711" width="9.5" style="861" bestFit="1" customWidth="1"/>
    <col min="8712" max="8712" width="18.33203125" style="861" customWidth="1"/>
    <col min="8713" max="8939" width="9.33203125" style="861"/>
    <col min="8940" max="8940" width="9.1640625" style="861" bestFit="1" customWidth="1"/>
    <col min="8941" max="8941" width="42.5" style="861" customWidth="1"/>
    <col min="8942" max="8942" width="10.33203125" style="861" customWidth="1"/>
    <col min="8943" max="8943" width="9.6640625" style="861" customWidth="1"/>
    <col min="8944" max="8944" width="12.6640625" style="861" customWidth="1"/>
    <col min="8945" max="8946" width="9.6640625" style="861" customWidth="1"/>
    <col min="8947" max="8947" width="9.33203125" style="861"/>
    <col min="8948" max="8948" width="9.83203125" style="861" customWidth="1"/>
    <col min="8949" max="8949" width="12.1640625" style="861" customWidth="1"/>
    <col min="8950" max="8953" width="9.83203125" style="861" customWidth="1"/>
    <col min="8954" max="8954" width="9" style="861" customWidth="1"/>
    <col min="8955" max="8955" width="13.5" style="861" customWidth="1"/>
    <col min="8956" max="8956" width="13.1640625" style="861" customWidth="1"/>
    <col min="8957" max="8957" width="9.33203125" style="861"/>
    <col min="8958" max="8958" width="11.5" style="861" bestFit="1" customWidth="1"/>
    <col min="8959" max="8959" width="38.5" style="861" customWidth="1"/>
    <col min="8960" max="8960" width="10.6640625" style="861" customWidth="1"/>
    <col min="8961" max="8961" width="11.33203125" style="861" customWidth="1"/>
    <col min="8962" max="8966" width="9.33203125" style="861"/>
    <col min="8967" max="8967" width="9.5" style="861" bestFit="1" customWidth="1"/>
    <col min="8968" max="8968" width="18.33203125" style="861" customWidth="1"/>
    <col min="8969" max="9195" width="9.33203125" style="861"/>
    <col min="9196" max="9196" width="9.1640625" style="861" bestFit="1" customWidth="1"/>
    <col min="9197" max="9197" width="42.5" style="861" customWidth="1"/>
    <col min="9198" max="9198" width="10.33203125" style="861" customWidth="1"/>
    <col min="9199" max="9199" width="9.6640625" style="861" customWidth="1"/>
    <col min="9200" max="9200" width="12.6640625" style="861" customWidth="1"/>
    <col min="9201" max="9202" width="9.6640625" style="861" customWidth="1"/>
    <col min="9203" max="9203" width="9.33203125" style="861"/>
    <col min="9204" max="9204" width="9.83203125" style="861" customWidth="1"/>
    <col min="9205" max="9205" width="12.1640625" style="861" customWidth="1"/>
    <col min="9206" max="9209" width="9.83203125" style="861" customWidth="1"/>
    <col min="9210" max="9210" width="9" style="861" customWidth="1"/>
    <col min="9211" max="9211" width="13.5" style="861" customWidth="1"/>
    <col min="9212" max="9212" width="13.1640625" style="861" customWidth="1"/>
    <col min="9213" max="9213" width="9.33203125" style="861"/>
    <col min="9214" max="9214" width="11.5" style="861" bestFit="1" customWidth="1"/>
    <col min="9215" max="9215" width="38.5" style="861" customWidth="1"/>
    <col min="9216" max="9216" width="10.6640625" style="861" customWidth="1"/>
    <col min="9217" max="9217" width="11.33203125" style="861" customWidth="1"/>
    <col min="9218" max="9222" width="9.33203125" style="861"/>
    <col min="9223" max="9223" width="9.5" style="861" bestFit="1" customWidth="1"/>
    <col min="9224" max="9224" width="18.33203125" style="861" customWidth="1"/>
    <col min="9225" max="9451" width="9.33203125" style="861"/>
    <col min="9452" max="9452" width="9.1640625" style="861" bestFit="1" customWidth="1"/>
    <col min="9453" max="9453" width="42.5" style="861" customWidth="1"/>
    <col min="9454" max="9454" width="10.33203125" style="861" customWidth="1"/>
    <col min="9455" max="9455" width="9.6640625" style="861" customWidth="1"/>
    <col min="9456" max="9456" width="12.6640625" style="861" customWidth="1"/>
    <col min="9457" max="9458" width="9.6640625" style="861" customWidth="1"/>
    <col min="9459" max="9459" width="9.33203125" style="861"/>
    <col min="9460" max="9460" width="9.83203125" style="861" customWidth="1"/>
    <col min="9461" max="9461" width="12.1640625" style="861" customWidth="1"/>
    <col min="9462" max="9465" width="9.83203125" style="861" customWidth="1"/>
    <col min="9466" max="9466" width="9" style="861" customWidth="1"/>
    <col min="9467" max="9467" width="13.5" style="861" customWidth="1"/>
    <col min="9468" max="9468" width="13.1640625" style="861" customWidth="1"/>
    <col min="9469" max="9469" width="9.33203125" style="861"/>
    <col min="9470" max="9470" width="11.5" style="861" bestFit="1" customWidth="1"/>
    <col min="9471" max="9471" width="38.5" style="861" customWidth="1"/>
    <col min="9472" max="9472" width="10.6640625" style="861" customWidth="1"/>
    <col min="9473" max="9473" width="11.33203125" style="861" customWidth="1"/>
    <col min="9474" max="9478" width="9.33203125" style="861"/>
    <col min="9479" max="9479" width="9.5" style="861" bestFit="1" customWidth="1"/>
    <col min="9480" max="9480" width="18.33203125" style="861" customWidth="1"/>
    <col min="9481" max="9707" width="9.33203125" style="861"/>
    <col min="9708" max="9708" width="9.1640625" style="861" bestFit="1" customWidth="1"/>
    <col min="9709" max="9709" width="42.5" style="861" customWidth="1"/>
    <col min="9710" max="9710" width="10.33203125" style="861" customWidth="1"/>
    <col min="9711" max="9711" width="9.6640625" style="861" customWidth="1"/>
    <col min="9712" max="9712" width="12.6640625" style="861" customWidth="1"/>
    <col min="9713" max="9714" width="9.6640625" style="861" customWidth="1"/>
    <col min="9715" max="9715" width="9.33203125" style="861"/>
    <col min="9716" max="9716" width="9.83203125" style="861" customWidth="1"/>
    <col min="9717" max="9717" width="12.1640625" style="861" customWidth="1"/>
    <col min="9718" max="9721" width="9.83203125" style="861" customWidth="1"/>
    <col min="9722" max="9722" width="9" style="861" customWidth="1"/>
    <col min="9723" max="9723" width="13.5" style="861" customWidth="1"/>
    <col min="9724" max="9724" width="13.1640625" style="861" customWidth="1"/>
    <col min="9725" max="9725" width="9.33203125" style="861"/>
    <col min="9726" max="9726" width="11.5" style="861" bestFit="1" customWidth="1"/>
    <col min="9727" max="9727" width="38.5" style="861" customWidth="1"/>
    <col min="9728" max="9728" width="10.6640625" style="861" customWidth="1"/>
    <col min="9729" max="9729" width="11.33203125" style="861" customWidth="1"/>
    <col min="9730" max="9734" width="9.33203125" style="861"/>
    <col min="9735" max="9735" width="9.5" style="861" bestFit="1" customWidth="1"/>
    <col min="9736" max="9736" width="18.33203125" style="861" customWidth="1"/>
    <col min="9737" max="9963" width="9.33203125" style="861"/>
    <col min="9964" max="9964" width="9.1640625" style="861" bestFit="1" customWidth="1"/>
    <col min="9965" max="9965" width="42.5" style="861" customWidth="1"/>
    <col min="9966" max="9966" width="10.33203125" style="861" customWidth="1"/>
    <col min="9967" max="9967" width="9.6640625" style="861" customWidth="1"/>
    <col min="9968" max="9968" width="12.6640625" style="861" customWidth="1"/>
    <col min="9969" max="9970" width="9.6640625" style="861" customWidth="1"/>
    <col min="9971" max="9971" width="9.33203125" style="861"/>
    <col min="9972" max="9972" width="9.83203125" style="861" customWidth="1"/>
    <col min="9973" max="9973" width="12.1640625" style="861" customWidth="1"/>
    <col min="9974" max="9977" width="9.83203125" style="861" customWidth="1"/>
    <col min="9978" max="9978" width="9" style="861" customWidth="1"/>
    <col min="9979" max="9979" width="13.5" style="861" customWidth="1"/>
    <col min="9980" max="9980" width="13.1640625" style="861" customWidth="1"/>
    <col min="9981" max="9981" width="9.33203125" style="861"/>
    <col min="9982" max="9982" width="11.5" style="861" bestFit="1" customWidth="1"/>
    <col min="9983" max="9983" width="38.5" style="861" customWidth="1"/>
    <col min="9984" max="9984" width="10.6640625" style="861" customWidth="1"/>
    <col min="9985" max="9985" width="11.33203125" style="861" customWidth="1"/>
    <col min="9986" max="9990" width="9.33203125" style="861"/>
    <col min="9991" max="9991" width="9.5" style="861" bestFit="1" customWidth="1"/>
    <col min="9992" max="9992" width="18.33203125" style="861" customWidth="1"/>
    <col min="9993" max="10219" width="9.33203125" style="861"/>
    <col min="10220" max="10220" width="9.1640625" style="861" bestFit="1" customWidth="1"/>
    <col min="10221" max="10221" width="42.5" style="861" customWidth="1"/>
    <col min="10222" max="10222" width="10.33203125" style="861" customWidth="1"/>
    <col min="10223" max="10223" width="9.6640625" style="861" customWidth="1"/>
    <col min="10224" max="10224" width="12.6640625" style="861" customWidth="1"/>
    <col min="10225" max="10226" width="9.6640625" style="861" customWidth="1"/>
    <col min="10227" max="10227" width="9.33203125" style="861"/>
    <col min="10228" max="10228" width="9.83203125" style="861" customWidth="1"/>
    <col min="10229" max="10229" width="12.1640625" style="861" customWidth="1"/>
    <col min="10230" max="10233" width="9.83203125" style="861" customWidth="1"/>
    <col min="10234" max="10234" width="9" style="861" customWidth="1"/>
    <col min="10235" max="10235" width="13.5" style="861" customWidth="1"/>
    <col min="10236" max="10236" width="13.1640625" style="861" customWidth="1"/>
    <col min="10237" max="10237" width="9.33203125" style="861"/>
    <col min="10238" max="10238" width="11.5" style="861" bestFit="1" customWidth="1"/>
    <col min="10239" max="10239" width="38.5" style="861" customWidth="1"/>
    <col min="10240" max="10240" width="10.6640625" style="861" customWidth="1"/>
    <col min="10241" max="10241" width="11.33203125" style="861" customWidth="1"/>
    <col min="10242" max="10246" width="9.33203125" style="861"/>
    <col min="10247" max="10247" width="9.5" style="861" bestFit="1" customWidth="1"/>
    <col min="10248" max="10248" width="18.33203125" style="861" customWidth="1"/>
    <col min="10249" max="10475" width="9.33203125" style="861"/>
    <col min="10476" max="10476" width="9.1640625" style="861" bestFit="1" customWidth="1"/>
    <col min="10477" max="10477" width="42.5" style="861" customWidth="1"/>
    <col min="10478" max="10478" width="10.33203125" style="861" customWidth="1"/>
    <col min="10479" max="10479" width="9.6640625" style="861" customWidth="1"/>
    <col min="10480" max="10480" width="12.6640625" style="861" customWidth="1"/>
    <col min="10481" max="10482" width="9.6640625" style="861" customWidth="1"/>
    <col min="10483" max="10483" width="9.33203125" style="861"/>
    <col min="10484" max="10484" width="9.83203125" style="861" customWidth="1"/>
    <col min="10485" max="10485" width="12.1640625" style="861" customWidth="1"/>
    <col min="10486" max="10489" width="9.83203125" style="861" customWidth="1"/>
    <col min="10490" max="10490" width="9" style="861" customWidth="1"/>
    <col min="10491" max="10491" width="13.5" style="861" customWidth="1"/>
    <col min="10492" max="10492" width="13.1640625" style="861" customWidth="1"/>
    <col min="10493" max="10493" width="9.33203125" style="861"/>
    <col min="10494" max="10494" width="11.5" style="861" bestFit="1" customWidth="1"/>
    <col min="10495" max="10495" width="38.5" style="861" customWidth="1"/>
    <col min="10496" max="10496" width="10.6640625" style="861" customWidth="1"/>
    <col min="10497" max="10497" width="11.33203125" style="861" customWidth="1"/>
    <col min="10498" max="10502" width="9.33203125" style="861"/>
    <col min="10503" max="10503" width="9.5" style="861" bestFit="1" customWidth="1"/>
    <col min="10504" max="10504" width="18.33203125" style="861" customWidth="1"/>
    <col min="10505" max="10731" width="9.33203125" style="861"/>
    <col min="10732" max="10732" width="9.1640625" style="861" bestFit="1" customWidth="1"/>
    <col min="10733" max="10733" width="42.5" style="861" customWidth="1"/>
    <col min="10734" max="10734" width="10.33203125" style="861" customWidth="1"/>
    <col min="10735" max="10735" width="9.6640625" style="861" customWidth="1"/>
    <col min="10736" max="10736" width="12.6640625" style="861" customWidth="1"/>
    <col min="10737" max="10738" width="9.6640625" style="861" customWidth="1"/>
    <col min="10739" max="10739" width="9.33203125" style="861"/>
    <col min="10740" max="10740" width="9.83203125" style="861" customWidth="1"/>
    <col min="10741" max="10741" width="12.1640625" style="861" customWidth="1"/>
    <col min="10742" max="10745" width="9.83203125" style="861" customWidth="1"/>
    <col min="10746" max="10746" width="9" style="861" customWidth="1"/>
    <col min="10747" max="10747" width="13.5" style="861" customWidth="1"/>
    <col min="10748" max="10748" width="13.1640625" style="861" customWidth="1"/>
    <col min="10749" max="10749" width="9.33203125" style="861"/>
    <col min="10750" max="10750" width="11.5" style="861" bestFit="1" customWidth="1"/>
    <col min="10751" max="10751" width="38.5" style="861" customWidth="1"/>
    <col min="10752" max="10752" width="10.6640625" style="861" customWidth="1"/>
    <col min="10753" max="10753" width="11.33203125" style="861" customWidth="1"/>
    <col min="10754" max="10758" width="9.33203125" style="861"/>
    <col min="10759" max="10759" width="9.5" style="861" bestFit="1" customWidth="1"/>
    <col min="10760" max="10760" width="18.33203125" style="861" customWidth="1"/>
    <col min="10761" max="10987" width="9.33203125" style="861"/>
    <col min="10988" max="10988" width="9.1640625" style="861" bestFit="1" customWidth="1"/>
    <col min="10989" max="10989" width="42.5" style="861" customWidth="1"/>
    <col min="10990" max="10990" width="10.33203125" style="861" customWidth="1"/>
    <col min="10991" max="10991" width="9.6640625" style="861" customWidth="1"/>
    <col min="10992" max="10992" width="12.6640625" style="861" customWidth="1"/>
    <col min="10993" max="10994" width="9.6640625" style="861" customWidth="1"/>
    <col min="10995" max="10995" width="9.33203125" style="861"/>
    <col min="10996" max="10996" width="9.83203125" style="861" customWidth="1"/>
    <col min="10997" max="10997" width="12.1640625" style="861" customWidth="1"/>
    <col min="10998" max="11001" width="9.83203125" style="861" customWidth="1"/>
    <col min="11002" max="11002" width="9" style="861" customWidth="1"/>
    <col min="11003" max="11003" width="13.5" style="861" customWidth="1"/>
    <col min="11004" max="11004" width="13.1640625" style="861" customWidth="1"/>
    <col min="11005" max="11005" width="9.33203125" style="861"/>
    <col min="11006" max="11006" width="11.5" style="861" bestFit="1" customWidth="1"/>
    <col min="11007" max="11007" width="38.5" style="861" customWidth="1"/>
    <col min="11008" max="11008" width="10.6640625" style="861" customWidth="1"/>
    <col min="11009" max="11009" width="11.33203125" style="861" customWidth="1"/>
    <col min="11010" max="11014" width="9.33203125" style="861"/>
    <col min="11015" max="11015" width="9.5" style="861" bestFit="1" customWidth="1"/>
    <col min="11016" max="11016" width="18.33203125" style="861" customWidth="1"/>
    <col min="11017" max="11243" width="9.33203125" style="861"/>
    <col min="11244" max="11244" width="9.1640625" style="861" bestFit="1" customWidth="1"/>
    <col min="11245" max="11245" width="42.5" style="861" customWidth="1"/>
    <col min="11246" max="11246" width="10.33203125" style="861" customWidth="1"/>
    <col min="11247" max="11247" width="9.6640625" style="861" customWidth="1"/>
    <col min="11248" max="11248" width="12.6640625" style="861" customWidth="1"/>
    <col min="11249" max="11250" width="9.6640625" style="861" customWidth="1"/>
    <col min="11251" max="11251" width="9.33203125" style="861"/>
    <col min="11252" max="11252" width="9.83203125" style="861" customWidth="1"/>
    <col min="11253" max="11253" width="12.1640625" style="861" customWidth="1"/>
    <col min="11254" max="11257" width="9.83203125" style="861" customWidth="1"/>
    <col min="11258" max="11258" width="9" style="861" customWidth="1"/>
    <col min="11259" max="11259" width="13.5" style="861" customWidth="1"/>
    <col min="11260" max="11260" width="13.1640625" style="861" customWidth="1"/>
    <col min="11261" max="11261" width="9.33203125" style="861"/>
    <col min="11262" max="11262" width="11.5" style="861" bestFit="1" customWidth="1"/>
    <col min="11263" max="11263" width="38.5" style="861" customWidth="1"/>
    <col min="11264" max="11264" width="10.6640625" style="861" customWidth="1"/>
    <col min="11265" max="11265" width="11.33203125" style="861" customWidth="1"/>
    <col min="11266" max="11270" width="9.33203125" style="861"/>
    <col min="11271" max="11271" width="9.5" style="861" bestFit="1" customWidth="1"/>
    <col min="11272" max="11272" width="18.33203125" style="861" customWidth="1"/>
    <col min="11273" max="11499" width="9.33203125" style="861"/>
    <col min="11500" max="11500" width="9.1640625" style="861" bestFit="1" customWidth="1"/>
    <col min="11501" max="11501" width="42.5" style="861" customWidth="1"/>
    <col min="11502" max="11502" width="10.33203125" style="861" customWidth="1"/>
    <col min="11503" max="11503" width="9.6640625" style="861" customWidth="1"/>
    <col min="11504" max="11504" width="12.6640625" style="861" customWidth="1"/>
    <col min="11505" max="11506" width="9.6640625" style="861" customWidth="1"/>
    <col min="11507" max="11507" width="9.33203125" style="861"/>
    <col min="11508" max="11508" width="9.83203125" style="861" customWidth="1"/>
    <col min="11509" max="11509" width="12.1640625" style="861" customWidth="1"/>
    <col min="11510" max="11513" width="9.83203125" style="861" customWidth="1"/>
    <col min="11514" max="11514" width="9" style="861" customWidth="1"/>
    <col min="11515" max="11515" width="13.5" style="861" customWidth="1"/>
    <col min="11516" max="11516" width="13.1640625" style="861" customWidth="1"/>
    <col min="11517" max="11517" width="9.33203125" style="861"/>
    <col min="11518" max="11518" width="11.5" style="861" bestFit="1" customWidth="1"/>
    <col min="11519" max="11519" width="38.5" style="861" customWidth="1"/>
    <col min="11520" max="11520" width="10.6640625" style="861" customWidth="1"/>
    <col min="11521" max="11521" width="11.33203125" style="861" customWidth="1"/>
    <col min="11522" max="11526" width="9.33203125" style="861"/>
    <col min="11527" max="11527" width="9.5" style="861" bestFit="1" customWidth="1"/>
    <col min="11528" max="11528" width="18.33203125" style="861" customWidth="1"/>
    <col min="11529" max="11755" width="9.33203125" style="861"/>
    <col min="11756" max="11756" width="9.1640625" style="861" bestFit="1" customWidth="1"/>
    <col min="11757" max="11757" width="42.5" style="861" customWidth="1"/>
    <col min="11758" max="11758" width="10.33203125" style="861" customWidth="1"/>
    <col min="11759" max="11759" width="9.6640625" style="861" customWidth="1"/>
    <col min="11760" max="11760" width="12.6640625" style="861" customWidth="1"/>
    <col min="11761" max="11762" width="9.6640625" style="861" customWidth="1"/>
    <col min="11763" max="11763" width="9.33203125" style="861"/>
    <col min="11764" max="11764" width="9.83203125" style="861" customWidth="1"/>
    <col min="11765" max="11765" width="12.1640625" style="861" customWidth="1"/>
    <col min="11766" max="11769" width="9.83203125" style="861" customWidth="1"/>
    <col min="11770" max="11770" width="9" style="861" customWidth="1"/>
    <col min="11771" max="11771" width="13.5" style="861" customWidth="1"/>
    <col min="11772" max="11772" width="13.1640625" style="861" customWidth="1"/>
    <col min="11773" max="11773" width="9.33203125" style="861"/>
    <col min="11774" max="11774" width="11.5" style="861" bestFit="1" customWidth="1"/>
    <col min="11775" max="11775" width="38.5" style="861" customWidth="1"/>
    <col min="11776" max="11776" width="10.6640625" style="861" customWidth="1"/>
    <col min="11777" max="11777" width="11.33203125" style="861" customWidth="1"/>
    <col min="11778" max="11782" width="9.33203125" style="861"/>
    <col min="11783" max="11783" width="9.5" style="861" bestFit="1" customWidth="1"/>
    <col min="11784" max="11784" width="18.33203125" style="861" customWidth="1"/>
    <col min="11785" max="12011" width="9.33203125" style="861"/>
    <col min="12012" max="12012" width="9.1640625" style="861" bestFit="1" customWidth="1"/>
    <col min="12013" max="12013" width="42.5" style="861" customWidth="1"/>
    <col min="12014" max="12014" width="10.33203125" style="861" customWidth="1"/>
    <col min="12015" max="12015" width="9.6640625" style="861" customWidth="1"/>
    <col min="12016" max="12016" width="12.6640625" style="861" customWidth="1"/>
    <col min="12017" max="12018" width="9.6640625" style="861" customWidth="1"/>
    <col min="12019" max="12019" width="9.33203125" style="861"/>
    <col min="12020" max="12020" width="9.83203125" style="861" customWidth="1"/>
    <col min="12021" max="12021" width="12.1640625" style="861" customWidth="1"/>
    <col min="12022" max="12025" width="9.83203125" style="861" customWidth="1"/>
    <col min="12026" max="12026" width="9" style="861" customWidth="1"/>
    <col min="12027" max="12027" width="13.5" style="861" customWidth="1"/>
    <col min="12028" max="12028" width="13.1640625" style="861" customWidth="1"/>
    <col min="12029" max="12029" width="9.33203125" style="861"/>
    <col min="12030" max="12030" width="11.5" style="861" bestFit="1" customWidth="1"/>
    <col min="12031" max="12031" width="38.5" style="861" customWidth="1"/>
    <col min="12032" max="12032" width="10.6640625" style="861" customWidth="1"/>
    <col min="12033" max="12033" width="11.33203125" style="861" customWidth="1"/>
    <col min="12034" max="12038" width="9.33203125" style="861"/>
    <col min="12039" max="12039" width="9.5" style="861" bestFit="1" customWidth="1"/>
    <col min="12040" max="12040" width="18.33203125" style="861" customWidth="1"/>
    <col min="12041" max="12267" width="9.33203125" style="861"/>
    <col min="12268" max="12268" width="9.1640625" style="861" bestFit="1" customWidth="1"/>
    <col min="12269" max="12269" width="42.5" style="861" customWidth="1"/>
    <col min="12270" max="12270" width="10.33203125" style="861" customWidth="1"/>
    <col min="12271" max="12271" width="9.6640625" style="861" customWidth="1"/>
    <col min="12272" max="12272" width="12.6640625" style="861" customWidth="1"/>
    <col min="12273" max="12274" width="9.6640625" style="861" customWidth="1"/>
    <col min="12275" max="12275" width="9.33203125" style="861"/>
    <col min="12276" max="12276" width="9.83203125" style="861" customWidth="1"/>
    <col min="12277" max="12277" width="12.1640625" style="861" customWidth="1"/>
    <col min="12278" max="12281" width="9.83203125" style="861" customWidth="1"/>
    <col min="12282" max="12282" width="9" style="861" customWidth="1"/>
    <col min="12283" max="12283" width="13.5" style="861" customWidth="1"/>
    <col min="12284" max="12284" width="13.1640625" style="861" customWidth="1"/>
    <col min="12285" max="12285" width="9.33203125" style="861"/>
    <col min="12286" max="12286" width="11.5" style="861" bestFit="1" customWidth="1"/>
    <col min="12287" max="12287" width="38.5" style="861" customWidth="1"/>
    <col min="12288" max="12288" width="10.6640625" style="861" customWidth="1"/>
    <col min="12289" max="12289" width="11.33203125" style="861" customWidth="1"/>
    <col min="12290" max="12294" width="9.33203125" style="861"/>
    <col min="12295" max="12295" width="9.5" style="861" bestFit="1" customWidth="1"/>
    <col min="12296" max="12296" width="18.33203125" style="861" customWidth="1"/>
    <col min="12297" max="12523" width="9.33203125" style="861"/>
    <col min="12524" max="12524" width="9.1640625" style="861" bestFit="1" customWidth="1"/>
    <col min="12525" max="12525" width="42.5" style="861" customWidth="1"/>
    <col min="12526" max="12526" width="10.33203125" style="861" customWidth="1"/>
    <col min="12527" max="12527" width="9.6640625" style="861" customWidth="1"/>
    <col min="12528" max="12528" width="12.6640625" style="861" customWidth="1"/>
    <col min="12529" max="12530" width="9.6640625" style="861" customWidth="1"/>
    <col min="12531" max="12531" width="9.33203125" style="861"/>
    <col min="12532" max="12532" width="9.83203125" style="861" customWidth="1"/>
    <col min="12533" max="12533" width="12.1640625" style="861" customWidth="1"/>
    <col min="12534" max="12537" width="9.83203125" style="861" customWidth="1"/>
    <col min="12538" max="12538" width="9" style="861" customWidth="1"/>
    <col min="12539" max="12539" width="13.5" style="861" customWidth="1"/>
    <col min="12540" max="12540" width="13.1640625" style="861" customWidth="1"/>
    <col min="12541" max="12541" width="9.33203125" style="861"/>
    <col min="12542" max="12542" width="11.5" style="861" bestFit="1" customWidth="1"/>
    <col min="12543" max="12543" width="38.5" style="861" customWidth="1"/>
    <col min="12544" max="12544" width="10.6640625" style="861" customWidth="1"/>
    <col min="12545" max="12545" width="11.33203125" style="861" customWidth="1"/>
    <col min="12546" max="12550" width="9.33203125" style="861"/>
    <col min="12551" max="12551" width="9.5" style="861" bestFit="1" customWidth="1"/>
    <col min="12552" max="12552" width="18.33203125" style="861" customWidth="1"/>
    <col min="12553" max="12779" width="9.33203125" style="861"/>
    <col min="12780" max="12780" width="9.1640625" style="861" bestFit="1" customWidth="1"/>
    <col min="12781" max="12781" width="42.5" style="861" customWidth="1"/>
    <col min="12782" max="12782" width="10.33203125" style="861" customWidth="1"/>
    <col min="12783" max="12783" width="9.6640625" style="861" customWidth="1"/>
    <col min="12784" max="12784" width="12.6640625" style="861" customWidth="1"/>
    <col min="12785" max="12786" width="9.6640625" style="861" customWidth="1"/>
    <col min="12787" max="12787" width="9.33203125" style="861"/>
    <col min="12788" max="12788" width="9.83203125" style="861" customWidth="1"/>
    <col min="12789" max="12789" width="12.1640625" style="861" customWidth="1"/>
    <col min="12790" max="12793" width="9.83203125" style="861" customWidth="1"/>
    <col min="12794" max="12794" width="9" style="861" customWidth="1"/>
    <col min="12795" max="12795" width="13.5" style="861" customWidth="1"/>
    <col min="12796" max="12796" width="13.1640625" style="861" customWidth="1"/>
    <col min="12797" max="12797" width="9.33203125" style="861"/>
    <col min="12798" max="12798" width="11.5" style="861" bestFit="1" customWidth="1"/>
    <col min="12799" max="12799" width="38.5" style="861" customWidth="1"/>
    <col min="12800" max="12800" width="10.6640625" style="861" customWidth="1"/>
    <col min="12801" max="12801" width="11.33203125" style="861" customWidth="1"/>
    <col min="12802" max="12806" width="9.33203125" style="861"/>
    <col min="12807" max="12807" width="9.5" style="861" bestFit="1" customWidth="1"/>
    <col min="12808" max="12808" width="18.33203125" style="861" customWidth="1"/>
    <col min="12809" max="13035" width="9.33203125" style="861"/>
    <col min="13036" max="13036" width="9.1640625" style="861" bestFit="1" customWidth="1"/>
    <col min="13037" max="13037" width="42.5" style="861" customWidth="1"/>
    <col min="13038" max="13038" width="10.33203125" style="861" customWidth="1"/>
    <col min="13039" max="13039" width="9.6640625" style="861" customWidth="1"/>
    <col min="13040" max="13040" width="12.6640625" style="861" customWidth="1"/>
    <col min="13041" max="13042" width="9.6640625" style="861" customWidth="1"/>
    <col min="13043" max="13043" width="9.33203125" style="861"/>
    <col min="13044" max="13044" width="9.83203125" style="861" customWidth="1"/>
    <col min="13045" max="13045" width="12.1640625" style="861" customWidth="1"/>
    <col min="13046" max="13049" width="9.83203125" style="861" customWidth="1"/>
    <col min="13050" max="13050" width="9" style="861" customWidth="1"/>
    <col min="13051" max="13051" width="13.5" style="861" customWidth="1"/>
    <col min="13052" max="13052" width="13.1640625" style="861" customWidth="1"/>
    <col min="13053" max="13053" width="9.33203125" style="861"/>
    <col min="13054" max="13054" width="11.5" style="861" bestFit="1" customWidth="1"/>
    <col min="13055" max="13055" width="38.5" style="861" customWidth="1"/>
    <col min="13056" max="13056" width="10.6640625" style="861" customWidth="1"/>
    <col min="13057" max="13057" width="11.33203125" style="861" customWidth="1"/>
    <col min="13058" max="13062" width="9.33203125" style="861"/>
    <col min="13063" max="13063" width="9.5" style="861" bestFit="1" customWidth="1"/>
    <col min="13064" max="13064" width="18.33203125" style="861" customWidth="1"/>
    <col min="13065" max="13291" width="9.33203125" style="861"/>
    <col min="13292" max="13292" width="9.1640625" style="861" bestFit="1" customWidth="1"/>
    <col min="13293" max="13293" width="42.5" style="861" customWidth="1"/>
    <col min="13294" max="13294" width="10.33203125" style="861" customWidth="1"/>
    <col min="13295" max="13295" width="9.6640625" style="861" customWidth="1"/>
    <col min="13296" max="13296" width="12.6640625" style="861" customWidth="1"/>
    <col min="13297" max="13298" width="9.6640625" style="861" customWidth="1"/>
    <col min="13299" max="13299" width="9.33203125" style="861"/>
    <col min="13300" max="13300" width="9.83203125" style="861" customWidth="1"/>
    <col min="13301" max="13301" width="12.1640625" style="861" customWidth="1"/>
    <col min="13302" max="13305" width="9.83203125" style="861" customWidth="1"/>
    <col min="13306" max="13306" width="9" style="861" customWidth="1"/>
    <col min="13307" max="13307" width="13.5" style="861" customWidth="1"/>
    <col min="13308" max="13308" width="13.1640625" style="861" customWidth="1"/>
    <col min="13309" max="13309" width="9.33203125" style="861"/>
    <col min="13310" max="13310" width="11.5" style="861" bestFit="1" customWidth="1"/>
    <col min="13311" max="13311" width="38.5" style="861" customWidth="1"/>
    <col min="13312" max="13312" width="10.6640625" style="861" customWidth="1"/>
    <col min="13313" max="13313" width="11.33203125" style="861" customWidth="1"/>
    <col min="13314" max="13318" width="9.33203125" style="861"/>
    <col min="13319" max="13319" width="9.5" style="861" bestFit="1" customWidth="1"/>
    <col min="13320" max="13320" width="18.33203125" style="861" customWidth="1"/>
    <col min="13321" max="13547" width="9.33203125" style="861"/>
    <col min="13548" max="13548" width="9.1640625" style="861" bestFit="1" customWidth="1"/>
    <col min="13549" max="13549" width="42.5" style="861" customWidth="1"/>
    <col min="13550" max="13550" width="10.33203125" style="861" customWidth="1"/>
    <col min="13551" max="13551" width="9.6640625" style="861" customWidth="1"/>
    <col min="13552" max="13552" width="12.6640625" style="861" customWidth="1"/>
    <col min="13553" max="13554" width="9.6640625" style="861" customWidth="1"/>
    <col min="13555" max="13555" width="9.33203125" style="861"/>
    <col min="13556" max="13556" width="9.83203125" style="861" customWidth="1"/>
    <col min="13557" max="13557" width="12.1640625" style="861" customWidth="1"/>
    <col min="13558" max="13561" width="9.83203125" style="861" customWidth="1"/>
    <col min="13562" max="13562" width="9" style="861" customWidth="1"/>
    <col min="13563" max="13563" width="13.5" style="861" customWidth="1"/>
    <col min="13564" max="13564" width="13.1640625" style="861" customWidth="1"/>
    <col min="13565" max="13565" width="9.33203125" style="861"/>
    <col min="13566" max="13566" width="11.5" style="861" bestFit="1" customWidth="1"/>
    <col min="13567" max="13567" width="38.5" style="861" customWidth="1"/>
    <col min="13568" max="13568" width="10.6640625" style="861" customWidth="1"/>
    <col min="13569" max="13569" width="11.33203125" style="861" customWidth="1"/>
    <col min="13570" max="13574" width="9.33203125" style="861"/>
    <col min="13575" max="13575" width="9.5" style="861" bestFit="1" customWidth="1"/>
    <col min="13576" max="13576" width="18.33203125" style="861" customWidth="1"/>
    <col min="13577" max="13803" width="9.33203125" style="861"/>
    <col min="13804" max="13804" width="9.1640625" style="861" bestFit="1" customWidth="1"/>
    <col min="13805" max="13805" width="42.5" style="861" customWidth="1"/>
    <col min="13806" max="13806" width="10.33203125" style="861" customWidth="1"/>
    <col min="13807" max="13807" width="9.6640625" style="861" customWidth="1"/>
    <col min="13808" max="13808" width="12.6640625" style="861" customWidth="1"/>
    <col min="13809" max="13810" width="9.6640625" style="861" customWidth="1"/>
    <col min="13811" max="13811" width="9.33203125" style="861"/>
    <col min="13812" max="13812" width="9.83203125" style="861" customWidth="1"/>
    <col min="13813" max="13813" width="12.1640625" style="861" customWidth="1"/>
    <col min="13814" max="13817" width="9.83203125" style="861" customWidth="1"/>
    <col min="13818" max="13818" width="9" style="861" customWidth="1"/>
    <col min="13819" max="13819" width="13.5" style="861" customWidth="1"/>
    <col min="13820" max="13820" width="13.1640625" style="861" customWidth="1"/>
    <col min="13821" max="13821" width="9.33203125" style="861"/>
    <col min="13822" max="13822" width="11.5" style="861" bestFit="1" customWidth="1"/>
    <col min="13823" max="13823" width="38.5" style="861" customWidth="1"/>
    <col min="13824" max="13824" width="10.6640625" style="861" customWidth="1"/>
    <col min="13825" max="13825" width="11.33203125" style="861" customWidth="1"/>
    <col min="13826" max="13830" width="9.33203125" style="861"/>
    <col min="13831" max="13831" width="9.5" style="861" bestFit="1" customWidth="1"/>
    <col min="13832" max="13832" width="18.33203125" style="861" customWidth="1"/>
    <col min="13833" max="14059" width="9.33203125" style="861"/>
    <col min="14060" max="14060" width="9.1640625" style="861" bestFit="1" customWidth="1"/>
    <col min="14061" max="14061" width="42.5" style="861" customWidth="1"/>
    <col min="14062" max="14062" width="10.33203125" style="861" customWidth="1"/>
    <col min="14063" max="14063" width="9.6640625" style="861" customWidth="1"/>
    <col min="14064" max="14064" width="12.6640625" style="861" customWidth="1"/>
    <col min="14065" max="14066" width="9.6640625" style="861" customWidth="1"/>
    <col min="14067" max="14067" width="9.33203125" style="861"/>
    <col min="14068" max="14068" width="9.83203125" style="861" customWidth="1"/>
    <col min="14069" max="14069" width="12.1640625" style="861" customWidth="1"/>
    <col min="14070" max="14073" width="9.83203125" style="861" customWidth="1"/>
    <col min="14074" max="14074" width="9" style="861" customWidth="1"/>
    <col min="14075" max="14075" width="13.5" style="861" customWidth="1"/>
    <col min="14076" max="14076" width="13.1640625" style="861" customWidth="1"/>
    <col min="14077" max="14077" width="9.33203125" style="861"/>
    <col min="14078" max="14078" width="11.5" style="861" bestFit="1" customWidth="1"/>
    <col min="14079" max="14079" width="38.5" style="861" customWidth="1"/>
    <col min="14080" max="14080" width="10.6640625" style="861" customWidth="1"/>
    <col min="14081" max="14081" width="11.33203125" style="861" customWidth="1"/>
    <col min="14082" max="14086" width="9.33203125" style="861"/>
    <col min="14087" max="14087" width="9.5" style="861" bestFit="1" customWidth="1"/>
    <col min="14088" max="14088" width="18.33203125" style="861" customWidth="1"/>
    <col min="14089" max="14315" width="9.33203125" style="861"/>
    <col min="14316" max="14316" width="9.1640625" style="861" bestFit="1" customWidth="1"/>
    <col min="14317" max="14317" width="42.5" style="861" customWidth="1"/>
    <col min="14318" max="14318" width="10.33203125" style="861" customWidth="1"/>
    <col min="14319" max="14319" width="9.6640625" style="861" customWidth="1"/>
    <col min="14320" max="14320" width="12.6640625" style="861" customWidth="1"/>
    <col min="14321" max="14322" width="9.6640625" style="861" customWidth="1"/>
    <col min="14323" max="14323" width="9.33203125" style="861"/>
    <col min="14324" max="14324" width="9.83203125" style="861" customWidth="1"/>
    <col min="14325" max="14325" width="12.1640625" style="861" customWidth="1"/>
    <col min="14326" max="14329" width="9.83203125" style="861" customWidth="1"/>
    <col min="14330" max="14330" width="9" style="861" customWidth="1"/>
    <col min="14331" max="14331" width="13.5" style="861" customWidth="1"/>
    <col min="14332" max="14332" width="13.1640625" style="861" customWidth="1"/>
    <col min="14333" max="14333" width="9.33203125" style="861"/>
    <col min="14334" max="14334" width="11.5" style="861" bestFit="1" customWidth="1"/>
    <col min="14335" max="14335" width="38.5" style="861" customWidth="1"/>
    <col min="14336" max="14336" width="10.6640625" style="861" customWidth="1"/>
    <col min="14337" max="14337" width="11.33203125" style="861" customWidth="1"/>
    <col min="14338" max="14342" width="9.33203125" style="861"/>
    <col min="14343" max="14343" width="9.5" style="861" bestFit="1" customWidth="1"/>
    <col min="14344" max="14344" width="18.33203125" style="861" customWidth="1"/>
    <col min="14345" max="14571" width="9.33203125" style="861"/>
    <col min="14572" max="14572" width="9.1640625" style="861" bestFit="1" customWidth="1"/>
    <col min="14573" max="14573" width="42.5" style="861" customWidth="1"/>
    <col min="14574" max="14574" width="10.33203125" style="861" customWidth="1"/>
    <col min="14575" max="14575" width="9.6640625" style="861" customWidth="1"/>
    <col min="14576" max="14576" width="12.6640625" style="861" customWidth="1"/>
    <col min="14577" max="14578" width="9.6640625" style="861" customWidth="1"/>
    <col min="14579" max="14579" width="9.33203125" style="861"/>
    <col min="14580" max="14580" width="9.83203125" style="861" customWidth="1"/>
    <col min="14581" max="14581" width="12.1640625" style="861" customWidth="1"/>
    <col min="14582" max="14585" width="9.83203125" style="861" customWidth="1"/>
    <col min="14586" max="14586" width="9" style="861" customWidth="1"/>
    <col min="14587" max="14587" width="13.5" style="861" customWidth="1"/>
    <col min="14588" max="14588" width="13.1640625" style="861" customWidth="1"/>
    <col min="14589" max="14589" width="9.33203125" style="861"/>
    <col min="14590" max="14590" width="11.5" style="861" bestFit="1" customWidth="1"/>
    <col min="14591" max="14591" width="38.5" style="861" customWidth="1"/>
    <col min="14592" max="14592" width="10.6640625" style="861" customWidth="1"/>
    <col min="14593" max="14593" width="11.33203125" style="861" customWidth="1"/>
    <col min="14594" max="14598" width="9.33203125" style="861"/>
    <col min="14599" max="14599" width="9.5" style="861" bestFit="1" customWidth="1"/>
    <col min="14600" max="14600" width="18.33203125" style="861" customWidth="1"/>
    <col min="14601" max="14827" width="9.33203125" style="861"/>
    <col min="14828" max="14828" width="9.1640625" style="861" bestFit="1" customWidth="1"/>
    <col min="14829" max="14829" width="42.5" style="861" customWidth="1"/>
    <col min="14830" max="14830" width="10.33203125" style="861" customWidth="1"/>
    <col min="14831" max="14831" width="9.6640625" style="861" customWidth="1"/>
    <col min="14832" max="14832" width="12.6640625" style="861" customWidth="1"/>
    <col min="14833" max="14834" width="9.6640625" style="861" customWidth="1"/>
    <col min="14835" max="14835" width="9.33203125" style="861"/>
    <col min="14836" max="14836" width="9.83203125" style="861" customWidth="1"/>
    <col min="14837" max="14837" width="12.1640625" style="861" customWidth="1"/>
    <col min="14838" max="14841" width="9.83203125" style="861" customWidth="1"/>
    <col min="14842" max="14842" width="9" style="861" customWidth="1"/>
    <col min="14843" max="14843" width="13.5" style="861" customWidth="1"/>
    <col min="14844" max="14844" width="13.1640625" style="861" customWidth="1"/>
    <col min="14845" max="14845" width="9.33203125" style="861"/>
    <col min="14846" max="14846" width="11.5" style="861" bestFit="1" customWidth="1"/>
    <col min="14847" max="14847" width="38.5" style="861" customWidth="1"/>
    <col min="14848" max="14848" width="10.6640625" style="861" customWidth="1"/>
    <col min="14849" max="14849" width="11.33203125" style="861" customWidth="1"/>
    <col min="14850" max="14854" width="9.33203125" style="861"/>
    <col min="14855" max="14855" width="9.5" style="861" bestFit="1" customWidth="1"/>
    <col min="14856" max="14856" width="18.33203125" style="861" customWidth="1"/>
    <col min="14857" max="15083" width="9.33203125" style="861"/>
    <col min="15084" max="15084" width="9.1640625" style="861" bestFit="1" customWidth="1"/>
    <col min="15085" max="15085" width="42.5" style="861" customWidth="1"/>
    <col min="15086" max="15086" width="10.33203125" style="861" customWidth="1"/>
    <col min="15087" max="15087" width="9.6640625" style="861" customWidth="1"/>
    <col min="15088" max="15088" width="12.6640625" style="861" customWidth="1"/>
    <col min="15089" max="15090" width="9.6640625" style="861" customWidth="1"/>
    <col min="15091" max="15091" width="9.33203125" style="861"/>
    <col min="15092" max="15092" width="9.83203125" style="861" customWidth="1"/>
    <col min="15093" max="15093" width="12.1640625" style="861" customWidth="1"/>
    <col min="15094" max="15097" width="9.83203125" style="861" customWidth="1"/>
    <col min="15098" max="15098" width="9" style="861" customWidth="1"/>
    <col min="15099" max="15099" width="13.5" style="861" customWidth="1"/>
    <col min="15100" max="15100" width="13.1640625" style="861" customWidth="1"/>
    <col min="15101" max="15101" width="9.33203125" style="861"/>
    <col min="15102" max="15102" width="11.5" style="861" bestFit="1" customWidth="1"/>
    <col min="15103" max="15103" width="38.5" style="861" customWidth="1"/>
    <col min="15104" max="15104" width="10.6640625" style="861" customWidth="1"/>
    <col min="15105" max="15105" width="11.33203125" style="861" customWidth="1"/>
    <col min="15106" max="15110" width="9.33203125" style="861"/>
    <col min="15111" max="15111" width="9.5" style="861" bestFit="1" customWidth="1"/>
    <col min="15112" max="15112" width="18.33203125" style="861" customWidth="1"/>
    <col min="15113" max="15339" width="9.33203125" style="861"/>
    <col min="15340" max="15340" width="9.1640625" style="861" bestFit="1" customWidth="1"/>
    <col min="15341" max="15341" width="42.5" style="861" customWidth="1"/>
    <col min="15342" max="15342" width="10.33203125" style="861" customWidth="1"/>
    <col min="15343" max="15343" width="9.6640625" style="861" customWidth="1"/>
    <col min="15344" max="15344" width="12.6640625" style="861" customWidth="1"/>
    <col min="15345" max="15346" width="9.6640625" style="861" customWidth="1"/>
    <col min="15347" max="15347" width="9.33203125" style="861"/>
    <col min="15348" max="15348" width="9.83203125" style="861" customWidth="1"/>
    <col min="15349" max="15349" width="12.1640625" style="861" customWidth="1"/>
    <col min="15350" max="15353" width="9.83203125" style="861" customWidth="1"/>
    <col min="15354" max="15354" width="9" style="861" customWidth="1"/>
    <col min="15355" max="15355" width="13.5" style="861" customWidth="1"/>
    <col min="15356" max="15356" width="13.1640625" style="861" customWidth="1"/>
    <col min="15357" max="15357" width="9.33203125" style="861"/>
    <col min="15358" max="15358" width="11.5" style="861" bestFit="1" customWidth="1"/>
    <col min="15359" max="15359" width="38.5" style="861" customWidth="1"/>
    <col min="15360" max="15360" width="10.6640625" style="861" customWidth="1"/>
    <col min="15361" max="15361" width="11.33203125" style="861" customWidth="1"/>
    <col min="15362" max="15366" width="9.33203125" style="861"/>
    <col min="15367" max="15367" width="9.5" style="861" bestFit="1" customWidth="1"/>
    <col min="15368" max="15368" width="18.33203125" style="861" customWidth="1"/>
    <col min="15369" max="15595" width="9.33203125" style="861"/>
    <col min="15596" max="15596" width="9.1640625" style="861" bestFit="1" customWidth="1"/>
    <col min="15597" max="15597" width="42.5" style="861" customWidth="1"/>
    <col min="15598" max="15598" width="10.33203125" style="861" customWidth="1"/>
    <col min="15599" max="15599" width="9.6640625" style="861" customWidth="1"/>
    <col min="15600" max="15600" width="12.6640625" style="861" customWidth="1"/>
    <col min="15601" max="15602" width="9.6640625" style="861" customWidth="1"/>
    <col min="15603" max="15603" width="9.33203125" style="861"/>
    <col min="15604" max="15604" width="9.83203125" style="861" customWidth="1"/>
    <col min="15605" max="15605" width="12.1640625" style="861" customWidth="1"/>
    <col min="15606" max="15609" width="9.83203125" style="861" customWidth="1"/>
    <col min="15610" max="15610" width="9" style="861" customWidth="1"/>
    <col min="15611" max="15611" width="13.5" style="861" customWidth="1"/>
    <col min="15612" max="15612" width="13.1640625" style="861" customWidth="1"/>
    <col min="15613" max="15613" width="9.33203125" style="861"/>
    <col min="15614" max="15614" width="11.5" style="861" bestFit="1" customWidth="1"/>
    <col min="15615" max="15615" width="38.5" style="861" customWidth="1"/>
    <col min="15616" max="15616" width="10.6640625" style="861" customWidth="1"/>
    <col min="15617" max="15617" width="11.33203125" style="861" customWidth="1"/>
    <col min="15618" max="15622" width="9.33203125" style="861"/>
    <col min="15623" max="15623" width="9.5" style="861" bestFit="1" customWidth="1"/>
    <col min="15624" max="15624" width="18.33203125" style="861" customWidth="1"/>
    <col min="15625" max="15851" width="9.33203125" style="861"/>
    <col min="15852" max="15852" width="9.1640625" style="861" bestFit="1" customWidth="1"/>
    <col min="15853" max="15853" width="42.5" style="861" customWidth="1"/>
    <col min="15854" max="15854" width="10.33203125" style="861" customWidth="1"/>
    <col min="15855" max="15855" width="9.6640625" style="861" customWidth="1"/>
    <col min="15856" max="15856" width="12.6640625" style="861" customWidth="1"/>
    <col min="15857" max="15858" width="9.6640625" style="861" customWidth="1"/>
    <col min="15859" max="15859" width="9.33203125" style="861"/>
    <col min="15860" max="15860" width="9.83203125" style="861" customWidth="1"/>
    <col min="15861" max="15861" width="12.1640625" style="861" customWidth="1"/>
    <col min="15862" max="15865" width="9.83203125" style="861" customWidth="1"/>
    <col min="15866" max="15866" width="9" style="861" customWidth="1"/>
    <col min="15867" max="15867" width="13.5" style="861" customWidth="1"/>
    <col min="15868" max="15868" width="13.1640625" style="861" customWidth="1"/>
    <col min="15869" max="15869" width="9.33203125" style="861"/>
    <col min="15870" max="15870" width="11.5" style="861" bestFit="1" customWidth="1"/>
    <col min="15871" max="15871" width="38.5" style="861" customWidth="1"/>
    <col min="15872" max="15872" width="10.6640625" style="861" customWidth="1"/>
    <col min="15873" max="15873" width="11.33203125" style="861" customWidth="1"/>
    <col min="15874" max="15878" width="9.33203125" style="861"/>
    <col min="15879" max="15879" width="9.5" style="861" bestFit="1" customWidth="1"/>
    <col min="15880" max="15880" width="18.33203125" style="861" customWidth="1"/>
    <col min="15881" max="16107" width="9.33203125" style="861"/>
    <col min="16108" max="16108" width="9.1640625" style="861" bestFit="1" customWidth="1"/>
    <col min="16109" max="16109" width="42.5" style="861" customWidth="1"/>
    <col min="16110" max="16110" width="10.33203125" style="861" customWidth="1"/>
    <col min="16111" max="16111" width="9.6640625" style="861" customWidth="1"/>
    <col min="16112" max="16112" width="12.6640625" style="861" customWidth="1"/>
    <col min="16113" max="16114" width="9.6640625" style="861" customWidth="1"/>
    <col min="16115" max="16115" width="9.33203125" style="861"/>
    <col min="16116" max="16116" width="9.83203125" style="861" customWidth="1"/>
    <col min="16117" max="16117" width="12.1640625" style="861" customWidth="1"/>
    <col min="16118" max="16121" width="9.83203125" style="861" customWidth="1"/>
    <col min="16122" max="16122" width="9" style="861" customWidth="1"/>
    <col min="16123" max="16123" width="13.5" style="861" customWidth="1"/>
    <col min="16124" max="16124" width="13.1640625" style="861" customWidth="1"/>
    <col min="16125" max="16125" width="9.33203125" style="861"/>
    <col min="16126" max="16126" width="11.5" style="861" bestFit="1" customWidth="1"/>
    <col min="16127" max="16127" width="38.5" style="861" customWidth="1"/>
    <col min="16128" max="16128" width="10.6640625" style="861" customWidth="1"/>
    <col min="16129" max="16129" width="11.33203125" style="861" customWidth="1"/>
    <col min="16130" max="16134" width="9.33203125" style="861"/>
    <col min="16135" max="16135" width="9.5" style="861" bestFit="1" customWidth="1"/>
    <col min="16136" max="16136" width="18.33203125" style="861" customWidth="1"/>
    <col min="16137" max="16384" width="9.33203125" style="861"/>
  </cols>
  <sheetData>
    <row r="1" spans="1:9" ht="16.5" x14ac:dyDescent="0.25">
      <c r="A1" s="858"/>
      <c r="F1" s="2801"/>
      <c r="G1" s="2801"/>
      <c r="H1" s="2801"/>
    </row>
    <row r="2" spans="1:9" ht="38.25" customHeight="1" x14ac:dyDescent="0.2">
      <c r="A2" s="2802" t="s">
        <v>218</v>
      </c>
      <c r="B2" s="2802"/>
      <c r="C2" s="2802"/>
      <c r="D2" s="2802"/>
      <c r="E2" s="2802"/>
      <c r="F2" s="2802"/>
      <c r="G2" s="2802"/>
      <c r="H2" s="2802"/>
    </row>
    <row r="3" spans="1:9" ht="26.25" customHeight="1" x14ac:dyDescent="0.2">
      <c r="A3" s="2803" t="s">
        <v>1253</v>
      </c>
      <c r="B3" s="2803"/>
      <c r="C3" s="2803"/>
      <c r="D3" s="2803"/>
      <c r="E3" s="2803"/>
      <c r="F3" s="2803"/>
      <c r="G3" s="2803"/>
      <c r="H3" s="2803"/>
    </row>
    <row r="4" spans="1:9" ht="26.25" customHeight="1" x14ac:dyDescent="0.2">
      <c r="A4" s="2804" t="s">
        <v>1302</v>
      </c>
      <c r="B4" s="2804"/>
      <c r="C4" s="2804"/>
      <c r="D4" s="2804"/>
      <c r="E4" s="2804"/>
      <c r="F4" s="2804"/>
      <c r="G4" s="2804"/>
      <c r="H4" s="2804"/>
      <c r="I4" s="863" t="s">
        <v>1688</v>
      </c>
    </row>
    <row r="5" spans="1:9" s="867" customFormat="1" ht="36.75" customHeight="1" x14ac:dyDescent="0.2">
      <c r="A5" s="2805" t="s">
        <v>219</v>
      </c>
      <c r="B5" s="2806" t="s">
        <v>220</v>
      </c>
      <c r="C5" s="2807" t="s">
        <v>221</v>
      </c>
      <c r="D5" s="864" t="s">
        <v>222</v>
      </c>
      <c r="E5" s="865" t="s">
        <v>223</v>
      </c>
      <c r="F5" s="866" t="s">
        <v>224</v>
      </c>
      <c r="G5" s="2810" t="s">
        <v>225</v>
      </c>
      <c r="H5" s="2810" t="s">
        <v>226</v>
      </c>
      <c r="I5" s="2797" t="s">
        <v>227</v>
      </c>
    </row>
    <row r="6" spans="1:9" s="867" customFormat="1" ht="13.5" customHeight="1" x14ac:dyDescent="0.2">
      <c r="A6" s="2805"/>
      <c r="B6" s="2806"/>
      <c r="C6" s="2808"/>
      <c r="D6" s="2797" t="s">
        <v>228</v>
      </c>
      <c r="E6" s="2797" t="s">
        <v>228</v>
      </c>
      <c r="F6" s="2800" t="s">
        <v>228</v>
      </c>
      <c r="G6" s="2810"/>
      <c r="H6" s="2810"/>
      <c r="I6" s="2798"/>
    </row>
    <row r="7" spans="1:9" s="867" customFormat="1" ht="23.25" customHeight="1" x14ac:dyDescent="0.2">
      <c r="A7" s="2805"/>
      <c r="B7" s="2806"/>
      <c r="C7" s="2808"/>
      <c r="D7" s="2798"/>
      <c r="E7" s="2798"/>
      <c r="F7" s="2800"/>
      <c r="G7" s="2810"/>
      <c r="H7" s="2810"/>
      <c r="I7" s="2798"/>
    </row>
    <row r="8" spans="1:9" s="867" customFormat="1" ht="13.5" customHeight="1" x14ac:dyDescent="0.2">
      <c r="A8" s="2805"/>
      <c r="B8" s="2806"/>
      <c r="C8" s="2809"/>
      <c r="D8" s="2799"/>
      <c r="E8" s="2799"/>
      <c r="F8" s="2800"/>
      <c r="G8" s="2810"/>
      <c r="H8" s="2810"/>
      <c r="I8" s="2799"/>
    </row>
    <row r="9" spans="1:9" s="873" customFormat="1" ht="26.25" customHeight="1" x14ac:dyDescent="0.2">
      <c r="A9" s="868" t="s">
        <v>589</v>
      </c>
      <c r="B9" s="869" t="s">
        <v>590</v>
      </c>
      <c r="C9" s="870"/>
      <c r="D9" s="871"/>
      <c r="E9" s="872"/>
      <c r="F9" s="872"/>
      <c r="G9" s="872"/>
      <c r="H9" s="872"/>
      <c r="I9" s="871"/>
    </row>
    <row r="10" spans="1:9" ht="13.5" customHeight="1" x14ac:dyDescent="0.2">
      <c r="A10" s="874" t="s">
        <v>591</v>
      </c>
      <c r="B10" s="875" t="s">
        <v>592</v>
      </c>
      <c r="C10" s="876" t="s">
        <v>593</v>
      </c>
      <c r="D10" s="877"/>
      <c r="E10" s="878"/>
      <c r="F10" s="878"/>
      <c r="G10" s="878"/>
      <c r="H10" s="878"/>
      <c r="I10" s="877"/>
    </row>
    <row r="11" spans="1:9" ht="13.5" customHeight="1" x14ac:dyDescent="0.2">
      <c r="A11" s="874" t="s">
        <v>594</v>
      </c>
      <c r="B11" s="875" t="s">
        <v>595</v>
      </c>
      <c r="C11" s="876" t="s">
        <v>593</v>
      </c>
      <c r="D11" s="877"/>
      <c r="E11" s="878"/>
      <c r="F11" s="878"/>
      <c r="G11" s="878"/>
      <c r="H11" s="878"/>
      <c r="I11" s="877"/>
    </row>
    <row r="12" spans="1:9" ht="13.5" customHeight="1" x14ac:dyDescent="0.2">
      <c r="A12" s="874" t="s">
        <v>596</v>
      </c>
      <c r="B12" s="875" t="s">
        <v>597</v>
      </c>
      <c r="C12" s="876" t="s">
        <v>593</v>
      </c>
      <c r="D12" s="877"/>
      <c r="E12" s="878"/>
      <c r="F12" s="878"/>
      <c r="G12" s="878"/>
      <c r="H12" s="878"/>
      <c r="I12" s="877"/>
    </row>
    <row r="13" spans="1:9" ht="21.75" customHeight="1" x14ac:dyDescent="0.2">
      <c r="A13" s="874" t="s">
        <v>598</v>
      </c>
      <c r="B13" s="875" t="s">
        <v>599</v>
      </c>
      <c r="C13" s="876" t="s">
        <v>600</v>
      </c>
      <c r="D13" s="877"/>
      <c r="E13" s="878"/>
      <c r="F13" s="878"/>
      <c r="G13" s="878"/>
      <c r="H13" s="878"/>
      <c r="I13" s="877"/>
    </row>
    <row r="14" spans="1:9" ht="22.5" customHeight="1" x14ac:dyDescent="0.2">
      <c r="A14" s="874" t="s">
        <v>601</v>
      </c>
      <c r="B14" s="875" t="s">
        <v>602</v>
      </c>
      <c r="C14" s="876" t="s">
        <v>593</v>
      </c>
      <c r="D14" s="877"/>
      <c r="E14" s="878"/>
      <c r="F14" s="878"/>
      <c r="G14" s="878"/>
      <c r="H14" s="878"/>
      <c r="I14" s="877"/>
    </row>
    <row r="15" spans="1:9" s="873" customFormat="1" ht="38.85" customHeight="1" x14ac:dyDescent="0.2">
      <c r="A15" s="868" t="s">
        <v>603</v>
      </c>
      <c r="B15" s="869" t="s">
        <v>604</v>
      </c>
      <c r="C15" s="870"/>
      <c r="D15" s="871"/>
      <c r="E15" s="872"/>
      <c r="F15" s="878"/>
      <c r="G15" s="872"/>
      <c r="H15" s="872"/>
      <c r="I15" s="871"/>
    </row>
    <row r="16" spans="1:9" ht="21.75" customHeight="1" x14ac:dyDescent="0.2">
      <c r="A16" s="874" t="s">
        <v>605</v>
      </c>
      <c r="B16" s="875" t="s">
        <v>606</v>
      </c>
      <c r="C16" s="876" t="s">
        <v>593</v>
      </c>
      <c r="D16" s="878">
        <v>6</v>
      </c>
      <c r="E16" s="878">
        <v>600</v>
      </c>
      <c r="F16" s="878">
        <v>3.6</v>
      </c>
      <c r="G16" s="878">
        <v>3.6</v>
      </c>
      <c r="H16" s="878">
        <v>3.6</v>
      </c>
      <c r="I16" s="877"/>
    </row>
    <row r="17" spans="1:9" ht="14.25" customHeight="1" x14ac:dyDescent="0.2">
      <c r="A17" s="874" t="s">
        <v>607</v>
      </c>
      <c r="B17" s="875" t="s">
        <v>608</v>
      </c>
      <c r="C17" s="876" t="s">
        <v>593</v>
      </c>
      <c r="D17" s="878"/>
      <c r="E17" s="878"/>
      <c r="F17" s="878"/>
      <c r="G17" s="878"/>
      <c r="H17" s="878"/>
      <c r="I17" s="877"/>
    </row>
    <row r="18" spans="1:9" ht="12.75" customHeight="1" x14ac:dyDescent="0.2">
      <c r="A18" s="874" t="s">
        <v>607</v>
      </c>
      <c r="B18" s="875" t="s">
        <v>609</v>
      </c>
      <c r="C18" s="876" t="s">
        <v>593</v>
      </c>
      <c r="D18" s="878"/>
      <c r="E18" s="878"/>
      <c r="F18" s="878"/>
      <c r="G18" s="878"/>
      <c r="H18" s="878"/>
      <c r="I18" s="877"/>
    </row>
    <row r="19" spans="1:9" ht="22.5" customHeight="1" x14ac:dyDescent="0.2">
      <c r="A19" s="874" t="s">
        <v>610</v>
      </c>
      <c r="B19" s="875" t="s">
        <v>611</v>
      </c>
      <c r="C19" s="876" t="s">
        <v>593</v>
      </c>
      <c r="D19" s="877"/>
      <c r="E19" s="878"/>
      <c r="F19" s="878"/>
      <c r="G19" s="878"/>
      <c r="H19" s="878"/>
      <c r="I19" s="877"/>
    </row>
    <row r="20" spans="1:9" ht="22.5" customHeight="1" x14ac:dyDescent="0.2">
      <c r="A20" s="874" t="s">
        <v>612</v>
      </c>
      <c r="B20" s="875" t="s">
        <v>613</v>
      </c>
      <c r="C20" s="876"/>
      <c r="D20" s="877"/>
      <c r="E20" s="878"/>
      <c r="F20" s="878"/>
      <c r="G20" s="878"/>
      <c r="H20" s="878"/>
      <c r="I20" s="877"/>
    </row>
    <row r="21" spans="1:9" x14ac:dyDescent="0.2">
      <c r="A21" s="879" t="s">
        <v>614</v>
      </c>
      <c r="B21" s="880" t="s">
        <v>615</v>
      </c>
      <c r="C21" s="881" t="s">
        <v>593</v>
      </c>
      <c r="D21" s="882"/>
      <c r="E21" s="883"/>
      <c r="F21" s="878"/>
      <c r="G21" s="883"/>
      <c r="H21" s="883"/>
      <c r="I21" s="877"/>
    </row>
    <row r="22" spans="1:9" x14ac:dyDescent="0.2">
      <c r="A22" s="879" t="s">
        <v>616</v>
      </c>
      <c r="B22" s="880" t="s">
        <v>617</v>
      </c>
      <c r="C22" s="881" t="s">
        <v>593</v>
      </c>
      <c r="D22" s="882"/>
      <c r="E22" s="883"/>
      <c r="F22" s="878"/>
      <c r="G22" s="883"/>
      <c r="H22" s="883"/>
      <c r="I22" s="877"/>
    </row>
    <row r="23" spans="1:9" ht="36.75" customHeight="1" x14ac:dyDescent="0.2">
      <c r="A23" s="874" t="s">
        <v>618</v>
      </c>
      <c r="B23" s="875" t="s">
        <v>619</v>
      </c>
      <c r="C23" s="876" t="s">
        <v>593</v>
      </c>
      <c r="D23" s="877"/>
      <c r="E23" s="878"/>
      <c r="F23" s="878"/>
      <c r="G23" s="878"/>
      <c r="H23" s="878"/>
      <c r="I23" s="877"/>
    </row>
    <row r="24" spans="1:9" ht="36.75" customHeight="1" x14ac:dyDescent="0.2">
      <c r="A24" s="874" t="s">
        <v>620</v>
      </c>
      <c r="B24" s="875" t="s">
        <v>621</v>
      </c>
      <c r="C24" s="876" t="s">
        <v>593</v>
      </c>
      <c r="D24" s="877"/>
      <c r="E24" s="878"/>
      <c r="F24" s="878"/>
      <c r="G24" s="878"/>
      <c r="H24" s="878"/>
      <c r="I24" s="877"/>
    </row>
    <row r="25" spans="1:9" ht="13.5" customHeight="1" x14ac:dyDescent="0.2">
      <c r="A25" s="874" t="s">
        <v>622</v>
      </c>
      <c r="B25" s="875" t="s">
        <v>623</v>
      </c>
      <c r="C25" s="876" t="s">
        <v>593</v>
      </c>
      <c r="D25" s="877"/>
      <c r="E25" s="878"/>
      <c r="F25" s="878"/>
      <c r="G25" s="878"/>
      <c r="H25" s="878"/>
      <c r="I25" s="877"/>
    </row>
    <row r="26" spans="1:9" s="873" customFormat="1" ht="30" customHeight="1" x14ac:dyDescent="0.2">
      <c r="A26" s="868" t="s">
        <v>624</v>
      </c>
      <c r="B26" s="869" t="s">
        <v>625</v>
      </c>
      <c r="C26" s="870"/>
      <c r="D26" s="871"/>
      <c r="E26" s="872"/>
      <c r="F26" s="878"/>
      <c r="G26" s="872"/>
      <c r="H26" s="872"/>
      <c r="I26" s="871"/>
    </row>
    <row r="27" spans="1:9" x14ac:dyDescent="0.2">
      <c r="A27" s="874" t="s">
        <v>626</v>
      </c>
      <c r="B27" s="884" t="s">
        <v>627</v>
      </c>
      <c r="C27" s="876"/>
      <c r="D27" s="877"/>
      <c r="E27" s="878"/>
      <c r="F27" s="878"/>
      <c r="G27" s="878"/>
      <c r="H27" s="878"/>
      <c r="I27" s="877"/>
    </row>
    <row r="28" spans="1:9" ht="45" x14ac:dyDescent="0.2">
      <c r="A28" s="874" t="s">
        <v>628</v>
      </c>
      <c r="B28" s="875" t="s">
        <v>1303</v>
      </c>
      <c r="C28" s="876" t="s">
        <v>593</v>
      </c>
      <c r="D28" s="877"/>
      <c r="E28" s="878"/>
      <c r="F28" s="878"/>
      <c r="G28" s="878"/>
      <c r="H28" s="878"/>
      <c r="I28" s="877"/>
    </row>
    <row r="29" spans="1:9" ht="23.25" customHeight="1" x14ac:dyDescent="0.2">
      <c r="A29" s="874" t="s">
        <v>629</v>
      </c>
      <c r="B29" s="875" t="s">
        <v>630</v>
      </c>
      <c r="C29" s="876" t="s">
        <v>593</v>
      </c>
      <c r="D29" s="877"/>
      <c r="E29" s="878"/>
      <c r="F29" s="878"/>
      <c r="G29" s="878"/>
      <c r="H29" s="878"/>
      <c r="I29" s="877"/>
    </row>
    <row r="30" spans="1:9" ht="33.75" x14ac:dyDescent="0.2">
      <c r="A30" s="874" t="s">
        <v>631</v>
      </c>
      <c r="B30" s="885" t="s">
        <v>632</v>
      </c>
      <c r="C30" s="876" t="s">
        <v>593</v>
      </c>
      <c r="D30" s="877"/>
      <c r="E30" s="878"/>
      <c r="F30" s="878"/>
      <c r="G30" s="878"/>
      <c r="H30" s="878"/>
      <c r="I30" s="877"/>
    </row>
    <row r="31" spans="1:9" ht="28.5" customHeight="1" x14ac:dyDescent="0.2">
      <c r="A31" s="874" t="s">
        <v>633</v>
      </c>
      <c r="B31" s="886" t="s">
        <v>634</v>
      </c>
      <c r="C31" s="876"/>
      <c r="D31" s="877"/>
      <c r="E31" s="878"/>
      <c r="F31" s="878"/>
      <c r="G31" s="878"/>
      <c r="H31" s="878"/>
      <c r="I31" s="877"/>
    </row>
    <row r="32" spans="1:9" ht="21.75" customHeight="1" x14ac:dyDescent="0.2">
      <c r="A32" s="874" t="s">
        <v>635</v>
      </c>
      <c r="B32" s="875" t="s">
        <v>636</v>
      </c>
      <c r="C32" s="876"/>
      <c r="D32" s="877"/>
      <c r="E32" s="878"/>
      <c r="F32" s="878"/>
      <c r="G32" s="878"/>
      <c r="H32" s="878"/>
      <c r="I32" s="877"/>
    </row>
    <row r="33" spans="1:9" x14ac:dyDescent="0.2">
      <c r="A33" s="874" t="s">
        <v>637</v>
      </c>
      <c r="B33" s="875" t="s">
        <v>638</v>
      </c>
      <c r="C33" s="876" t="s">
        <v>593</v>
      </c>
      <c r="D33" s="877"/>
      <c r="E33" s="878"/>
      <c r="F33" s="878"/>
      <c r="G33" s="878"/>
      <c r="H33" s="878"/>
      <c r="I33" s="877"/>
    </row>
    <row r="34" spans="1:9" x14ac:dyDescent="0.2">
      <c r="A34" s="874" t="s">
        <v>639</v>
      </c>
      <c r="B34" s="875" t="s">
        <v>640</v>
      </c>
      <c r="C34" s="876" t="s">
        <v>593</v>
      </c>
      <c r="D34" s="877"/>
      <c r="E34" s="878"/>
      <c r="F34" s="878"/>
      <c r="G34" s="878"/>
      <c r="H34" s="878"/>
      <c r="I34" s="877"/>
    </row>
    <row r="35" spans="1:9" x14ac:dyDescent="0.2">
      <c r="A35" s="874" t="s">
        <v>641</v>
      </c>
      <c r="B35" s="875" t="s">
        <v>642</v>
      </c>
      <c r="C35" s="876" t="s">
        <v>593</v>
      </c>
      <c r="D35" s="877"/>
      <c r="E35" s="878"/>
      <c r="F35" s="878"/>
      <c r="G35" s="878"/>
      <c r="H35" s="878"/>
      <c r="I35" s="877"/>
    </row>
    <row r="36" spans="1:9" ht="13.5" customHeight="1" x14ac:dyDescent="0.2">
      <c r="A36" s="874" t="s">
        <v>643</v>
      </c>
      <c r="B36" s="875" t="s">
        <v>644</v>
      </c>
      <c r="C36" s="876"/>
      <c r="D36" s="877"/>
      <c r="E36" s="878"/>
      <c r="F36" s="878"/>
      <c r="G36" s="878"/>
      <c r="H36" s="878"/>
      <c r="I36" s="877"/>
    </row>
    <row r="37" spans="1:9" x14ac:dyDescent="0.2">
      <c r="A37" s="874" t="s">
        <v>645</v>
      </c>
      <c r="B37" s="875" t="s">
        <v>638</v>
      </c>
      <c r="C37" s="876" t="s">
        <v>593</v>
      </c>
      <c r="D37" s="877"/>
      <c r="E37" s="878"/>
      <c r="F37" s="878"/>
      <c r="G37" s="878"/>
      <c r="H37" s="878"/>
      <c r="I37" s="877"/>
    </row>
    <row r="38" spans="1:9" x14ac:dyDescent="0.2">
      <c r="A38" s="874" t="s">
        <v>646</v>
      </c>
      <c r="B38" s="875" t="s">
        <v>640</v>
      </c>
      <c r="C38" s="876" t="s">
        <v>593</v>
      </c>
      <c r="D38" s="877"/>
      <c r="E38" s="878"/>
      <c r="F38" s="878"/>
      <c r="G38" s="878"/>
      <c r="H38" s="878"/>
      <c r="I38" s="877"/>
    </row>
    <row r="39" spans="1:9" x14ac:dyDescent="0.2">
      <c r="A39" s="874" t="s">
        <v>647</v>
      </c>
      <c r="B39" s="875" t="s">
        <v>642</v>
      </c>
      <c r="C39" s="876" t="s">
        <v>593</v>
      </c>
      <c r="D39" s="877"/>
      <c r="E39" s="878"/>
      <c r="F39" s="878"/>
      <c r="G39" s="878"/>
      <c r="H39" s="878"/>
      <c r="I39" s="877"/>
    </row>
    <row r="40" spans="1:9" ht="21.75" customHeight="1" x14ac:dyDescent="0.2">
      <c r="A40" s="874" t="s">
        <v>648</v>
      </c>
      <c r="B40" s="875" t="s">
        <v>649</v>
      </c>
      <c r="C40" s="876"/>
      <c r="D40" s="877"/>
      <c r="E40" s="878"/>
      <c r="F40" s="878"/>
      <c r="G40" s="878"/>
      <c r="H40" s="878"/>
      <c r="I40" s="877"/>
    </row>
    <row r="41" spans="1:9" x14ac:dyDescent="0.2">
      <c r="A41" s="874" t="s">
        <v>650</v>
      </c>
      <c r="B41" s="875" t="s">
        <v>651</v>
      </c>
      <c r="C41" s="876" t="s">
        <v>593</v>
      </c>
      <c r="D41" s="877"/>
      <c r="E41" s="878"/>
      <c r="F41" s="878"/>
      <c r="G41" s="878"/>
      <c r="H41" s="878"/>
      <c r="I41" s="877"/>
    </row>
    <row r="42" spans="1:9" x14ac:dyDescent="0.2">
      <c r="A42" s="874" t="s">
        <v>652</v>
      </c>
      <c r="B42" s="875" t="s">
        <v>640</v>
      </c>
      <c r="C42" s="876" t="s">
        <v>593</v>
      </c>
      <c r="D42" s="877"/>
      <c r="E42" s="878"/>
      <c r="F42" s="878"/>
      <c r="G42" s="878"/>
      <c r="H42" s="878"/>
      <c r="I42" s="877"/>
    </row>
    <row r="43" spans="1:9" ht="11.25" customHeight="1" x14ac:dyDescent="0.2">
      <c r="A43" s="874" t="s">
        <v>653</v>
      </c>
      <c r="B43" s="875" t="s">
        <v>654</v>
      </c>
      <c r="C43" s="876" t="s">
        <v>593</v>
      </c>
      <c r="D43" s="877"/>
      <c r="E43" s="878"/>
      <c r="F43" s="878"/>
      <c r="G43" s="878"/>
      <c r="H43" s="878"/>
      <c r="I43" s="877"/>
    </row>
    <row r="44" spans="1:9" ht="21.75" customHeight="1" x14ac:dyDescent="0.2">
      <c r="A44" s="874" t="s">
        <v>655</v>
      </c>
      <c r="B44" s="875" t="s">
        <v>656</v>
      </c>
      <c r="C44" s="876" t="s">
        <v>593</v>
      </c>
      <c r="D44" s="877"/>
      <c r="E44" s="878"/>
      <c r="F44" s="878"/>
      <c r="G44" s="878"/>
      <c r="H44" s="878"/>
      <c r="I44" s="877"/>
    </row>
    <row r="45" spans="1:9" ht="12" customHeight="1" x14ac:dyDescent="0.2">
      <c r="A45" s="874" t="s">
        <v>657</v>
      </c>
      <c r="B45" s="875" t="s">
        <v>658</v>
      </c>
      <c r="C45" s="876" t="s">
        <v>593</v>
      </c>
      <c r="D45" s="877"/>
      <c r="E45" s="878"/>
      <c r="F45" s="878"/>
      <c r="G45" s="878"/>
      <c r="H45" s="878"/>
      <c r="I45" s="877"/>
    </row>
    <row r="46" spans="1:9" x14ac:dyDescent="0.2">
      <c r="A46" s="874" t="s">
        <v>659</v>
      </c>
      <c r="B46" s="884" t="s">
        <v>660</v>
      </c>
      <c r="C46" s="876"/>
      <c r="D46" s="877"/>
      <c r="E46" s="878"/>
      <c r="F46" s="878"/>
      <c r="G46" s="878"/>
      <c r="H46" s="878"/>
      <c r="I46" s="877"/>
    </row>
    <row r="47" spans="1:9" x14ac:dyDescent="0.2">
      <c r="A47" s="874" t="s">
        <v>661</v>
      </c>
      <c r="B47" s="875" t="s">
        <v>662</v>
      </c>
      <c r="C47" s="876" t="s">
        <v>593</v>
      </c>
      <c r="D47" s="877"/>
      <c r="E47" s="878"/>
      <c r="F47" s="878"/>
      <c r="G47" s="878"/>
      <c r="H47" s="878"/>
      <c r="I47" s="877"/>
    </row>
    <row r="48" spans="1:9" x14ac:dyDescent="0.2">
      <c r="A48" s="874" t="s">
        <v>663</v>
      </c>
      <c r="B48" s="875" t="s">
        <v>664</v>
      </c>
      <c r="C48" s="876" t="s">
        <v>593</v>
      </c>
      <c r="D48" s="877"/>
      <c r="E48" s="878"/>
      <c r="F48" s="878"/>
      <c r="G48" s="878"/>
      <c r="H48" s="878"/>
      <c r="I48" s="877"/>
    </row>
    <row r="49" spans="1:9" x14ac:dyDescent="0.2">
      <c r="A49" s="874" t="s">
        <v>665</v>
      </c>
      <c r="B49" s="884" t="s">
        <v>666</v>
      </c>
      <c r="C49" s="876"/>
      <c r="D49" s="877"/>
      <c r="E49" s="878"/>
      <c r="F49" s="878"/>
      <c r="G49" s="878"/>
      <c r="H49" s="878"/>
      <c r="I49" s="877"/>
    </row>
    <row r="50" spans="1:9" ht="21.75" customHeight="1" x14ac:dyDescent="0.2">
      <c r="A50" s="874" t="s">
        <v>667</v>
      </c>
      <c r="B50" s="885" t="s">
        <v>668</v>
      </c>
      <c r="C50" s="876" t="s">
        <v>593</v>
      </c>
      <c r="D50" s="877"/>
      <c r="E50" s="878"/>
      <c r="F50" s="878"/>
      <c r="G50" s="878"/>
      <c r="H50" s="878"/>
      <c r="I50" s="877"/>
    </row>
    <row r="51" spans="1:9" ht="12.75" customHeight="1" x14ac:dyDescent="0.2">
      <c r="A51" s="874" t="s">
        <v>669</v>
      </c>
      <c r="B51" s="885" t="s">
        <v>670</v>
      </c>
      <c r="C51" s="876" t="s">
        <v>593</v>
      </c>
      <c r="D51" s="877"/>
      <c r="E51" s="878"/>
      <c r="F51" s="878"/>
      <c r="G51" s="878"/>
      <c r="H51" s="878"/>
      <c r="I51" s="877"/>
    </row>
    <row r="52" spans="1:9" ht="24" customHeight="1" x14ac:dyDescent="0.2">
      <c r="A52" s="874" t="s">
        <v>671</v>
      </c>
      <c r="B52" s="887" t="s">
        <v>672</v>
      </c>
      <c r="C52" s="876"/>
      <c r="D52" s="877"/>
      <c r="E52" s="878"/>
      <c r="F52" s="878"/>
      <c r="G52" s="878"/>
      <c r="H52" s="878"/>
      <c r="I52" s="877"/>
    </row>
    <row r="53" spans="1:9" ht="45" x14ac:dyDescent="0.2">
      <c r="A53" s="874" t="s">
        <v>673</v>
      </c>
      <c r="B53" s="885" t="s">
        <v>674</v>
      </c>
      <c r="C53" s="876" t="s">
        <v>593</v>
      </c>
      <c r="D53" s="877"/>
      <c r="E53" s="878"/>
      <c r="F53" s="878"/>
      <c r="G53" s="878"/>
      <c r="H53" s="878"/>
      <c r="I53" s="877"/>
    </row>
    <row r="54" spans="1:9" ht="23.25" customHeight="1" x14ac:dyDescent="0.2">
      <c r="A54" s="874" t="s">
        <v>675</v>
      </c>
      <c r="B54" s="885" t="s">
        <v>676</v>
      </c>
      <c r="C54" s="876" t="s">
        <v>593</v>
      </c>
      <c r="D54" s="877"/>
      <c r="E54" s="878"/>
      <c r="F54" s="878"/>
      <c r="G54" s="878"/>
      <c r="H54" s="878"/>
      <c r="I54" s="877"/>
    </row>
    <row r="55" spans="1:9" ht="22.5" x14ac:dyDescent="0.2">
      <c r="A55" s="874" t="s">
        <v>677</v>
      </c>
      <c r="B55" s="887" t="s">
        <v>678</v>
      </c>
      <c r="C55" s="876" t="s">
        <v>593</v>
      </c>
      <c r="D55" s="888"/>
      <c r="E55" s="889"/>
      <c r="F55" s="878"/>
      <c r="G55" s="878"/>
      <c r="H55" s="878"/>
      <c r="I55" s="877"/>
    </row>
    <row r="56" spans="1:9" s="873" customFormat="1" ht="13.5" customHeight="1" x14ac:dyDescent="0.2">
      <c r="A56" s="868" t="s">
        <v>679</v>
      </c>
      <c r="B56" s="869" t="s">
        <v>680</v>
      </c>
      <c r="C56" s="870"/>
      <c r="D56" s="888"/>
      <c r="E56" s="889"/>
      <c r="F56" s="872"/>
      <c r="G56" s="872"/>
      <c r="H56" s="872"/>
      <c r="I56" s="871"/>
    </row>
    <row r="57" spans="1:9" x14ac:dyDescent="0.2">
      <c r="A57" s="874" t="s">
        <v>681</v>
      </c>
      <c r="B57" s="890" t="s">
        <v>1304</v>
      </c>
      <c r="C57" s="876"/>
      <c r="D57" s="888"/>
      <c r="E57" s="889"/>
      <c r="F57" s="872"/>
      <c r="G57" s="872"/>
      <c r="H57" s="872"/>
      <c r="I57" s="877"/>
    </row>
    <row r="58" spans="1:9" x14ac:dyDescent="0.2">
      <c r="A58" s="874" t="s">
        <v>683</v>
      </c>
      <c r="B58" s="875" t="s">
        <v>684</v>
      </c>
      <c r="C58" s="876" t="s">
        <v>593</v>
      </c>
      <c r="D58" s="888">
        <v>1</v>
      </c>
      <c r="E58" s="889">
        <v>200</v>
      </c>
      <c r="F58" s="872">
        <v>0.2</v>
      </c>
      <c r="G58" s="872">
        <v>0.2</v>
      </c>
      <c r="H58" s="872">
        <v>0.2</v>
      </c>
      <c r="I58" s="877"/>
    </row>
    <row r="59" spans="1:9" x14ac:dyDescent="0.2">
      <c r="A59" s="874" t="s">
        <v>685</v>
      </c>
      <c r="B59" s="890" t="s">
        <v>686</v>
      </c>
      <c r="C59" s="876"/>
      <c r="D59" s="888"/>
      <c r="E59" s="889"/>
      <c r="F59" s="872"/>
      <c r="G59" s="878"/>
      <c r="H59" s="878"/>
      <c r="I59" s="877"/>
    </row>
    <row r="60" spans="1:9" x14ac:dyDescent="0.2">
      <c r="A60" s="874" t="s">
        <v>687</v>
      </c>
      <c r="B60" s="875" t="s">
        <v>684</v>
      </c>
      <c r="C60" s="876" t="s">
        <v>688</v>
      </c>
      <c r="D60" s="891"/>
      <c r="E60" s="889"/>
      <c r="F60" s="872"/>
      <c r="G60" s="878"/>
      <c r="H60" s="892"/>
      <c r="I60" s="877"/>
    </row>
    <row r="61" spans="1:9" s="900" customFormat="1" ht="12.75" x14ac:dyDescent="0.2">
      <c r="A61" s="893" t="s">
        <v>689</v>
      </c>
      <c r="B61" s="894" t="s">
        <v>690</v>
      </c>
      <c r="C61" s="895"/>
      <c r="D61" s="896"/>
      <c r="E61" s="897"/>
      <c r="F61" s="898"/>
      <c r="G61" s="898"/>
      <c r="H61" s="898"/>
      <c r="I61" s="899"/>
    </row>
    <row r="62" spans="1:9" s="905" customFormat="1" ht="11.25" customHeight="1" x14ac:dyDescent="0.2">
      <c r="A62" s="901" t="s">
        <v>691</v>
      </c>
      <c r="B62" s="902" t="s">
        <v>1305</v>
      </c>
      <c r="C62" s="903" t="s">
        <v>257</v>
      </c>
      <c r="D62" s="896">
        <v>12</v>
      </c>
      <c r="E62" s="904">
        <v>20000</v>
      </c>
      <c r="F62" s="905">
        <v>223.5</v>
      </c>
      <c r="G62" s="904">
        <f>223.5+108.3</f>
        <v>331.8</v>
      </c>
      <c r="H62" s="904">
        <f>223.5+218.9</f>
        <v>442.4</v>
      </c>
      <c r="I62" s="906"/>
    </row>
    <row r="63" spans="1:9" s="905" customFormat="1" ht="25.5" customHeight="1" x14ac:dyDescent="0.2">
      <c r="A63" s="901" t="s">
        <v>692</v>
      </c>
      <c r="B63" s="902" t="s">
        <v>693</v>
      </c>
      <c r="C63" s="903" t="s">
        <v>694</v>
      </c>
      <c r="D63" s="907"/>
      <c r="E63" s="897"/>
      <c r="F63" s="904"/>
      <c r="G63" s="904"/>
      <c r="H63" s="908"/>
      <c r="I63" s="902"/>
    </row>
    <row r="64" spans="1:9" s="873" customFormat="1" ht="12.75" x14ac:dyDescent="0.2">
      <c r="A64" s="868" t="s">
        <v>696</v>
      </c>
      <c r="B64" s="869" t="s">
        <v>697</v>
      </c>
      <c r="C64" s="870"/>
      <c r="D64" s="888"/>
      <c r="E64" s="889"/>
      <c r="F64" s="878"/>
      <c r="G64" s="872"/>
      <c r="H64" s="872"/>
      <c r="I64" s="871"/>
    </row>
    <row r="65" spans="1:9" ht="11.25" customHeight="1" x14ac:dyDescent="0.2">
      <c r="A65" s="874" t="s">
        <v>698</v>
      </c>
      <c r="B65" s="875" t="s">
        <v>699</v>
      </c>
      <c r="C65" s="876" t="s">
        <v>257</v>
      </c>
      <c r="D65" s="891">
        <v>100</v>
      </c>
      <c r="E65" s="889">
        <v>10</v>
      </c>
      <c r="F65" s="878">
        <v>1</v>
      </c>
      <c r="G65" s="878">
        <v>1</v>
      </c>
      <c r="H65" s="878">
        <v>1</v>
      </c>
      <c r="I65" s="877"/>
    </row>
    <row r="66" spans="1:9" ht="11.25" customHeight="1" x14ac:dyDescent="0.2">
      <c r="A66" s="874" t="s">
        <v>700</v>
      </c>
      <c r="B66" s="875" t="s">
        <v>701</v>
      </c>
      <c r="C66" s="876" t="s">
        <v>257</v>
      </c>
      <c r="D66" s="888"/>
      <c r="E66" s="889"/>
      <c r="F66" s="878"/>
      <c r="G66" s="878"/>
      <c r="H66" s="892"/>
      <c r="I66" s="877"/>
    </row>
    <row r="67" spans="1:9" x14ac:dyDescent="0.2">
      <c r="A67" s="874" t="s">
        <v>702</v>
      </c>
      <c r="B67" s="875" t="s">
        <v>703</v>
      </c>
      <c r="C67" s="876" t="s">
        <v>593</v>
      </c>
      <c r="D67" s="889"/>
      <c r="E67" s="889"/>
      <c r="F67" s="878"/>
      <c r="G67" s="878"/>
      <c r="H67" s="878"/>
      <c r="I67" s="877"/>
    </row>
    <row r="68" spans="1:9" x14ac:dyDescent="0.2">
      <c r="A68" s="909" t="s">
        <v>704</v>
      </c>
      <c r="B68" s="910" t="s">
        <v>705</v>
      </c>
      <c r="C68" s="876" t="s">
        <v>257</v>
      </c>
      <c r="D68" s="888"/>
      <c r="E68" s="889"/>
      <c r="F68" s="878"/>
      <c r="G68" s="878"/>
      <c r="H68" s="878"/>
      <c r="I68" s="877"/>
    </row>
    <row r="69" spans="1:9" s="873" customFormat="1" ht="25.5" x14ac:dyDescent="0.2">
      <c r="A69" s="868" t="s">
        <v>706</v>
      </c>
      <c r="B69" s="869" t="s">
        <v>1199</v>
      </c>
      <c r="C69" s="870"/>
      <c r="D69" s="888"/>
      <c r="E69" s="889"/>
      <c r="F69" s="878"/>
      <c r="G69" s="878"/>
      <c r="H69" s="878"/>
      <c r="I69" s="871"/>
    </row>
    <row r="70" spans="1:9" s="873" customFormat="1" ht="12.75" x14ac:dyDescent="0.2">
      <c r="A70" s="868"/>
      <c r="B70" s="911" t="s">
        <v>1306</v>
      </c>
      <c r="C70" s="870"/>
      <c r="D70" s="888"/>
      <c r="E70" s="889"/>
      <c r="F70" s="878"/>
      <c r="G70" s="878"/>
      <c r="H70" s="878"/>
      <c r="I70" s="871"/>
    </row>
    <row r="71" spans="1:9" s="873" customFormat="1" ht="12.75" x14ac:dyDescent="0.2">
      <c r="A71" s="868"/>
      <c r="B71" s="911" t="s">
        <v>1307</v>
      </c>
      <c r="C71" s="870"/>
      <c r="D71" s="888"/>
      <c r="E71" s="889"/>
      <c r="F71" s="878"/>
      <c r="G71" s="878"/>
      <c r="H71" s="878"/>
      <c r="I71" s="871"/>
    </row>
    <row r="72" spans="1:9" ht="22.5" x14ac:dyDescent="0.2">
      <c r="A72" s="909"/>
      <c r="B72" s="912" t="s">
        <v>709</v>
      </c>
      <c r="C72" s="876" t="s">
        <v>229</v>
      </c>
      <c r="D72" s="888"/>
      <c r="E72" s="889"/>
      <c r="F72" s="889"/>
      <c r="G72" s="889"/>
      <c r="H72" s="889"/>
      <c r="I72" s="877"/>
    </row>
    <row r="73" spans="1:9" ht="22.5" x14ac:dyDescent="0.2">
      <c r="A73" s="909"/>
      <c r="B73" s="912" t="s">
        <v>710</v>
      </c>
      <c r="C73" s="876" t="s">
        <v>229</v>
      </c>
      <c r="D73" s="888"/>
      <c r="E73" s="889"/>
      <c r="F73" s="889"/>
      <c r="G73" s="889"/>
      <c r="H73" s="889"/>
      <c r="I73" s="877"/>
    </row>
    <row r="74" spans="1:9" x14ac:dyDescent="0.2">
      <c r="A74" s="909"/>
      <c r="B74" s="912" t="s">
        <v>711</v>
      </c>
      <c r="C74" s="876"/>
      <c r="D74" s="888"/>
      <c r="E74" s="889"/>
      <c r="F74" s="889"/>
      <c r="G74" s="889"/>
      <c r="H74" s="889"/>
      <c r="I74" s="877"/>
    </row>
    <row r="75" spans="1:9" x14ac:dyDescent="0.2">
      <c r="A75" s="909"/>
      <c r="B75" s="912" t="s">
        <v>712</v>
      </c>
      <c r="C75" s="876"/>
      <c r="D75" s="888">
        <v>6</v>
      </c>
      <c r="E75" s="889">
        <f>F75/D75</f>
        <v>0.53</v>
      </c>
      <c r="F75" s="889">
        <v>3.2</v>
      </c>
      <c r="G75" s="889">
        <v>3.2</v>
      </c>
      <c r="H75" s="889">
        <v>3.2</v>
      </c>
      <c r="I75" s="877"/>
    </row>
    <row r="76" spans="1:9" ht="22.5" x14ac:dyDescent="0.2">
      <c r="A76" s="909"/>
      <c r="B76" s="912" t="s">
        <v>713</v>
      </c>
      <c r="C76" s="876" t="s">
        <v>229</v>
      </c>
      <c r="D76" s="888"/>
      <c r="E76" s="889"/>
      <c r="F76" s="889"/>
      <c r="G76" s="889"/>
      <c r="H76" s="889"/>
      <c r="I76" s="877"/>
    </row>
    <row r="77" spans="1:9" s="873" customFormat="1" ht="12.75" x14ac:dyDescent="0.2">
      <c r="A77" s="868"/>
      <c r="B77" s="869" t="s">
        <v>714</v>
      </c>
      <c r="C77" s="870"/>
      <c r="D77" s="888"/>
      <c r="E77" s="889"/>
      <c r="F77" s="889"/>
      <c r="G77" s="889"/>
      <c r="H77" s="889"/>
      <c r="I77" s="871"/>
    </row>
    <row r="78" spans="1:9" s="919" customFormat="1" x14ac:dyDescent="0.2">
      <c r="A78" s="913"/>
      <c r="B78" s="914" t="s">
        <v>230</v>
      </c>
      <c r="C78" s="915"/>
      <c r="D78" s="916"/>
      <c r="E78" s="917"/>
      <c r="F78" s="917">
        <f>SUM(F10:F77)</f>
        <v>231.5</v>
      </c>
      <c r="G78" s="917">
        <f>SUM(G10:G77)</f>
        <v>339.8</v>
      </c>
      <c r="H78" s="917">
        <f>SUM(H10:H77)</f>
        <v>450.4</v>
      </c>
      <c r="I78" s="918"/>
    </row>
    <row r="79" spans="1:9" x14ac:dyDescent="0.2">
      <c r="A79" s="920" t="s">
        <v>216</v>
      </c>
    </row>
    <row r="81" spans="1:8" x14ac:dyDescent="0.2">
      <c r="E81" s="878"/>
      <c r="F81" s="930">
        <v>2020</v>
      </c>
      <c r="G81" s="930">
        <v>2021</v>
      </c>
      <c r="H81" s="930">
        <v>2022</v>
      </c>
    </row>
    <row r="82" spans="1:8" x14ac:dyDescent="0.2">
      <c r="E82" s="878" t="s">
        <v>1310</v>
      </c>
      <c r="F82" s="931">
        <f>F78</f>
        <v>231.5</v>
      </c>
      <c r="G82" s="931">
        <f>G78</f>
        <v>339.8</v>
      </c>
      <c r="H82" s="931">
        <f>H78</f>
        <v>450.4</v>
      </c>
    </row>
    <row r="83" spans="1:8" x14ac:dyDescent="0.2">
      <c r="E83" s="878" t="s">
        <v>1311</v>
      </c>
      <c r="F83" s="931">
        <f>'расходы самоокупаемые (01.01.20'!H18</f>
        <v>15</v>
      </c>
      <c r="G83" s="931">
        <v>15</v>
      </c>
      <c r="H83" s="931">
        <v>15</v>
      </c>
    </row>
    <row r="84" spans="1:8" x14ac:dyDescent="0.2">
      <c r="E84" s="878" t="s">
        <v>97</v>
      </c>
      <c r="F84" s="931">
        <f>SUM(F82:F83)</f>
        <v>246.5</v>
      </c>
      <c r="G84" s="931">
        <f t="shared" ref="G84:H84" si="0">SUM(G82:G83)</f>
        <v>354.8</v>
      </c>
      <c r="H84" s="931">
        <f t="shared" si="0"/>
        <v>465.4</v>
      </c>
    </row>
    <row r="85" spans="1:8" ht="13.5" customHeight="1" x14ac:dyDescent="0.2"/>
    <row r="86" spans="1:8" s="927" customFormat="1" ht="31.5" x14ac:dyDescent="0.25">
      <c r="A86" s="921"/>
      <c r="B86" s="922" t="s">
        <v>1308</v>
      </c>
      <c r="C86" s="923"/>
      <c r="D86" s="924"/>
      <c r="E86" s="925"/>
      <c r="F86" s="926"/>
      <c r="G86" s="926"/>
      <c r="H86" s="926"/>
    </row>
    <row r="87" spans="1:8" s="927" customFormat="1" ht="31.5" x14ac:dyDescent="0.25">
      <c r="A87" s="921"/>
      <c r="B87" s="922" t="s">
        <v>1309</v>
      </c>
      <c r="C87" s="928"/>
      <c r="E87" s="926"/>
      <c r="F87" s="926"/>
      <c r="G87" s="926"/>
      <c r="H87" s="926"/>
    </row>
  </sheetData>
  <mergeCells count="13">
    <mergeCell ref="I5:I8"/>
    <mergeCell ref="D6:D8"/>
    <mergeCell ref="E6:E8"/>
    <mergeCell ref="F6:F8"/>
    <mergeCell ref="F1:H1"/>
    <mergeCell ref="A2:H2"/>
    <mergeCell ref="A3:H3"/>
    <mergeCell ref="A4:H4"/>
    <mergeCell ref="A5:A8"/>
    <mergeCell ref="B5:B8"/>
    <mergeCell ref="C5:C8"/>
    <mergeCell ref="G5:G8"/>
    <mergeCell ref="H5:H8"/>
  </mergeCells>
  <printOptions horizontalCentered="1"/>
  <pageMargins left="0.70866141732283472" right="0.70866141732283472" top="0.74803149606299213" bottom="0.74803149606299213" header="0.31496062992125984" footer="0.31496062992125984"/>
  <pageSetup paperSize="9" scale="54" orientation="portrait" r:id="rId1"/>
  <rowBreaks count="1" manualBreakCount="1">
    <brk id="55" max="8"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7" tint="0.39997558519241921"/>
  </sheetPr>
  <dimension ref="A2:N29"/>
  <sheetViews>
    <sheetView view="pageBreakPreview" zoomScaleNormal="90" zoomScaleSheetLayoutView="100" workbookViewId="0">
      <pane xSplit="2" ySplit="7" topLeftCell="C8" activePane="bottomRight" state="frozen"/>
      <selection activeCell="H22" sqref="H22:H23"/>
      <selection pane="topRight" activeCell="H22" sqref="H22:H23"/>
      <selection pane="bottomLeft" activeCell="H22" sqref="H22:H23"/>
      <selection pane="bottomRight" activeCell="I40" sqref="I40"/>
    </sheetView>
  </sheetViews>
  <sheetFormatPr defaultRowHeight="12.75" x14ac:dyDescent="0.2"/>
  <cols>
    <col min="1" max="1" width="36.5" style="302" customWidth="1"/>
    <col min="2" max="4" width="9.33203125" style="302"/>
    <col min="5" max="5" width="10.83203125" style="302" customWidth="1"/>
    <col min="6" max="6" width="13.1640625" style="302" customWidth="1"/>
    <col min="7" max="9" width="9.33203125" style="302"/>
    <col min="10" max="10" width="13.5" style="302" customWidth="1"/>
    <col min="11" max="11" width="11" style="302" customWidth="1"/>
    <col min="12" max="13" width="9.33203125" style="302"/>
    <col min="14" max="14" width="11.33203125" style="302" customWidth="1"/>
    <col min="15" max="256" width="9.33203125" style="302"/>
    <col min="257" max="257" width="36.5" style="302" customWidth="1"/>
    <col min="258" max="261" width="9.33203125" style="302"/>
    <col min="262" max="262" width="13.1640625" style="302" customWidth="1"/>
    <col min="263" max="265" width="9.33203125" style="302"/>
    <col min="266" max="266" width="13.5" style="302" customWidth="1"/>
    <col min="267" max="269" width="9.33203125" style="302"/>
    <col min="270" max="270" width="13.83203125" style="302" customWidth="1"/>
    <col min="271" max="512" width="9.33203125" style="302"/>
    <col min="513" max="513" width="36.5" style="302" customWidth="1"/>
    <col min="514" max="517" width="9.33203125" style="302"/>
    <col min="518" max="518" width="13.1640625" style="302" customWidth="1"/>
    <col min="519" max="521" width="9.33203125" style="302"/>
    <col min="522" max="522" width="13.5" style="302" customWidth="1"/>
    <col min="523" max="525" width="9.33203125" style="302"/>
    <col min="526" max="526" width="13.83203125" style="302" customWidth="1"/>
    <col min="527" max="768" width="9.33203125" style="302"/>
    <col min="769" max="769" width="36.5" style="302" customWidth="1"/>
    <col min="770" max="773" width="9.33203125" style="302"/>
    <col min="774" max="774" width="13.1640625" style="302" customWidth="1"/>
    <col min="775" max="777" width="9.33203125" style="302"/>
    <col min="778" max="778" width="13.5" style="302" customWidth="1"/>
    <col min="779" max="781" width="9.33203125" style="302"/>
    <col min="782" max="782" width="13.83203125" style="302" customWidth="1"/>
    <col min="783" max="1024" width="9.33203125" style="302"/>
    <col min="1025" max="1025" width="36.5" style="302" customWidth="1"/>
    <col min="1026" max="1029" width="9.33203125" style="302"/>
    <col min="1030" max="1030" width="13.1640625" style="302" customWidth="1"/>
    <col min="1031" max="1033" width="9.33203125" style="302"/>
    <col min="1034" max="1034" width="13.5" style="302" customWidth="1"/>
    <col min="1035" max="1037" width="9.33203125" style="302"/>
    <col min="1038" max="1038" width="13.83203125" style="302" customWidth="1"/>
    <col min="1039" max="1280" width="9.33203125" style="302"/>
    <col min="1281" max="1281" width="36.5" style="302" customWidth="1"/>
    <col min="1282" max="1285" width="9.33203125" style="302"/>
    <col min="1286" max="1286" width="13.1640625" style="302" customWidth="1"/>
    <col min="1287" max="1289" width="9.33203125" style="302"/>
    <col min="1290" max="1290" width="13.5" style="302" customWidth="1"/>
    <col min="1291" max="1293" width="9.33203125" style="302"/>
    <col min="1294" max="1294" width="13.83203125" style="302" customWidth="1"/>
    <col min="1295" max="1536" width="9.33203125" style="302"/>
    <col min="1537" max="1537" width="36.5" style="302" customWidth="1"/>
    <col min="1538" max="1541" width="9.33203125" style="302"/>
    <col min="1542" max="1542" width="13.1640625" style="302" customWidth="1"/>
    <col min="1543" max="1545" width="9.33203125" style="302"/>
    <col min="1546" max="1546" width="13.5" style="302" customWidth="1"/>
    <col min="1547" max="1549" width="9.33203125" style="302"/>
    <col min="1550" max="1550" width="13.83203125" style="302" customWidth="1"/>
    <col min="1551" max="1792" width="9.33203125" style="302"/>
    <col min="1793" max="1793" width="36.5" style="302" customWidth="1"/>
    <col min="1794" max="1797" width="9.33203125" style="302"/>
    <col min="1798" max="1798" width="13.1640625" style="302" customWidth="1"/>
    <col min="1799" max="1801" width="9.33203125" style="302"/>
    <col min="1802" max="1802" width="13.5" style="302" customWidth="1"/>
    <col min="1803" max="1805" width="9.33203125" style="302"/>
    <col min="1806" max="1806" width="13.83203125" style="302" customWidth="1"/>
    <col min="1807" max="2048" width="9.33203125" style="302"/>
    <col min="2049" max="2049" width="36.5" style="302" customWidth="1"/>
    <col min="2050" max="2053" width="9.33203125" style="302"/>
    <col min="2054" max="2054" width="13.1640625" style="302" customWidth="1"/>
    <col min="2055" max="2057" width="9.33203125" style="302"/>
    <col min="2058" max="2058" width="13.5" style="302" customWidth="1"/>
    <col min="2059" max="2061" width="9.33203125" style="302"/>
    <col min="2062" max="2062" width="13.83203125" style="302" customWidth="1"/>
    <col min="2063" max="2304" width="9.33203125" style="302"/>
    <col min="2305" max="2305" width="36.5" style="302" customWidth="1"/>
    <col min="2306" max="2309" width="9.33203125" style="302"/>
    <col min="2310" max="2310" width="13.1640625" style="302" customWidth="1"/>
    <col min="2311" max="2313" width="9.33203125" style="302"/>
    <col min="2314" max="2314" width="13.5" style="302" customWidth="1"/>
    <col min="2315" max="2317" width="9.33203125" style="302"/>
    <col min="2318" max="2318" width="13.83203125" style="302" customWidth="1"/>
    <col min="2319" max="2560" width="9.33203125" style="302"/>
    <col min="2561" max="2561" width="36.5" style="302" customWidth="1"/>
    <col min="2562" max="2565" width="9.33203125" style="302"/>
    <col min="2566" max="2566" width="13.1640625" style="302" customWidth="1"/>
    <col min="2567" max="2569" width="9.33203125" style="302"/>
    <col min="2570" max="2570" width="13.5" style="302" customWidth="1"/>
    <col min="2571" max="2573" width="9.33203125" style="302"/>
    <col min="2574" max="2574" width="13.83203125" style="302" customWidth="1"/>
    <col min="2575" max="2816" width="9.33203125" style="302"/>
    <col min="2817" max="2817" width="36.5" style="302" customWidth="1"/>
    <col min="2818" max="2821" width="9.33203125" style="302"/>
    <col min="2822" max="2822" width="13.1640625" style="302" customWidth="1"/>
    <col min="2823" max="2825" width="9.33203125" style="302"/>
    <col min="2826" max="2826" width="13.5" style="302" customWidth="1"/>
    <col min="2827" max="2829" width="9.33203125" style="302"/>
    <col min="2830" max="2830" width="13.83203125" style="302" customWidth="1"/>
    <col min="2831" max="3072" width="9.33203125" style="302"/>
    <col min="3073" max="3073" width="36.5" style="302" customWidth="1"/>
    <col min="3074" max="3077" width="9.33203125" style="302"/>
    <col min="3078" max="3078" width="13.1640625" style="302" customWidth="1"/>
    <col min="3079" max="3081" width="9.33203125" style="302"/>
    <col min="3082" max="3082" width="13.5" style="302" customWidth="1"/>
    <col min="3083" max="3085" width="9.33203125" style="302"/>
    <col min="3086" max="3086" width="13.83203125" style="302" customWidth="1"/>
    <col min="3087" max="3328" width="9.33203125" style="302"/>
    <col min="3329" max="3329" width="36.5" style="302" customWidth="1"/>
    <col min="3330" max="3333" width="9.33203125" style="302"/>
    <col min="3334" max="3334" width="13.1640625" style="302" customWidth="1"/>
    <col min="3335" max="3337" width="9.33203125" style="302"/>
    <col min="3338" max="3338" width="13.5" style="302" customWidth="1"/>
    <col min="3339" max="3341" width="9.33203125" style="302"/>
    <col min="3342" max="3342" width="13.83203125" style="302" customWidth="1"/>
    <col min="3343" max="3584" width="9.33203125" style="302"/>
    <col min="3585" max="3585" width="36.5" style="302" customWidth="1"/>
    <col min="3586" max="3589" width="9.33203125" style="302"/>
    <col min="3590" max="3590" width="13.1640625" style="302" customWidth="1"/>
    <col min="3591" max="3593" width="9.33203125" style="302"/>
    <col min="3594" max="3594" width="13.5" style="302" customWidth="1"/>
    <col min="3595" max="3597" width="9.33203125" style="302"/>
    <col min="3598" max="3598" width="13.83203125" style="302" customWidth="1"/>
    <col min="3599" max="3840" width="9.33203125" style="302"/>
    <col min="3841" max="3841" width="36.5" style="302" customWidth="1"/>
    <col min="3842" max="3845" width="9.33203125" style="302"/>
    <col min="3846" max="3846" width="13.1640625" style="302" customWidth="1"/>
    <col min="3847" max="3849" width="9.33203125" style="302"/>
    <col min="3850" max="3850" width="13.5" style="302" customWidth="1"/>
    <col min="3851" max="3853" width="9.33203125" style="302"/>
    <col min="3854" max="3854" width="13.83203125" style="302" customWidth="1"/>
    <col min="3855" max="4096" width="9.33203125" style="302"/>
    <col min="4097" max="4097" width="36.5" style="302" customWidth="1"/>
    <col min="4098" max="4101" width="9.33203125" style="302"/>
    <col min="4102" max="4102" width="13.1640625" style="302" customWidth="1"/>
    <col min="4103" max="4105" width="9.33203125" style="302"/>
    <col min="4106" max="4106" width="13.5" style="302" customWidth="1"/>
    <col min="4107" max="4109" width="9.33203125" style="302"/>
    <col min="4110" max="4110" width="13.83203125" style="302" customWidth="1"/>
    <col min="4111" max="4352" width="9.33203125" style="302"/>
    <col min="4353" max="4353" width="36.5" style="302" customWidth="1"/>
    <col min="4354" max="4357" width="9.33203125" style="302"/>
    <col min="4358" max="4358" width="13.1640625" style="302" customWidth="1"/>
    <col min="4359" max="4361" width="9.33203125" style="302"/>
    <col min="4362" max="4362" width="13.5" style="302" customWidth="1"/>
    <col min="4363" max="4365" width="9.33203125" style="302"/>
    <col min="4366" max="4366" width="13.83203125" style="302" customWidth="1"/>
    <col min="4367" max="4608" width="9.33203125" style="302"/>
    <col min="4609" max="4609" width="36.5" style="302" customWidth="1"/>
    <col min="4610" max="4613" width="9.33203125" style="302"/>
    <col min="4614" max="4614" width="13.1640625" style="302" customWidth="1"/>
    <col min="4615" max="4617" width="9.33203125" style="302"/>
    <col min="4618" max="4618" width="13.5" style="302" customWidth="1"/>
    <col min="4619" max="4621" width="9.33203125" style="302"/>
    <col min="4622" max="4622" width="13.83203125" style="302" customWidth="1"/>
    <col min="4623" max="4864" width="9.33203125" style="302"/>
    <col min="4865" max="4865" width="36.5" style="302" customWidth="1"/>
    <col min="4866" max="4869" width="9.33203125" style="302"/>
    <col min="4870" max="4870" width="13.1640625" style="302" customWidth="1"/>
    <col min="4871" max="4873" width="9.33203125" style="302"/>
    <col min="4874" max="4874" width="13.5" style="302" customWidth="1"/>
    <col min="4875" max="4877" width="9.33203125" style="302"/>
    <col min="4878" max="4878" width="13.83203125" style="302" customWidth="1"/>
    <col min="4879" max="5120" width="9.33203125" style="302"/>
    <col min="5121" max="5121" width="36.5" style="302" customWidth="1"/>
    <col min="5122" max="5125" width="9.33203125" style="302"/>
    <col min="5126" max="5126" width="13.1640625" style="302" customWidth="1"/>
    <col min="5127" max="5129" width="9.33203125" style="302"/>
    <col min="5130" max="5130" width="13.5" style="302" customWidth="1"/>
    <col min="5131" max="5133" width="9.33203125" style="302"/>
    <col min="5134" max="5134" width="13.83203125" style="302" customWidth="1"/>
    <col min="5135" max="5376" width="9.33203125" style="302"/>
    <col min="5377" max="5377" width="36.5" style="302" customWidth="1"/>
    <col min="5378" max="5381" width="9.33203125" style="302"/>
    <col min="5382" max="5382" width="13.1640625" style="302" customWidth="1"/>
    <col min="5383" max="5385" width="9.33203125" style="302"/>
    <col min="5386" max="5386" width="13.5" style="302" customWidth="1"/>
    <col min="5387" max="5389" width="9.33203125" style="302"/>
    <col min="5390" max="5390" width="13.83203125" style="302" customWidth="1"/>
    <col min="5391" max="5632" width="9.33203125" style="302"/>
    <col min="5633" max="5633" width="36.5" style="302" customWidth="1"/>
    <col min="5634" max="5637" width="9.33203125" style="302"/>
    <col min="5638" max="5638" width="13.1640625" style="302" customWidth="1"/>
    <col min="5639" max="5641" width="9.33203125" style="302"/>
    <col min="5642" max="5642" width="13.5" style="302" customWidth="1"/>
    <col min="5643" max="5645" width="9.33203125" style="302"/>
    <col min="5646" max="5646" width="13.83203125" style="302" customWidth="1"/>
    <col min="5647" max="5888" width="9.33203125" style="302"/>
    <col min="5889" max="5889" width="36.5" style="302" customWidth="1"/>
    <col min="5890" max="5893" width="9.33203125" style="302"/>
    <col min="5894" max="5894" width="13.1640625" style="302" customWidth="1"/>
    <col min="5895" max="5897" width="9.33203125" style="302"/>
    <col min="5898" max="5898" width="13.5" style="302" customWidth="1"/>
    <col min="5899" max="5901" width="9.33203125" style="302"/>
    <col min="5902" max="5902" width="13.83203125" style="302" customWidth="1"/>
    <col min="5903" max="6144" width="9.33203125" style="302"/>
    <col min="6145" max="6145" width="36.5" style="302" customWidth="1"/>
    <col min="6146" max="6149" width="9.33203125" style="302"/>
    <col min="6150" max="6150" width="13.1640625" style="302" customWidth="1"/>
    <col min="6151" max="6153" width="9.33203125" style="302"/>
    <col min="6154" max="6154" width="13.5" style="302" customWidth="1"/>
    <col min="6155" max="6157" width="9.33203125" style="302"/>
    <col min="6158" max="6158" width="13.83203125" style="302" customWidth="1"/>
    <col min="6159" max="6400" width="9.33203125" style="302"/>
    <col min="6401" max="6401" width="36.5" style="302" customWidth="1"/>
    <col min="6402" max="6405" width="9.33203125" style="302"/>
    <col min="6406" max="6406" width="13.1640625" style="302" customWidth="1"/>
    <col min="6407" max="6409" width="9.33203125" style="302"/>
    <col min="6410" max="6410" width="13.5" style="302" customWidth="1"/>
    <col min="6411" max="6413" width="9.33203125" style="302"/>
    <col min="6414" max="6414" width="13.83203125" style="302" customWidth="1"/>
    <col min="6415" max="6656" width="9.33203125" style="302"/>
    <col min="6657" max="6657" width="36.5" style="302" customWidth="1"/>
    <col min="6658" max="6661" width="9.33203125" style="302"/>
    <col min="6662" max="6662" width="13.1640625" style="302" customWidth="1"/>
    <col min="6663" max="6665" width="9.33203125" style="302"/>
    <col min="6666" max="6666" width="13.5" style="302" customWidth="1"/>
    <col min="6667" max="6669" width="9.33203125" style="302"/>
    <col min="6670" max="6670" width="13.83203125" style="302" customWidth="1"/>
    <col min="6671" max="6912" width="9.33203125" style="302"/>
    <col min="6913" max="6913" width="36.5" style="302" customWidth="1"/>
    <col min="6914" max="6917" width="9.33203125" style="302"/>
    <col min="6918" max="6918" width="13.1640625" style="302" customWidth="1"/>
    <col min="6919" max="6921" width="9.33203125" style="302"/>
    <col min="6922" max="6922" width="13.5" style="302" customWidth="1"/>
    <col min="6923" max="6925" width="9.33203125" style="302"/>
    <col min="6926" max="6926" width="13.83203125" style="302" customWidth="1"/>
    <col min="6927" max="7168" width="9.33203125" style="302"/>
    <col min="7169" max="7169" width="36.5" style="302" customWidth="1"/>
    <col min="7170" max="7173" width="9.33203125" style="302"/>
    <col min="7174" max="7174" width="13.1640625" style="302" customWidth="1"/>
    <col min="7175" max="7177" width="9.33203125" style="302"/>
    <col min="7178" max="7178" width="13.5" style="302" customWidth="1"/>
    <col min="7179" max="7181" width="9.33203125" style="302"/>
    <col min="7182" max="7182" width="13.83203125" style="302" customWidth="1"/>
    <col min="7183" max="7424" width="9.33203125" style="302"/>
    <col min="7425" max="7425" width="36.5" style="302" customWidth="1"/>
    <col min="7426" max="7429" width="9.33203125" style="302"/>
    <col min="7430" max="7430" width="13.1640625" style="302" customWidth="1"/>
    <col min="7431" max="7433" width="9.33203125" style="302"/>
    <col min="7434" max="7434" width="13.5" style="302" customWidth="1"/>
    <col min="7435" max="7437" width="9.33203125" style="302"/>
    <col min="7438" max="7438" width="13.83203125" style="302" customWidth="1"/>
    <col min="7439" max="7680" width="9.33203125" style="302"/>
    <col min="7681" max="7681" width="36.5" style="302" customWidth="1"/>
    <col min="7682" max="7685" width="9.33203125" style="302"/>
    <col min="7686" max="7686" width="13.1640625" style="302" customWidth="1"/>
    <col min="7687" max="7689" width="9.33203125" style="302"/>
    <col min="7690" max="7690" width="13.5" style="302" customWidth="1"/>
    <col min="7691" max="7693" width="9.33203125" style="302"/>
    <col min="7694" max="7694" width="13.83203125" style="302" customWidth="1"/>
    <col min="7695" max="7936" width="9.33203125" style="302"/>
    <col min="7937" max="7937" width="36.5" style="302" customWidth="1"/>
    <col min="7938" max="7941" width="9.33203125" style="302"/>
    <col min="7942" max="7942" width="13.1640625" style="302" customWidth="1"/>
    <col min="7943" max="7945" width="9.33203125" style="302"/>
    <col min="7946" max="7946" width="13.5" style="302" customWidth="1"/>
    <col min="7947" max="7949" width="9.33203125" style="302"/>
    <col min="7950" max="7950" width="13.83203125" style="302" customWidth="1"/>
    <col min="7951" max="8192" width="9.33203125" style="302"/>
    <col min="8193" max="8193" width="36.5" style="302" customWidth="1"/>
    <col min="8194" max="8197" width="9.33203125" style="302"/>
    <col min="8198" max="8198" width="13.1640625" style="302" customWidth="1"/>
    <col min="8199" max="8201" width="9.33203125" style="302"/>
    <col min="8202" max="8202" width="13.5" style="302" customWidth="1"/>
    <col min="8203" max="8205" width="9.33203125" style="302"/>
    <col min="8206" max="8206" width="13.83203125" style="302" customWidth="1"/>
    <col min="8207" max="8448" width="9.33203125" style="302"/>
    <col min="8449" max="8449" width="36.5" style="302" customWidth="1"/>
    <col min="8450" max="8453" width="9.33203125" style="302"/>
    <col min="8454" max="8454" width="13.1640625" style="302" customWidth="1"/>
    <col min="8455" max="8457" width="9.33203125" style="302"/>
    <col min="8458" max="8458" width="13.5" style="302" customWidth="1"/>
    <col min="8459" max="8461" width="9.33203125" style="302"/>
    <col min="8462" max="8462" width="13.83203125" style="302" customWidth="1"/>
    <col min="8463" max="8704" width="9.33203125" style="302"/>
    <col min="8705" max="8705" width="36.5" style="302" customWidth="1"/>
    <col min="8706" max="8709" width="9.33203125" style="302"/>
    <col min="8710" max="8710" width="13.1640625" style="302" customWidth="1"/>
    <col min="8711" max="8713" width="9.33203125" style="302"/>
    <col min="8714" max="8714" width="13.5" style="302" customWidth="1"/>
    <col min="8715" max="8717" width="9.33203125" style="302"/>
    <col min="8718" max="8718" width="13.83203125" style="302" customWidth="1"/>
    <col min="8719" max="8960" width="9.33203125" style="302"/>
    <col min="8961" max="8961" width="36.5" style="302" customWidth="1"/>
    <col min="8962" max="8965" width="9.33203125" style="302"/>
    <col min="8966" max="8966" width="13.1640625" style="302" customWidth="1"/>
    <col min="8967" max="8969" width="9.33203125" style="302"/>
    <col min="8970" max="8970" width="13.5" style="302" customWidth="1"/>
    <col min="8971" max="8973" width="9.33203125" style="302"/>
    <col min="8974" max="8974" width="13.83203125" style="302" customWidth="1"/>
    <col min="8975" max="9216" width="9.33203125" style="302"/>
    <col min="9217" max="9217" width="36.5" style="302" customWidth="1"/>
    <col min="9218" max="9221" width="9.33203125" style="302"/>
    <col min="9222" max="9222" width="13.1640625" style="302" customWidth="1"/>
    <col min="9223" max="9225" width="9.33203125" style="302"/>
    <col min="9226" max="9226" width="13.5" style="302" customWidth="1"/>
    <col min="9227" max="9229" width="9.33203125" style="302"/>
    <col min="9230" max="9230" width="13.83203125" style="302" customWidth="1"/>
    <col min="9231" max="9472" width="9.33203125" style="302"/>
    <col min="9473" max="9473" width="36.5" style="302" customWidth="1"/>
    <col min="9474" max="9477" width="9.33203125" style="302"/>
    <col min="9478" max="9478" width="13.1640625" style="302" customWidth="1"/>
    <col min="9479" max="9481" width="9.33203125" style="302"/>
    <col min="9482" max="9482" width="13.5" style="302" customWidth="1"/>
    <col min="9483" max="9485" width="9.33203125" style="302"/>
    <col min="9486" max="9486" width="13.83203125" style="302" customWidth="1"/>
    <col min="9487" max="9728" width="9.33203125" style="302"/>
    <col min="9729" max="9729" width="36.5" style="302" customWidth="1"/>
    <col min="9730" max="9733" width="9.33203125" style="302"/>
    <col min="9734" max="9734" width="13.1640625" style="302" customWidth="1"/>
    <col min="9735" max="9737" width="9.33203125" style="302"/>
    <col min="9738" max="9738" width="13.5" style="302" customWidth="1"/>
    <col min="9739" max="9741" width="9.33203125" style="302"/>
    <col min="9742" max="9742" width="13.83203125" style="302" customWidth="1"/>
    <col min="9743" max="9984" width="9.33203125" style="302"/>
    <col min="9985" max="9985" width="36.5" style="302" customWidth="1"/>
    <col min="9986" max="9989" width="9.33203125" style="302"/>
    <col min="9990" max="9990" width="13.1640625" style="302" customWidth="1"/>
    <col min="9991" max="9993" width="9.33203125" style="302"/>
    <col min="9994" max="9994" width="13.5" style="302" customWidth="1"/>
    <col min="9995" max="9997" width="9.33203125" style="302"/>
    <col min="9998" max="9998" width="13.83203125" style="302" customWidth="1"/>
    <col min="9999" max="10240" width="9.33203125" style="302"/>
    <col min="10241" max="10241" width="36.5" style="302" customWidth="1"/>
    <col min="10242" max="10245" width="9.33203125" style="302"/>
    <col min="10246" max="10246" width="13.1640625" style="302" customWidth="1"/>
    <col min="10247" max="10249" width="9.33203125" style="302"/>
    <col min="10250" max="10250" width="13.5" style="302" customWidth="1"/>
    <col min="10251" max="10253" width="9.33203125" style="302"/>
    <col min="10254" max="10254" width="13.83203125" style="302" customWidth="1"/>
    <col min="10255" max="10496" width="9.33203125" style="302"/>
    <col min="10497" max="10497" width="36.5" style="302" customWidth="1"/>
    <col min="10498" max="10501" width="9.33203125" style="302"/>
    <col min="10502" max="10502" width="13.1640625" style="302" customWidth="1"/>
    <col min="10503" max="10505" width="9.33203125" style="302"/>
    <col min="10506" max="10506" width="13.5" style="302" customWidth="1"/>
    <col min="10507" max="10509" width="9.33203125" style="302"/>
    <col min="10510" max="10510" width="13.83203125" style="302" customWidth="1"/>
    <col min="10511" max="10752" width="9.33203125" style="302"/>
    <col min="10753" max="10753" width="36.5" style="302" customWidth="1"/>
    <col min="10754" max="10757" width="9.33203125" style="302"/>
    <col min="10758" max="10758" width="13.1640625" style="302" customWidth="1"/>
    <col min="10759" max="10761" width="9.33203125" style="302"/>
    <col min="10762" max="10762" width="13.5" style="302" customWidth="1"/>
    <col min="10763" max="10765" width="9.33203125" style="302"/>
    <col min="10766" max="10766" width="13.83203125" style="302" customWidth="1"/>
    <col min="10767" max="11008" width="9.33203125" style="302"/>
    <col min="11009" max="11009" width="36.5" style="302" customWidth="1"/>
    <col min="11010" max="11013" width="9.33203125" style="302"/>
    <col min="11014" max="11014" width="13.1640625" style="302" customWidth="1"/>
    <col min="11015" max="11017" width="9.33203125" style="302"/>
    <col min="11018" max="11018" width="13.5" style="302" customWidth="1"/>
    <col min="11019" max="11021" width="9.33203125" style="302"/>
    <col min="11022" max="11022" width="13.83203125" style="302" customWidth="1"/>
    <col min="11023" max="11264" width="9.33203125" style="302"/>
    <col min="11265" max="11265" width="36.5" style="302" customWidth="1"/>
    <col min="11266" max="11269" width="9.33203125" style="302"/>
    <col min="11270" max="11270" width="13.1640625" style="302" customWidth="1"/>
    <col min="11271" max="11273" width="9.33203125" style="302"/>
    <col min="11274" max="11274" width="13.5" style="302" customWidth="1"/>
    <col min="11275" max="11277" width="9.33203125" style="302"/>
    <col min="11278" max="11278" width="13.83203125" style="302" customWidth="1"/>
    <col min="11279" max="11520" width="9.33203125" style="302"/>
    <col min="11521" max="11521" width="36.5" style="302" customWidth="1"/>
    <col min="11522" max="11525" width="9.33203125" style="302"/>
    <col min="11526" max="11526" width="13.1640625" style="302" customWidth="1"/>
    <col min="11527" max="11529" width="9.33203125" style="302"/>
    <col min="11530" max="11530" width="13.5" style="302" customWidth="1"/>
    <col min="11531" max="11533" width="9.33203125" style="302"/>
    <col min="11534" max="11534" width="13.83203125" style="302" customWidth="1"/>
    <col min="11535" max="11776" width="9.33203125" style="302"/>
    <col min="11777" max="11777" width="36.5" style="302" customWidth="1"/>
    <col min="11778" max="11781" width="9.33203125" style="302"/>
    <col min="11782" max="11782" width="13.1640625" style="302" customWidth="1"/>
    <col min="11783" max="11785" width="9.33203125" style="302"/>
    <col min="11786" max="11786" width="13.5" style="302" customWidth="1"/>
    <col min="11787" max="11789" width="9.33203125" style="302"/>
    <col min="11790" max="11790" width="13.83203125" style="302" customWidth="1"/>
    <col min="11791" max="12032" width="9.33203125" style="302"/>
    <col min="12033" max="12033" width="36.5" style="302" customWidth="1"/>
    <col min="12034" max="12037" width="9.33203125" style="302"/>
    <col min="12038" max="12038" width="13.1640625" style="302" customWidth="1"/>
    <col min="12039" max="12041" width="9.33203125" style="302"/>
    <col min="12042" max="12042" width="13.5" style="302" customWidth="1"/>
    <col min="12043" max="12045" width="9.33203125" style="302"/>
    <col min="12046" max="12046" width="13.83203125" style="302" customWidth="1"/>
    <col min="12047" max="12288" width="9.33203125" style="302"/>
    <col min="12289" max="12289" width="36.5" style="302" customWidth="1"/>
    <col min="12290" max="12293" width="9.33203125" style="302"/>
    <col min="12294" max="12294" width="13.1640625" style="302" customWidth="1"/>
    <col min="12295" max="12297" width="9.33203125" style="302"/>
    <col min="12298" max="12298" width="13.5" style="302" customWidth="1"/>
    <col min="12299" max="12301" width="9.33203125" style="302"/>
    <col min="12302" max="12302" width="13.83203125" style="302" customWidth="1"/>
    <col min="12303" max="12544" width="9.33203125" style="302"/>
    <col min="12545" max="12545" width="36.5" style="302" customWidth="1"/>
    <col min="12546" max="12549" width="9.33203125" style="302"/>
    <col min="12550" max="12550" width="13.1640625" style="302" customWidth="1"/>
    <col min="12551" max="12553" width="9.33203125" style="302"/>
    <col min="12554" max="12554" width="13.5" style="302" customWidth="1"/>
    <col min="12555" max="12557" width="9.33203125" style="302"/>
    <col min="12558" max="12558" width="13.83203125" style="302" customWidth="1"/>
    <col min="12559" max="12800" width="9.33203125" style="302"/>
    <col min="12801" max="12801" width="36.5" style="302" customWidth="1"/>
    <col min="12802" max="12805" width="9.33203125" style="302"/>
    <col min="12806" max="12806" width="13.1640625" style="302" customWidth="1"/>
    <col min="12807" max="12809" width="9.33203125" style="302"/>
    <col min="12810" max="12810" width="13.5" style="302" customWidth="1"/>
    <col min="12811" max="12813" width="9.33203125" style="302"/>
    <col min="12814" max="12814" width="13.83203125" style="302" customWidth="1"/>
    <col min="12815" max="13056" width="9.33203125" style="302"/>
    <col min="13057" max="13057" width="36.5" style="302" customWidth="1"/>
    <col min="13058" max="13061" width="9.33203125" style="302"/>
    <col min="13062" max="13062" width="13.1640625" style="302" customWidth="1"/>
    <col min="13063" max="13065" width="9.33203125" style="302"/>
    <col min="13066" max="13066" width="13.5" style="302" customWidth="1"/>
    <col min="13067" max="13069" width="9.33203125" style="302"/>
    <col min="13070" max="13070" width="13.83203125" style="302" customWidth="1"/>
    <col min="13071" max="13312" width="9.33203125" style="302"/>
    <col min="13313" max="13313" width="36.5" style="302" customWidth="1"/>
    <col min="13314" max="13317" width="9.33203125" style="302"/>
    <col min="13318" max="13318" width="13.1640625" style="302" customWidth="1"/>
    <col min="13319" max="13321" width="9.33203125" style="302"/>
    <col min="13322" max="13322" width="13.5" style="302" customWidth="1"/>
    <col min="13323" max="13325" width="9.33203125" style="302"/>
    <col min="13326" max="13326" width="13.83203125" style="302" customWidth="1"/>
    <col min="13327" max="13568" width="9.33203125" style="302"/>
    <col min="13569" max="13569" width="36.5" style="302" customWidth="1"/>
    <col min="13570" max="13573" width="9.33203125" style="302"/>
    <col min="13574" max="13574" width="13.1640625" style="302" customWidth="1"/>
    <col min="13575" max="13577" width="9.33203125" style="302"/>
    <col min="13578" max="13578" width="13.5" style="302" customWidth="1"/>
    <col min="13579" max="13581" width="9.33203125" style="302"/>
    <col min="13582" max="13582" width="13.83203125" style="302" customWidth="1"/>
    <col min="13583" max="13824" width="9.33203125" style="302"/>
    <col min="13825" max="13825" width="36.5" style="302" customWidth="1"/>
    <col min="13826" max="13829" width="9.33203125" style="302"/>
    <col min="13830" max="13830" width="13.1640625" style="302" customWidth="1"/>
    <col min="13831" max="13833" width="9.33203125" style="302"/>
    <col min="13834" max="13834" width="13.5" style="302" customWidth="1"/>
    <col min="13835" max="13837" width="9.33203125" style="302"/>
    <col min="13838" max="13838" width="13.83203125" style="302" customWidth="1"/>
    <col min="13839" max="14080" width="9.33203125" style="302"/>
    <col min="14081" max="14081" width="36.5" style="302" customWidth="1"/>
    <col min="14082" max="14085" width="9.33203125" style="302"/>
    <col min="14086" max="14086" width="13.1640625" style="302" customWidth="1"/>
    <col min="14087" max="14089" width="9.33203125" style="302"/>
    <col min="14090" max="14090" width="13.5" style="302" customWidth="1"/>
    <col min="14091" max="14093" width="9.33203125" style="302"/>
    <col min="14094" max="14094" width="13.83203125" style="302" customWidth="1"/>
    <col min="14095" max="14336" width="9.33203125" style="302"/>
    <col min="14337" max="14337" width="36.5" style="302" customWidth="1"/>
    <col min="14338" max="14341" width="9.33203125" style="302"/>
    <col min="14342" max="14342" width="13.1640625" style="302" customWidth="1"/>
    <col min="14343" max="14345" width="9.33203125" style="302"/>
    <col min="14346" max="14346" width="13.5" style="302" customWidth="1"/>
    <col min="14347" max="14349" width="9.33203125" style="302"/>
    <col min="14350" max="14350" width="13.83203125" style="302" customWidth="1"/>
    <col min="14351" max="14592" width="9.33203125" style="302"/>
    <col min="14593" max="14593" width="36.5" style="302" customWidth="1"/>
    <col min="14594" max="14597" width="9.33203125" style="302"/>
    <col min="14598" max="14598" width="13.1640625" style="302" customWidth="1"/>
    <col min="14599" max="14601" width="9.33203125" style="302"/>
    <col min="14602" max="14602" width="13.5" style="302" customWidth="1"/>
    <col min="14603" max="14605" width="9.33203125" style="302"/>
    <col min="14606" max="14606" width="13.83203125" style="302" customWidth="1"/>
    <col min="14607" max="14848" width="9.33203125" style="302"/>
    <col min="14849" max="14849" width="36.5" style="302" customWidth="1"/>
    <col min="14850" max="14853" width="9.33203125" style="302"/>
    <col min="14854" max="14854" width="13.1640625" style="302" customWidth="1"/>
    <col min="14855" max="14857" width="9.33203125" style="302"/>
    <col min="14858" max="14858" width="13.5" style="302" customWidth="1"/>
    <col min="14859" max="14861" width="9.33203125" style="302"/>
    <col min="14862" max="14862" width="13.83203125" style="302" customWidth="1"/>
    <col min="14863" max="15104" width="9.33203125" style="302"/>
    <col min="15105" max="15105" width="36.5" style="302" customWidth="1"/>
    <col min="15106" max="15109" width="9.33203125" style="302"/>
    <col min="15110" max="15110" width="13.1640625" style="302" customWidth="1"/>
    <col min="15111" max="15113" width="9.33203125" style="302"/>
    <col min="15114" max="15114" width="13.5" style="302" customWidth="1"/>
    <col min="15115" max="15117" width="9.33203125" style="302"/>
    <col min="15118" max="15118" width="13.83203125" style="302" customWidth="1"/>
    <col min="15119" max="15360" width="9.33203125" style="302"/>
    <col min="15361" max="15361" width="36.5" style="302" customWidth="1"/>
    <col min="15362" max="15365" width="9.33203125" style="302"/>
    <col min="15366" max="15366" width="13.1640625" style="302" customWidth="1"/>
    <col min="15367" max="15369" width="9.33203125" style="302"/>
    <col min="15370" max="15370" width="13.5" style="302" customWidth="1"/>
    <col min="15371" max="15373" width="9.33203125" style="302"/>
    <col min="15374" max="15374" width="13.83203125" style="302" customWidth="1"/>
    <col min="15375" max="15616" width="9.33203125" style="302"/>
    <col min="15617" max="15617" width="36.5" style="302" customWidth="1"/>
    <col min="15618" max="15621" width="9.33203125" style="302"/>
    <col min="15622" max="15622" width="13.1640625" style="302" customWidth="1"/>
    <col min="15623" max="15625" width="9.33203125" style="302"/>
    <col min="15626" max="15626" width="13.5" style="302" customWidth="1"/>
    <col min="15627" max="15629" width="9.33203125" style="302"/>
    <col min="15630" max="15630" width="13.83203125" style="302" customWidth="1"/>
    <col min="15631" max="15872" width="9.33203125" style="302"/>
    <col min="15873" max="15873" width="36.5" style="302" customWidth="1"/>
    <col min="15874" max="15877" width="9.33203125" style="302"/>
    <col min="15878" max="15878" width="13.1640625" style="302" customWidth="1"/>
    <col min="15879" max="15881" width="9.33203125" style="302"/>
    <col min="15882" max="15882" width="13.5" style="302" customWidth="1"/>
    <col min="15883" max="15885" width="9.33203125" style="302"/>
    <col min="15886" max="15886" width="13.83203125" style="302" customWidth="1"/>
    <col min="15887" max="16128" width="9.33203125" style="302"/>
    <col min="16129" max="16129" width="36.5" style="302" customWidth="1"/>
    <col min="16130" max="16133" width="9.33203125" style="302"/>
    <col min="16134" max="16134" width="13.1640625" style="302" customWidth="1"/>
    <col min="16135" max="16137" width="9.33203125" style="302"/>
    <col min="16138" max="16138" width="13.5" style="302" customWidth="1"/>
    <col min="16139" max="16141" width="9.33203125" style="302"/>
    <col min="16142" max="16142" width="13.83203125" style="302" customWidth="1"/>
    <col min="16143" max="16384" width="9.33203125" style="302"/>
  </cols>
  <sheetData>
    <row r="2" spans="1:14" ht="30" customHeight="1" x14ac:dyDescent="0.2">
      <c r="A2" s="2812" t="s">
        <v>409</v>
      </c>
      <c r="B2" s="2812"/>
      <c r="C2" s="2812"/>
      <c r="D2" s="2812"/>
      <c r="E2" s="2812"/>
      <c r="F2" s="2812"/>
      <c r="G2" s="2812"/>
      <c r="H2" s="2812"/>
      <c r="I2" s="2812"/>
      <c r="J2" s="2812"/>
      <c r="K2" s="2812"/>
      <c r="L2" s="2812"/>
      <c r="M2" s="2812"/>
      <c r="N2" s="2812"/>
    </row>
    <row r="4" spans="1:14" x14ac:dyDescent="0.2">
      <c r="A4" s="2813" t="s">
        <v>1256</v>
      </c>
      <c r="B4" s="2813"/>
      <c r="C4" s="2813"/>
      <c r="D4" s="2813"/>
      <c r="E4" s="2813"/>
      <c r="F4" s="2813"/>
      <c r="G4" s="2813"/>
      <c r="H4" s="2813"/>
      <c r="I4" s="2813"/>
      <c r="J4" s="2813"/>
      <c r="K4" s="2813"/>
      <c r="L4" s="2813"/>
      <c r="M4" s="2813"/>
      <c r="N4" s="2813"/>
    </row>
    <row r="5" spans="1:14" x14ac:dyDescent="0.2">
      <c r="N5" s="312" t="s">
        <v>1689</v>
      </c>
    </row>
    <row r="6" spans="1:14" s="296" customFormat="1" x14ac:dyDescent="0.2">
      <c r="A6" s="2814"/>
      <c r="B6" s="2814"/>
      <c r="C6" s="2811" t="s">
        <v>232</v>
      </c>
      <c r="D6" s="2811"/>
      <c r="E6" s="2811"/>
      <c r="F6" s="2811"/>
      <c r="G6" s="2811" t="s">
        <v>233</v>
      </c>
      <c r="H6" s="2811"/>
      <c r="I6" s="2811"/>
      <c r="J6" s="2811"/>
      <c r="K6" s="2811" t="s">
        <v>234</v>
      </c>
      <c r="L6" s="2811"/>
      <c r="M6" s="2811"/>
      <c r="N6" s="2811"/>
    </row>
    <row r="7" spans="1:14" s="296" customFormat="1" ht="38.25" x14ac:dyDescent="0.2">
      <c r="A7" s="2814"/>
      <c r="B7" s="2814"/>
      <c r="C7" s="297" t="s">
        <v>8</v>
      </c>
      <c r="D7" s="297" t="s">
        <v>235</v>
      </c>
      <c r="E7" s="297" t="s">
        <v>236</v>
      </c>
      <c r="F7" s="297" t="s">
        <v>237</v>
      </c>
      <c r="G7" s="297" t="s">
        <v>8</v>
      </c>
      <c r="H7" s="297" t="s">
        <v>235</v>
      </c>
      <c r="I7" s="297" t="s">
        <v>236</v>
      </c>
      <c r="J7" s="297" t="s">
        <v>237</v>
      </c>
      <c r="K7" s="297" t="s">
        <v>8</v>
      </c>
      <c r="L7" s="297" t="s">
        <v>235</v>
      </c>
      <c r="M7" s="297" t="s">
        <v>236</v>
      </c>
      <c r="N7" s="297" t="s">
        <v>237</v>
      </c>
    </row>
    <row r="8" spans="1:14" x14ac:dyDescent="0.2">
      <c r="A8" s="298" t="s">
        <v>238</v>
      </c>
      <c r="B8" s="299">
        <v>931</v>
      </c>
      <c r="C8" s="932">
        <v>768.5</v>
      </c>
      <c r="D8" s="933">
        <v>8.08</v>
      </c>
      <c r="E8" s="934">
        <v>706.4</v>
      </c>
      <c r="F8" s="935">
        <v>62.1</v>
      </c>
      <c r="G8" s="300">
        <v>768.5</v>
      </c>
      <c r="H8" s="301">
        <v>8.08</v>
      </c>
      <c r="I8" s="300">
        <v>706.4</v>
      </c>
      <c r="J8" s="936">
        <v>62.1</v>
      </c>
      <c r="K8" s="300">
        <v>768.5</v>
      </c>
      <c r="L8" s="301">
        <v>8.08</v>
      </c>
      <c r="M8" s="300">
        <v>706.4</v>
      </c>
      <c r="N8" s="936">
        <v>62.1</v>
      </c>
    </row>
    <row r="9" spans="1:14" x14ac:dyDescent="0.2">
      <c r="A9" s="298" t="s">
        <v>239</v>
      </c>
      <c r="B9" s="299">
        <v>932</v>
      </c>
      <c r="C9" s="932">
        <v>150.69999999999999</v>
      </c>
      <c r="D9" s="933">
        <v>8.08</v>
      </c>
      <c r="E9" s="934">
        <v>138.5</v>
      </c>
      <c r="F9" s="935">
        <v>12.2</v>
      </c>
      <c r="G9" s="300">
        <v>150.69999999999999</v>
      </c>
      <c r="H9" s="301">
        <v>8.08</v>
      </c>
      <c r="I9" s="300">
        <v>138.5</v>
      </c>
      <c r="J9" s="936">
        <v>12.2</v>
      </c>
      <c r="K9" s="300">
        <v>150.69999999999999</v>
      </c>
      <c r="L9" s="301">
        <v>8.08</v>
      </c>
      <c r="M9" s="300">
        <v>138.5</v>
      </c>
      <c r="N9" s="936">
        <v>12.2</v>
      </c>
    </row>
    <row r="10" spans="1:14" ht="15.75" x14ac:dyDescent="0.2">
      <c r="A10" s="298" t="s">
        <v>240</v>
      </c>
      <c r="B10" s="299">
        <v>933</v>
      </c>
      <c r="C10" s="932">
        <v>170.8</v>
      </c>
      <c r="D10" s="933">
        <v>8.08</v>
      </c>
      <c r="E10" s="934">
        <v>157</v>
      </c>
      <c r="F10" s="935">
        <v>13.8</v>
      </c>
      <c r="G10" s="300">
        <v>170.8</v>
      </c>
      <c r="H10" s="301">
        <v>8.08</v>
      </c>
      <c r="I10" s="300">
        <v>157</v>
      </c>
      <c r="J10" s="936">
        <v>13.8</v>
      </c>
      <c r="K10" s="300">
        <v>170.8</v>
      </c>
      <c r="L10" s="301">
        <v>8.08</v>
      </c>
      <c r="M10" s="300">
        <v>157</v>
      </c>
      <c r="N10" s="936">
        <v>13.8</v>
      </c>
    </row>
    <row r="11" spans="1:14" ht="25.5" x14ac:dyDescent="0.2">
      <c r="A11" s="298" t="s">
        <v>241</v>
      </c>
      <c r="B11" s="299">
        <v>931</v>
      </c>
      <c r="C11" s="932">
        <v>75.599999999999994</v>
      </c>
      <c r="D11" s="933">
        <v>8.08</v>
      </c>
      <c r="E11" s="934">
        <v>69.5</v>
      </c>
      <c r="F11" s="935">
        <v>6.1</v>
      </c>
      <c r="G11" s="300">
        <v>75.599999999999994</v>
      </c>
      <c r="H11" s="301">
        <v>8.08</v>
      </c>
      <c r="I11" s="300">
        <v>69.5</v>
      </c>
      <c r="J11" s="936">
        <v>6.1</v>
      </c>
      <c r="K11" s="300">
        <v>75.599999999999994</v>
      </c>
      <c r="L11" s="301">
        <v>8.08</v>
      </c>
      <c r="M11" s="300">
        <v>69.5</v>
      </c>
      <c r="N11" s="936">
        <v>6.1</v>
      </c>
    </row>
    <row r="12" spans="1:14" ht="25.5" x14ac:dyDescent="0.2">
      <c r="A12" s="298" t="s">
        <v>242</v>
      </c>
      <c r="B12" s="299">
        <v>931</v>
      </c>
      <c r="C12" s="932">
        <v>10.4</v>
      </c>
      <c r="D12" s="933">
        <v>8.08</v>
      </c>
      <c r="E12" s="934">
        <v>9.6</v>
      </c>
      <c r="F12" s="935">
        <v>0.8</v>
      </c>
      <c r="G12" s="300">
        <v>10.4</v>
      </c>
      <c r="H12" s="301">
        <v>8.08</v>
      </c>
      <c r="I12" s="300">
        <v>9.6</v>
      </c>
      <c r="J12" s="936">
        <v>0.8</v>
      </c>
      <c r="K12" s="300">
        <v>10.4</v>
      </c>
      <c r="L12" s="301">
        <v>8.08</v>
      </c>
      <c r="M12" s="300">
        <v>9.6</v>
      </c>
      <c r="N12" s="936">
        <v>0.8</v>
      </c>
    </row>
    <row r="13" spans="1:14" ht="15.75" x14ac:dyDescent="0.2">
      <c r="A13" s="298" t="s">
        <v>243</v>
      </c>
      <c r="B13" s="299">
        <v>933</v>
      </c>
      <c r="C13" s="932">
        <v>149.5</v>
      </c>
      <c r="D13" s="933">
        <v>8.08</v>
      </c>
      <c r="E13" s="934">
        <v>137.5</v>
      </c>
      <c r="F13" s="935">
        <v>12.1</v>
      </c>
      <c r="G13" s="300">
        <v>149.5</v>
      </c>
      <c r="H13" s="301">
        <v>8.08</v>
      </c>
      <c r="I13" s="300">
        <v>137.5</v>
      </c>
      <c r="J13" s="936">
        <v>12.1</v>
      </c>
      <c r="K13" s="300">
        <v>149.5</v>
      </c>
      <c r="L13" s="301">
        <v>8.08</v>
      </c>
      <c r="M13" s="300">
        <v>137.5</v>
      </c>
      <c r="N13" s="936">
        <v>12.1</v>
      </c>
    </row>
    <row r="14" spans="1:14" s="296" customFormat="1" ht="13.5" thickBot="1" x14ac:dyDescent="0.25">
      <c r="A14" s="2811" t="s">
        <v>72</v>
      </c>
      <c r="B14" s="2811"/>
      <c r="C14" s="937">
        <v>1325.5</v>
      </c>
      <c r="D14" s="938">
        <v>8.08</v>
      </c>
      <c r="E14" s="939">
        <v>1218.4000000000001</v>
      </c>
      <c r="F14" s="940">
        <v>107.1</v>
      </c>
      <c r="G14" s="303">
        <v>1325.5</v>
      </c>
      <c r="H14" s="304">
        <v>8.08</v>
      </c>
      <c r="I14" s="303">
        <v>1218.4000000000001</v>
      </c>
      <c r="J14" s="941">
        <v>107.1</v>
      </c>
      <c r="K14" s="303">
        <v>1325.5</v>
      </c>
      <c r="L14" s="304">
        <v>8.08</v>
      </c>
      <c r="M14" s="303">
        <v>1218.4000000000001</v>
      </c>
      <c r="N14" s="941">
        <v>107.1</v>
      </c>
    </row>
    <row r="15" spans="1:14" x14ac:dyDescent="0.2">
      <c r="A15" s="300"/>
      <c r="B15" s="305">
        <v>931</v>
      </c>
      <c r="C15" s="942">
        <v>854.4</v>
      </c>
      <c r="D15" s="943">
        <v>8.08</v>
      </c>
      <c r="E15" s="944">
        <v>785.4</v>
      </c>
      <c r="F15" s="945">
        <v>69</v>
      </c>
      <c r="G15" s="300">
        <v>854.4</v>
      </c>
      <c r="H15" s="301">
        <v>8.08</v>
      </c>
      <c r="I15" s="300">
        <v>785.4</v>
      </c>
      <c r="J15" s="936">
        <v>69</v>
      </c>
      <c r="K15" s="300">
        <v>854.4</v>
      </c>
      <c r="L15" s="301">
        <v>8.08</v>
      </c>
      <c r="M15" s="300">
        <v>785.4</v>
      </c>
      <c r="N15" s="936">
        <v>69</v>
      </c>
    </row>
    <row r="16" spans="1:14" x14ac:dyDescent="0.2">
      <c r="A16" s="300"/>
      <c r="B16" s="305">
        <v>932</v>
      </c>
      <c r="C16" s="932">
        <v>150.69999999999999</v>
      </c>
      <c r="D16" s="933">
        <v>8.08</v>
      </c>
      <c r="E16" s="934">
        <v>138.5</v>
      </c>
      <c r="F16" s="935">
        <v>12.2</v>
      </c>
      <c r="G16" s="300">
        <v>150.69999999999999</v>
      </c>
      <c r="H16" s="301">
        <v>8.08</v>
      </c>
      <c r="I16" s="300">
        <v>138.5</v>
      </c>
      <c r="J16" s="936">
        <v>12.2</v>
      </c>
      <c r="K16" s="300">
        <v>150.69999999999999</v>
      </c>
      <c r="L16" s="301">
        <v>8.08</v>
      </c>
      <c r="M16" s="300">
        <v>138.5</v>
      </c>
      <c r="N16" s="936">
        <v>12.2</v>
      </c>
    </row>
    <row r="17" spans="1:14" x14ac:dyDescent="0.2">
      <c r="A17" s="300"/>
      <c r="B17" s="305">
        <v>933</v>
      </c>
      <c r="C17" s="932">
        <v>320.3</v>
      </c>
      <c r="D17" s="933">
        <v>8.08</v>
      </c>
      <c r="E17" s="934">
        <v>294.5</v>
      </c>
      <c r="F17" s="935">
        <v>25.9</v>
      </c>
      <c r="G17" s="300">
        <v>320.3</v>
      </c>
      <c r="H17" s="301">
        <v>8.08</v>
      </c>
      <c r="I17" s="300">
        <v>294.5</v>
      </c>
      <c r="J17" s="936">
        <v>25.9</v>
      </c>
      <c r="K17" s="300">
        <v>320.3</v>
      </c>
      <c r="L17" s="301">
        <v>8.08</v>
      </c>
      <c r="M17" s="300">
        <v>294.5</v>
      </c>
      <c r="N17" s="936">
        <v>25.9</v>
      </c>
    </row>
    <row r="18" spans="1:14" s="296" customFormat="1" x14ac:dyDescent="0.2">
      <c r="A18" s="303"/>
      <c r="B18" s="775" t="s">
        <v>244</v>
      </c>
      <c r="C18" s="946">
        <v>1325.5</v>
      </c>
      <c r="D18" s="947">
        <v>8.08</v>
      </c>
      <c r="E18" s="948">
        <v>1218.4000000000001</v>
      </c>
      <c r="F18" s="949">
        <v>107.1</v>
      </c>
      <c r="G18" s="303">
        <v>1325.5</v>
      </c>
      <c r="H18" s="304">
        <v>8.08</v>
      </c>
      <c r="I18" s="303">
        <v>1218.4000000000001</v>
      </c>
      <c r="J18" s="941">
        <v>107.1</v>
      </c>
      <c r="K18" s="303">
        <v>1325.5</v>
      </c>
      <c r="L18" s="304">
        <v>8.08</v>
      </c>
      <c r="M18" s="303">
        <v>1218.4000000000001</v>
      </c>
      <c r="N18" s="941">
        <v>107.1</v>
      </c>
    </row>
    <row r="19" spans="1:14" ht="13.5" thickBot="1" x14ac:dyDescent="0.25">
      <c r="A19" s="300"/>
      <c r="B19" s="306" t="s">
        <v>245</v>
      </c>
      <c r="C19" s="950">
        <v>0</v>
      </c>
      <c r="D19" s="951">
        <v>0</v>
      </c>
      <c r="E19" s="951">
        <v>0</v>
      </c>
      <c r="F19" s="952">
        <v>0</v>
      </c>
      <c r="G19" s="300">
        <v>0</v>
      </c>
      <c r="H19" s="300">
        <v>0</v>
      </c>
      <c r="I19" s="300">
        <v>0</v>
      </c>
      <c r="J19" s="936">
        <v>0</v>
      </c>
      <c r="K19" s="300">
        <v>0</v>
      </c>
      <c r="L19" s="300">
        <v>0</v>
      </c>
      <c r="M19" s="300">
        <v>0</v>
      </c>
      <c r="N19" s="936">
        <v>0</v>
      </c>
    </row>
    <row r="21" spans="1:14" x14ac:dyDescent="0.2">
      <c r="A21" s="300" t="s">
        <v>1313</v>
      </c>
      <c r="B21" s="953">
        <v>2020</v>
      </c>
      <c r="C21" s="953">
        <v>2021</v>
      </c>
      <c r="D21" s="953">
        <v>2022</v>
      </c>
      <c r="F21" s="300" t="s">
        <v>1314</v>
      </c>
      <c r="G21" s="953">
        <v>2020</v>
      </c>
      <c r="H21" s="953">
        <v>2021</v>
      </c>
      <c r="I21" s="953">
        <v>2022</v>
      </c>
      <c r="K21" s="300" t="s">
        <v>1315</v>
      </c>
      <c r="L21" s="953">
        <v>2020</v>
      </c>
      <c r="M21" s="953">
        <v>2021</v>
      </c>
      <c r="N21" s="953">
        <v>2022</v>
      </c>
    </row>
    <row r="22" spans="1:14" x14ac:dyDescent="0.2">
      <c r="A22" s="300" t="s">
        <v>1310</v>
      </c>
      <c r="B22" s="724">
        <v>49.85</v>
      </c>
      <c r="C22" s="724">
        <v>49.85</v>
      </c>
      <c r="D22" s="724">
        <v>49.85</v>
      </c>
      <c r="F22" s="300" t="s">
        <v>1310</v>
      </c>
      <c r="G22" s="724">
        <v>3.72</v>
      </c>
      <c r="H22" s="724">
        <f>G22</f>
        <v>3.72</v>
      </c>
      <c r="I22" s="724">
        <f>G22</f>
        <v>3.72</v>
      </c>
      <c r="K22" s="300" t="s">
        <v>1310</v>
      </c>
      <c r="L22" s="724">
        <v>18.64</v>
      </c>
      <c r="M22" s="724">
        <f>L22</f>
        <v>18.64</v>
      </c>
      <c r="N22" s="724">
        <f>L22</f>
        <v>18.64</v>
      </c>
    </row>
    <row r="23" spans="1:14" x14ac:dyDescent="0.2">
      <c r="A23" s="300" t="s">
        <v>1312</v>
      </c>
      <c r="B23" s="724">
        <f>'расходы самоокупаемые (01.01.20'!H15</f>
        <v>19.149999999999999</v>
      </c>
      <c r="C23" s="724">
        <f>B23</f>
        <v>19.149999999999999</v>
      </c>
      <c r="D23" s="724">
        <f>B23</f>
        <v>19.149999999999999</v>
      </c>
      <c r="F23" s="300" t="s">
        <v>1312</v>
      </c>
      <c r="G23" s="724">
        <f>'расходы самоокупаемые (01.01.20'!H16</f>
        <v>8.48</v>
      </c>
      <c r="H23" s="724">
        <f>G23</f>
        <v>8.48</v>
      </c>
      <c r="I23" s="724">
        <f>G23</f>
        <v>8.48</v>
      </c>
      <c r="K23" s="300" t="s">
        <v>1312</v>
      </c>
      <c r="L23" s="724">
        <v>7.26</v>
      </c>
      <c r="M23" s="724">
        <f>L23</f>
        <v>7.26</v>
      </c>
      <c r="N23" s="724">
        <f>L23</f>
        <v>7.26</v>
      </c>
    </row>
    <row r="24" spans="1:14" x14ac:dyDescent="0.2">
      <c r="A24" s="300" t="s">
        <v>97</v>
      </c>
      <c r="B24" s="724">
        <f>SUM(B22:B23)</f>
        <v>69</v>
      </c>
      <c r="C24" s="724">
        <f t="shared" ref="C24:D24" si="0">SUM(C22:C23)</f>
        <v>69</v>
      </c>
      <c r="D24" s="724">
        <f t="shared" si="0"/>
        <v>69</v>
      </c>
      <c r="F24" s="300" t="s">
        <v>97</v>
      </c>
      <c r="G24" s="724">
        <f>SUM(G22:G23)</f>
        <v>12.2</v>
      </c>
      <c r="H24" s="724">
        <f t="shared" ref="H24" si="1">SUM(H22:H23)</f>
        <v>12.2</v>
      </c>
      <c r="I24" s="724">
        <f t="shared" ref="I24" si="2">SUM(I22:I23)</f>
        <v>12.2</v>
      </c>
      <c r="K24" s="300" t="s">
        <v>97</v>
      </c>
      <c r="L24" s="724">
        <f>SUM(L22:L23)</f>
        <v>25.9</v>
      </c>
      <c r="M24" s="724">
        <f t="shared" ref="M24" si="3">SUM(M22:M23)</f>
        <v>25.9</v>
      </c>
      <c r="N24" s="724">
        <f t="shared" ref="N24" si="4">SUM(N22:N23)</f>
        <v>25.9</v>
      </c>
    </row>
    <row r="26" spans="1:14" ht="25.5" x14ac:dyDescent="0.2">
      <c r="F26" s="954" t="s">
        <v>1316</v>
      </c>
      <c r="G26" s="953">
        <v>2020</v>
      </c>
      <c r="H26" s="953">
        <v>2021</v>
      </c>
      <c r="I26" s="953">
        <v>2022</v>
      </c>
    </row>
    <row r="27" spans="1:14" x14ac:dyDescent="0.2">
      <c r="F27" s="300" t="s">
        <v>1310</v>
      </c>
      <c r="G27" s="724">
        <f>B22+G22+L22</f>
        <v>72.209999999999994</v>
      </c>
      <c r="H27" s="724">
        <f t="shared" ref="H27:I27" si="5">C22+H22+M22</f>
        <v>72.209999999999994</v>
      </c>
      <c r="I27" s="724">
        <f t="shared" si="5"/>
        <v>72.209999999999994</v>
      </c>
    </row>
    <row r="28" spans="1:14" x14ac:dyDescent="0.2">
      <c r="F28" s="300" t="s">
        <v>1312</v>
      </c>
      <c r="G28" s="724">
        <f>B23+G23+L23</f>
        <v>34.89</v>
      </c>
      <c r="H28" s="724">
        <f t="shared" ref="H28" si="6">C23+H23+M23</f>
        <v>34.89</v>
      </c>
      <c r="I28" s="724">
        <f t="shared" ref="I28" si="7">D23+I23+N23</f>
        <v>34.89</v>
      </c>
    </row>
    <row r="29" spans="1:14" x14ac:dyDescent="0.2">
      <c r="F29" s="300" t="s">
        <v>97</v>
      </c>
      <c r="G29" s="724">
        <f>SUM(G27:G28)</f>
        <v>107.1</v>
      </c>
      <c r="H29" s="724">
        <f t="shared" ref="H29" si="8">SUM(H27:H28)</f>
        <v>107.1</v>
      </c>
      <c r="I29" s="724">
        <f t="shared" ref="I29" si="9">SUM(I27:I28)</f>
        <v>107.1</v>
      </c>
    </row>
  </sheetData>
  <mergeCells count="8">
    <mergeCell ref="A14:B14"/>
    <mergeCell ref="A2:N2"/>
    <mergeCell ref="A4:N4"/>
    <mergeCell ref="A6:A7"/>
    <mergeCell ref="B6:B7"/>
    <mergeCell ref="C6:F6"/>
    <mergeCell ref="G6:J6"/>
    <mergeCell ref="K6:N6"/>
  </mergeCells>
  <pageMargins left="0.70866141732283472" right="0.70866141732283472" top="0.74803149606299213" bottom="0.74803149606299213" header="0.31496062992125984" footer="0.31496062992125984"/>
  <pageSetup paperSize="9" scale="8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A111"/>
  <sheetViews>
    <sheetView view="pageBreakPreview" topLeftCell="A46" zoomScale="60" zoomScaleNormal="100" workbookViewId="0">
      <selection activeCell="D11" sqref="D11:M12"/>
    </sheetView>
  </sheetViews>
  <sheetFormatPr defaultRowHeight="15.75" x14ac:dyDescent="0.2"/>
  <cols>
    <col min="1" max="1" width="77.33203125" style="566" customWidth="1"/>
    <col min="2" max="2" width="9.33203125" style="2081" customWidth="1"/>
    <col min="3" max="3" width="16.33203125" style="566" customWidth="1"/>
    <col min="4" max="4" width="23.1640625" style="566" customWidth="1"/>
    <col min="5" max="5" width="23.6640625" style="566" customWidth="1"/>
    <col min="6" max="6" width="21.1640625" style="566" customWidth="1"/>
    <col min="7" max="7" width="24.83203125" style="566" customWidth="1"/>
    <col min="8" max="8" width="19.33203125" style="566" customWidth="1"/>
    <col min="9" max="9" width="30.1640625" style="566" customWidth="1"/>
    <col min="10" max="10" width="24.33203125" style="566" customWidth="1"/>
    <col min="11" max="11" width="26.83203125" style="566" customWidth="1"/>
    <col min="12" max="13" width="23.1640625" style="566" customWidth="1"/>
    <col min="14" max="14" width="19.33203125" style="566" bestFit="1" customWidth="1"/>
    <col min="15" max="16384" width="9.33203125" style="566"/>
  </cols>
  <sheetData>
    <row r="1" spans="1:13" x14ac:dyDescent="0.2">
      <c r="D1" s="568"/>
      <c r="E1" s="568"/>
      <c r="F1" s="568"/>
      <c r="G1" s="568"/>
      <c r="H1" s="568"/>
      <c r="I1" s="568"/>
      <c r="J1" s="568"/>
      <c r="K1" s="568"/>
      <c r="L1" s="568"/>
      <c r="M1" s="568"/>
    </row>
    <row r="2" spans="1:13" x14ac:dyDescent="0.2">
      <c r="D2" s="568"/>
      <c r="E2" s="568"/>
      <c r="F2" s="568"/>
      <c r="G2" s="568"/>
      <c r="H2" s="568"/>
      <c r="I2" s="568"/>
      <c r="J2" s="2290"/>
      <c r="K2" s="2290"/>
      <c r="L2" s="2290"/>
      <c r="M2" s="2290"/>
    </row>
    <row r="3" spans="1:13" ht="18.75" hidden="1" customHeight="1" x14ac:dyDescent="0.2">
      <c r="D3" s="568"/>
      <c r="E3" s="2290"/>
      <c r="F3" s="2290"/>
      <c r="G3" s="2290"/>
      <c r="H3" s="2290"/>
      <c r="I3" s="2290"/>
      <c r="J3" s="568"/>
      <c r="K3" s="568"/>
      <c r="L3" s="568"/>
      <c r="M3" s="568"/>
    </row>
    <row r="4" spans="1:13" ht="40.5" customHeight="1" x14ac:dyDescent="0.2">
      <c r="D4" s="568"/>
      <c r="E4" s="568"/>
      <c r="F4" s="568"/>
      <c r="G4" s="568"/>
      <c r="H4" s="568"/>
      <c r="I4" s="568"/>
      <c r="J4" s="568"/>
      <c r="K4" s="568"/>
      <c r="L4" s="568"/>
      <c r="M4" s="2078"/>
    </row>
    <row r="5" spans="1:13" x14ac:dyDescent="0.2">
      <c r="A5" s="566" t="s">
        <v>948</v>
      </c>
      <c r="D5" s="568"/>
      <c r="E5" s="568"/>
      <c r="F5" s="568"/>
      <c r="G5" s="568"/>
      <c r="H5" s="568"/>
      <c r="I5" s="568"/>
      <c r="J5" s="568"/>
      <c r="K5" s="2274"/>
      <c r="L5" s="2274"/>
      <c r="M5" s="568"/>
    </row>
    <row r="6" spans="1:13" x14ac:dyDescent="0.2">
      <c r="A6" s="566" t="s">
        <v>1675</v>
      </c>
      <c r="B6" s="568"/>
      <c r="C6" s="568"/>
      <c r="D6" s="568"/>
      <c r="E6" s="568"/>
      <c r="F6" s="568"/>
      <c r="G6" s="568"/>
      <c r="H6" s="568"/>
      <c r="I6" s="568"/>
      <c r="J6" s="568"/>
      <c r="K6" s="2274"/>
      <c r="L6" s="2274"/>
      <c r="M6" s="568"/>
    </row>
    <row r="7" spans="1:13" x14ac:dyDescent="0.2">
      <c r="D7" s="568"/>
      <c r="E7" s="568"/>
      <c r="F7" s="568"/>
      <c r="G7" s="568"/>
      <c r="H7" s="568"/>
      <c r="I7" s="568"/>
      <c r="J7" s="568"/>
      <c r="K7" s="568"/>
      <c r="L7" s="2079"/>
      <c r="M7" s="568"/>
    </row>
    <row r="8" spans="1:13" x14ac:dyDescent="0.2">
      <c r="D8" s="568"/>
      <c r="E8" s="568"/>
      <c r="F8" s="568"/>
      <c r="G8" s="568"/>
      <c r="H8" s="568"/>
      <c r="I8" s="568"/>
      <c r="J8" s="568"/>
      <c r="K8" s="568"/>
      <c r="L8" s="2212"/>
      <c r="M8" s="568"/>
    </row>
    <row r="9" spans="1:13" x14ac:dyDescent="0.2">
      <c r="A9" s="566" t="s">
        <v>1674</v>
      </c>
      <c r="B9" s="568"/>
      <c r="C9" s="568"/>
      <c r="D9" s="568"/>
      <c r="E9" s="568"/>
      <c r="F9" s="568"/>
      <c r="G9" s="568"/>
      <c r="H9" s="568"/>
      <c r="I9" s="568"/>
      <c r="J9" s="568"/>
      <c r="K9" s="568"/>
      <c r="L9" s="2212"/>
      <c r="M9" s="568"/>
    </row>
    <row r="10" spans="1:13" x14ac:dyDescent="0.2">
      <c r="A10" s="566" t="s">
        <v>952</v>
      </c>
      <c r="D10" s="568"/>
      <c r="E10" s="568"/>
      <c r="F10" s="568"/>
      <c r="G10" s="568"/>
      <c r="H10" s="568"/>
      <c r="I10" s="568"/>
      <c r="J10" s="568"/>
      <c r="K10" s="568"/>
      <c r="L10" s="2212"/>
      <c r="M10" s="568"/>
    </row>
    <row r="11" spans="1:13" x14ac:dyDescent="0.2">
      <c r="D11" s="753">
        <f t="shared" ref="D11:M11" si="0">D22-D46</f>
        <v>0</v>
      </c>
      <c r="E11" s="753">
        <f t="shared" si="0"/>
        <v>0</v>
      </c>
      <c r="F11" s="753">
        <f t="shared" si="0"/>
        <v>0</v>
      </c>
      <c r="G11" s="753">
        <f t="shared" si="0"/>
        <v>0</v>
      </c>
      <c r="H11" s="753">
        <f t="shared" si="0"/>
        <v>0</v>
      </c>
      <c r="I11" s="753">
        <f t="shared" si="0"/>
        <v>0</v>
      </c>
      <c r="J11" s="753">
        <f t="shared" si="0"/>
        <v>0</v>
      </c>
      <c r="K11" s="753">
        <f t="shared" si="0"/>
        <v>0</v>
      </c>
      <c r="L11" s="753">
        <f t="shared" si="0"/>
        <v>0</v>
      </c>
      <c r="M11" s="753">
        <f t="shared" si="0"/>
        <v>0</v>
      </c>
    </row>
    <row r="12" spans="1:13" x14ac:dyDescent="0.2">
      <c r="D12" s="753">
        <f>E23+F23+G23+H23+J23+L23+M23-D23+I23+K23</f>
        <v>0</v>
      </c>
      <c r="E12" s="753">
        <f>36257900-E22</f>
        <v>0</v>
      </c>
      <c r="F12" s="753">
        <f>0-F22</f>
        <v>0</v>
      </c>
      <c r="G12" s="753">
        <f>760500-G22</f>
        <v>0</v>
      </c>
      <c r="H12" s="753">
        <f>0-H22</f>
        <v>0</v>
      </c>
      <c r="I12" s="753">
        <f>145800-I22</f>
        <v>0</v>
      </c>
      <c r="J12" s="756"/>
      <c r="K12" s="753">
        <f>0-K22</f>
        <v>0</v>
      </c>
      <c r="L12" s="757">
        <f>3044300-L22</f>
        <v>0</v>
      </c>
      <c r="M12" s="754"/>
    </row>
    <row r="13" spans="1:13" x14ac:dyDescent="0.2">
      <c r="D13" s="568"/>
      <c r="E13" s="568"/>
      <c r="F13" s="568"/>
      <c r="G13" s="568"/>
      <c r="H13" s="568"/>
      <c r="I13" s="568"/>
      <c r="J13" s="568"/>
      <c r="K13" s="568"/>
      <c r="L13" s="568"/>
      <c r="M13" s="568"/>
    </row>
    <row r="14" spans="1:13" ht="31.5" customHeight="1" x14ac:dyDescent="0.2">
      <c r="A14" s="2269" t="s">
        <v>955</v>
      </c>
      <c r="B14" s="2269"/>
      <c r="C14" s="2269"/>
      <c r="D14" s="2269"/>
      <c r="E14" s="2269"/>
      <c r="F14" s="2269"/>
      <c r="G14" s="2269"/>
      <c r="H14" s="2269"/>
      <c r="I14" s="2269"/>
      <c r="J14" s="2269"/>
      <c r="K14" s="2269"/>
      <c r="L14" s="2269"/>
      <c r="M14" s="2269"/>
    </row>
    <row r="15" spans="1:13" ht="17.25" customHeight="1" x14ac:dyDescent="0.2">
      <c r="A15" s="2275" t="s">
        <v>416</v>
      </c>
      <c r="B15" s="2278" t="s">
        <v>417</v>
      </c>
      <c r="C15" s="2278" t="s">
        <v>956</v>
      </c>
      <c r="D15" s="2281" t="s">
        <v>957</v>
      </c>
      <c r="E15" s="2281"/>
      <c r="F15" s="2281"/>
      <c r="G15" s="2281"/>
      <c r="H15" s="2281"/>
      <c r="I15" s="2281"/>
      <c r="J15" s="2281"/>
      <c r="K15" s="2281"/>
      <c r="L15" s="2281"/>
      <c r="M15" s="2281"/>
    </row>
    <row r="16" spans="1:13" ht="30" customHeight="1" x14ac:dyDescent="0.2">
      <c r="A16" s="2276"/>
      <c r="B16" s="2279"/>
      <c r="C16" s="2279"/>
      <c r="D16" s="2282" t="s">
        <v>960</v>
      </c>
      <c r="E16" s="2283"/>
      <c r="F16" s="2283"/>
      <c r="G16" s="2283"/>
      <c r="H16" s="2283"/>
      <c r="I16" s="2283"/>
      <c r="J16" s="2283"/>
      <c r="K16" s="2283"/>
      <c r="L16" s="2283"/>
      <c r="M16" s="2284"/>
    </row>
    <row r="17" spans="1:27" ht="24.75" customHeight="1" x14ac:dyDescent="0.2">
      <c r="A17" s="2276"/>
      <c r="B17" s="2279"/>
      <c r="C17" s="2279"/>
      <c r="D17" s="2282" t="s">
        <v>1677</v>
      </c>
      <c r="E17" s="2283"/>
      <c r="F17" s="2283"/>
      <c r="G17" s="2283"/>
      <c r="H17" s="2283"/>
      <c r="I17" s="2283"/>
      <c r="J17" s="2283"/>
      <c r="K17" s="2283"/>
      <c r="L17" s="2283"/>
      <c r="M17" s="2284"/>
    </row>
    <row r="18" spans="1:27" ht="179.25" customHeight="1" x14ac:dyDescent="0.2">
      <c r="A18" s="2277"/>
      <c r="B18" s="2280"/>
      <c r="C18" s="2280"/>
      <c r="D18" s="2080" t="s">
        <v>244</v>
      </c>
      <c r="E18" s="2080" t="s">
        <v>962</v>
      </c>
      <c r="F18" s="2080" t="s">
        <v>963</v>
      </c>
      <c r="G18" s="2080" t="s">
        <v>906</v>
      </c>
      <c r="H18" s="2080" t="s">
        <v>907</v>
      </c>
      <c r="I18" s="2080" t="s">
        <v>908</v>
      </c>
      <c r="J18" s="2080" t="s">
        <v>910</v>
      </c>
      <c r="K18" s="2080" t="s">
        <v>912</v>
      </c>
      <c r="L18" s="2080" t="s">
        <v>931</v>
      </c>
      <c r="M18" s="573" t="s">
        <v>932</v>
      </c>
    </row>
    <row r="19" spans="1:27" ht="17.25" customHeight="1" x14ac:dyDescent="0.2">
      <c r="A19" s="574">
        <v>1</v>
      </c>
      <c r="B19" s="2080">
        <v>2</v>
      </c>
      <c r="C19" s="2080">
        <v>3</v>
      </c>
      <c r="D19" s="2080">
        <v>26</v>
      </c>
      <c r="E19" s="2080">
        <v>27</v>
      </c>
      <c r="F19" s="2080">
        <v>28</v>
      </c>
      <c r="G19" s="2080">
        <v>29</v>
      </c>
      <c r="H19" s="2080">
        <v>30</v>
      </c>
      <c r="I19" s="2080">
        <v>31</v>
      </c>
      <c r="J19" s="2080">
        <v>33</v>
      </c>
      <c r="K19" s="2080">
        <v>34</v>
      </c>
      <c r="L19" s="2080">
        <v>35</v>
      </c>
      <c r="M19" s="2080">
        <v>36</v>
      </c>
    </row>
    <row r="20" spans="1:27" ht="22.5" customHeight="1" x14ac:dyDescent="0.3">
      <c r="A20" s="575" t="s">
        <v>964</v>
      </c>
      <c r="B20" s="2080" t="s">
        <v>965</v>
      </c>
      <c r="C20" s="2080" t="s">
        <v>859</v>
      </c>
      <c r="D20" s="576"/>
      <c r="E20" s="577"/>
      <c r="F20" s="577"/>
      <c r="G20" s="577"/>
      <c r="H20" s="577"/>
      <c r="I20" s="577"/>
      <c r="J20" s="577"/>
      <c r="K20" s="578"/>
      <c r="L20" s="577"/>
      <c r="M20" s="577"/>
      <c r="N20" s="579"/>
    </row>
    <row r="21" spans="1:27" ht="31.5" customHeight="1" x14ac:dyDescent="0.2">
      <c r="A21" s="575" t="s">
        <v>966</v>
      </c>
      <c r="B21" s="2080" t="s">
        <v>967</v>
      </c>
      <c r="C21" s="2080" t="s">
        <v>859</v>
      </c>
      <c r="D21" s="576"/>
      <c r="E21" s="578"/>
      <c r="F21" s="578"/>
      <c r="G21" s="578"/>
      <c r="H21" s="578"/>
      <c r="I21" s="578"/>
      <c r="J21" s="578"/>
      <c r="L21" s="578"/>
      <c r="M21" s="578"/>
    </row>
    <row r="22" spans="1:27" s="584" customFormat="1" ht="27" customHeight="1" x14ac:dyDescent="0.2">
      <c r="A22" s="580" t="s">
        <v>968</v>
      </c>
      <c r="B22" s="581" t="s">
        <v>969</v>
      </c>
      <c r="C22" s="581"/>
      <c r="D22" s="582">
        <f>SUM(E22:M22)</f>
        <v>40208500</v>
      </c>
      <c r="E22" s="583">
        <f t="shared" ref="E22:M22" si="1">E23+E26+E32+E35+E40+E42</f>
        <v>36257900</v>
      </c>
      <c r="F22" s="583">
        <f t="shared" si="1"/>
        <v>0</v>
      </c>
      <c r="G22" s="583">
        <f t="shared" si="1"/>
        <v>760500</v>
      </c>
      <c r="H22" s="583">
        <f t="shared" si="1"/>
        <v>0</v>
      </c>
      <c r="I22" s="583">
        <f t="shared" si="1"/>
        <v>145800</v>
      </c>
      <c r="J22" s="583">
        <f t="shared" si="1"/>
        <v>0</v>
      </c>
      <c r="K22" s="583">
        <f t="shared" si="1"/>
        <v>0</v>
      </c>
      <c r="L22" s="583">
        <f t="shared" si="1"/>
        <v>3044300</v>
      </c>
      <c r="M22" s="583">
        <f t="shared" si="1"/>
        <v>0</v>
      </c>
    </row>
    <row r="23" spans="1:27" s="589" customFormat="1" ht="31.5" x14ac:dyDescent="0.2">
      <c r="A23" s="585" t="s">
        <v>970</v>
      </c>
      <c r="B23" s="586" t="s">
        <v>971</v>
      </c>
      <c r="C23" s="586">
        <v>120</v>
      </c>
      <c r="D23" s="587">
        <f>SUM(E23:M23)</f>
        <v>0</v>
      </c>
      <c r="E23" s="587">
        <f>E25</f>
        <v>0</v>
      </c>
      <c r="F23" s="587">
        <f t="shared" ref="F23:M23" si="2">F25</f>
        <v>0</v>
      </c>
      <c r="G23" s="587">
        <f t="shared" si="2"/>
        <v>0</v>
      </c>
      <c r="H23" s="587">
        <f t="shared" si="2"/>
        <v>0</v>
      </c>
      <c r="I23" s="587">
        <f t="shared" si="2"/>
        <v>0</v>
      </c>
      <c r="J23" s="587">
        <f t="shared" si="2"/>
        <v>0</v>
      </c>
      <c r="K23" s="587">
        <f t="shared" si="2"/>
        <v>0</v>
      </c>
      <c r="L23" s="587">
        <f t="shared" si="2"/>
        <v>0</v>
      </c>
      <c r="M23" s="587">
        <f t="shared" si="2"/>
        <v>0</v>
      </c>
      <c r="N23" s="588"/>
      <c r="O23" s="588"/>
      <c r="P23" s="588"/>
      <c r="Q23" s="588"/>
      <c r="R23" s="588"/>
      <c r="S23" s="588"/>
    </row>
    <row r="24" spans="1:27" s="592" customFormat="1" ht="22.5" customHeight="1" x14ac:dyDescent="0.2">
      <c r="A24" s="575" t="s">
        <v>440</v>
      </c>
      <c r="B24" s="574"/>
      <c r="C24" s="574"/>
      <c r="D24" s="577"/>
      <c r="E24" s="578"/>
      <c r="F24" s="578"/>
      <c r="G24" s="578"/>
      <c r="H24" s="578"/>
      <c r="I24" s="578"/>
      <c r="J24" s="578"/>
      <c r="K24" s="578"/>
      <c r="L24" s="578"/>
      <c r="M24" s="578"/>
      <c r="N24" s="590"/>
      <c r="O24" s="590"/>
      <c r="P24" s="590"/>
      <c r="Q24" s="590"/>
      <c r="R24" s="591"/>
      <c r="S24" s="591"/>
    </row>
    <row r="25" spans="1:27" s="592" customFormat="1" x14ac:dyDescent="0.2">
      <c r="A25" s="575" t="s">
        <v>972</v>
      </c>
      <c r="B25" s="574" t="s">
        <v>973</v>
      </c>
      <c r="C25" s="593" t="s">
        <v>1740</v>
      </c>
      <c r="D25" s="577">
        <f>SUM(E25:M25)</f>
        <v>0</v>
      </c>
      <c r="E25" s="578"/>
      <c r="F25" s="578"/>
      <c r="G25" s="577"/>
      <c r="H25" s="577"/>
      <c r="I25" s="577"/>
      <c r="J25" s="577"/>
      <c r="K25" s="577"/>
      <c r="L25" s="577">
        <f>'строка 1100 (120)+'!E13</f>
        <v>0</v>
      </c>
      <c r="M25" s="577"/>
      <c r="N25" s="591"/>
      <c r="O25" s="590"/>
      <c r="P25" s="591"/>
      <c r="Q25" s="590"/>
      <c r="R25" s="591"/>
      <c r="S25" s="591"/>
    </row>
    <row r="26" spans="1:27" s="599" customFormat="1" ht="31.5" x14ac:dyDescent="0.2">
      <c r="A26" s="585" t="s">
        <v>974</v>
      </c>
      <c r="B26" s="594">
        <v>1200</v>
      </c>
      <c r="C26" s="595" t="s">
        <v>975</v>
      </c>
      <c r="D26" s="596">
        <f>SUM(E26:M26)</f>
        <v>39302200</v>
      </c>
      <c r="E26" s="587">
        <f>E28+E29+E30+E31</f>
        <v>36257900</v>
      </c>
      <c r="F26" s="587">
        <f t="shared" ref="F26:M26" si="3">F28+F29+F30+F31</f>
        <v>0</v>
      </c>
      <c r="G26" s="587">
        <f t="shared" si="3"/>
        <v>0</v>
      </c>
      <c r="H26" s="587">
        <f t="shared" si="3"/>
        <v>0</v>
      </c>
      <c r="I26" s="587">
        <f t="shared" si="3"/>
        <v>0</v>
      </c>
      <c r="J26" s="587">
        <f t="shared" si="3"/>
        <v>0</v>
      </c>
      <c r="K26" s="587">
        <f t="shared" si="3"/>
        <v>0</v>
      </c>
      <c r="L26" s="587">
        <f t="shared" si="3"/>
        <v>3044300</v>
      </c>
      <c r="M26" s="587">
        <f t="shared" si="3"/>
        <v>0</v>
      </c>
      <c r="N26" s="588"/>
      <c r="O26" s="597"/>
      <c r="P26" s="588"/>
      <c r="Q26" s="597"/>
      <c r="R26" s="588"/>
      <c r="S26" s="598"/>
    </row>
    <row r="27" spans="1:27" s="602" customFormat="1" ht="15.75" customHeight="1" x14ac:dyDescent="0.2">
      <c r="A27" s="575" t="s">
        <v>440</v>
      </c>
      <c r="B27" s="574"/>
      <c r="C27" s="600"/>
      <c r="D27" s="577"/>
      <c r="E27" s="578"/>
      <c r="F27" s="578"/>
      <c r="G27" s="578"/>
      <c r="H27" s="578"/>
      <c r="I27" s="578"/>
      <c r="J27" s="578"/>
      <c r="K27" s="578"/>
      <c r="L27" s="578"/>
      <c r="M27" s="578"/>
      <c r="N27" s="591"/>
      <c r="O27" s="590"/>
      <c r="P27" s="591"/>
      <c r="Q27" s="590"/>
      <c r="R27" s="591"/>
      <c r="S27" s="601"/>
    </row>
    <row r="28" spans="1:27" s="602" customFormat="1" ht="68.25" customHeight="1" x14ac:dyDescent="0.2">
      <c r="A28" s="575" t="s">
        <v>976</v>
      </c>
      <c r="B28" s="574">
        <v>1210</v>
      </c>
      <c r="C28" s="593" t="s">
        <v>975</v>
      </c>
      <c r="D28" s="577">
        <f>SUM(E28:M28)</f>
        <v>36257900</v>
      </c>
      <c r="E28" s="578">
        <f>'строка 1200(130)'!E12</f>
        <v>36257900</v>
      </c>
      <c r="F28" s="578">
        <f>'строка 1200(130)'!E13</f>
        <v>0</v>
      </c>
      <c r="G28" s="578"/>
      <c r="H28" s="578"/>
      <c r="I28" s="578"/>
      <c r="J28" s="578"/>
      <c r="K28" s="578"/>
      <c r="M28" s="578"/>
      <c r="N28" s="591"/>
      <c r="O28" s="590"/>
      <c r="P28" s="591"/>
      <c r="Q28" s="590"/>
      <c r="R28" s="591"/>
      <c r="S28" s="601"/>
    </row>
    <row r="29" spans="1:27" x14ac:dyDescent="0.2">
      <c r="A29" s="575" t="s">
        <v>977</v>
      </c>
      <c r="B29" s="574">
        <v>1220</v>
      </c>
      <c r="C29" s="593" t="s">
        <v>1741</v>
      </c>
      <c r="D29" s="603">
        <f>SUM(E29:M29)</f>
        <v>3044300</v>
      </c>
      <c r="E29" s="603"/>
      <c r="F29" s="603"/>
      <c r="G29" s="603"/>
      <c r="H29" s="603"/>
      <c r="I29" s="603"/>
      <c r="J29" s="603"/>
      <c r="K29" s="603"/>
      <c r="L29" s="578">
        <f>'строка 1200(130)'!E14+'строка 1200(130)'!E15</f>
        <v>3044300</v>
      </c>
      <c r="M29" s="603"/>
      <c r="N29" s="2288"/>
      <c r="O29" s="2289"/>
      <c r="P29" s="2289"/>
      <c r="Q29" s="2289"/>
      <c r="R29" s="2289"/>
      <c r="S29" s="2289"/>
      <c r="T29" s="2289"/>
      <c r="U29" s="2289"/>
      <c r="V29" s="2289"/>
    </row>
    <row r="30" spans="1:27" ht="15.75" customHeight="1" x14ac:dyDescent="0.2">
      <c r="A30" s="575" t="s">
        <v>978</v>
      </c>
      <c r="B30" s="574">
        <v>1230</v>
      </c>
      <c r="C30" s="574">
        <v>135</v>
      </c>
      <c r="D30" s="603"/>
      <c r="E30" s="603"/>
      <c r="F30" s="603"/>
      <c r="G30" s="603"/>
      <c r="H30" s="603"/>
      <c r="I30" s="603"/>
      <c r="J30" s="603"/>
      <c r="K30" s="603"/>
      <c r="L30" s="603">
        <f>'возмещ ком услстрока 1230(135)'!O9</f>
        <v>0</v>
      </c>
      <c r="M30" s="603"/>
      <c r="N30" s="604"/>
      <c r="O30" s="605"/>
      <c r="P30" s="605"/>
      <c r="Q30" s="605"/>
      <c r="R30" s="605"/>
      <c r="S30" s="605"/>
      <c r="T30" s="605"/>
      <c r="U30" s="605"/>
      <c r="V30" s="605"/>
      <c r="W30" s="605"/>
      <c r="X30" s="605"/>
      <c r="Y30" s="605"/>
      <c r="Z30" s="605"/>
      <c r="AA30" s="605"/>
    </row>
    <row r="31" spans="1:27" ht="31.5" x14ac:dyDescent="0.2">
      <c r="A31" s="575" t="s">
        <v>979</v>
      </c>
      <c r="B31" s="574">
        <v>1240</v>
      </c>
      <c r="C31" s="574">
        <v>136</v>
      </c>
      <c r="D31" s="603">
        <f>SUM(E31:M31)</f>
        <v>0</v>
      </c>
      <c r="E31" s="603"/>
      <c r="F31" s="603"/>
      <c r="G31" s="603"/>
      <c r="H31" s="603"/>
      <c r="I31" s="603"/>
      <c r="J31" s="603"/>
      <c r="K31" s="603"/>
      <c r="L31" s="603"/>
      <c r="M31" s="603"/>
      <c r="N31" s="568"/>
      <c r="O31" s="606"/>
      <c r="P31" s="568"/>
      <c r="Q31" s="606"/>
      <c r="R31" s="568"/>
      <c r="S31" s="568"/>
    </row>
    <row r="32" spans="1:27" s="589" customFormat="1" ht="31.5" x14ac:dyDescent="0.2">
      <c r="A32" s="585" t="s">
        <v>980</v>
      </c>
      <c r="B32" s="594">
        <v>1300</v>
      </c>
      <c r="C32" s="594">
        <v>140</v>
      </c>
      <c r="D32" s="607">
        <f>SUM(E32:M32)</f>
        <v>0</v>
      </c>
      <c r="E32" s="607">
        <f>E34</f>
        <v>0</v>
      </c>
      <c r="F32" s="607">
        <f t="shared" ref="F32:M32" si="4">F34</f>
        <v>0</v>
      </c>
      <c r="G32" s="607">
        <f t="shared" si="4"/>
        <v>0</v>
      </c>
      <c r="H32" s="607">
        <f t="shared" si="4"/>
        <v>0</v>
      </c>
      <c r="I32" s="607">
        <f t="shared" si="4"/>
        <v>0</v>
      </c>
      <c r="J32" s="607">
        <f t="shared" si="4"/>
        <v>0</v>
      </c>
      <c r="K32" s="607">
        <f t="shared" si="4"/>
        <v>0</v>
      </c>
      <c r="L32" s="607">
        <f t="shared" si="4"/>
        <v>0</v>
      </c>
      <c r="M32" s="607">
        <f t="shared" si="4"/>
        <v>0</v>
      </c>
      <c r="N32" s="608"/>
      <c r="O32" s="597"/>
      <c r="P32" s="588"/>
      <c r="Q32" s="597"/>
      <c r="R32" s="588"/>
      <c r="S32" s="588"/>
    </row>
    <row r="33" spans="1:19" x14ac:dyDescent="0.2">
      <c r="A33" s="609" t="s">
        <v>440</v>
      </c>
      <c r="B33" s="574"/>
      <c r="C33" s="574"/>
      <c r="D33" s="603"/>
      <c r="E33" s="603"/>
      <c r="F33" s="603"/>
      <c r="G33" s="603"/>
      <c r="H33" s="603"/>
      <c r="I33" s="603"/>
      <c r="J33" s="603"/>
      <c r="K33" s="603"/>
      <c r="L33" s="603"/>
      <c r="M33" s="603"/>
      <c r="N33" s="568"/>
      <c r="O33" s="606"/>
      <c r="P33" s="568"/>
      <c r="Q33" s="606"/>
      <c r="R33" s="568"/>
      <c r="S33" s="568"/>
    </row>
    <row r="34" spans="1:19" x14ac:dyDescent="0.2">
      <c r="A34" s="609"/>
      <c r="B34" s="574">
        <v>1310</v>
      </c>
      <c r="C34" s="574">
        <v>140</v>
      </c>
      <c r="D34" s="603">
        <f>SUM(E34:M34)</f>
        <v>0</v>
      </c>
      <c r="E34" s="603"/>
      <c r="F34" s="603"/>
      <c r="G34" s="603"/>
      <c r="H34" s="603"/>
      <c r="I34" s="603"/>
      <c r="J34" s="603"/>
      <c r="K34" s="603"/>
      <c r="L34" s="603"/>
      <c r="M34" s="603"/>
      <c r="N34" s="568"/>
      <c r="O34" s="606"/>
      <c r="P34" s="568"/>
      <c r="Q34" s="606"/>
      <c r="R34" s="568"/>
      <c r="S34" s="568"/>
    </row>
    <row r="35" spans="1:19" s="589" customFormat="1" x14ac:dyDescent="0.2">
      <c r="A35" s="585" t="s">
        <v>981</v>
      </c>
      <c r="B35" s="594">
        <v>1400</v>
      </c>
      <c r="C35" s="594">
        <v>150</v>
      </c>
      <c r="D35" s="607">
        <f>SUM(E35:M35)</f>
        <v>906300</v>
      </c>
      <c r="E35" s="607">
        <f>SUM(E37:E39)</f>
        <v>0</v>
      </c>
      <c r="F35" s="607">
        <f t="shared" ref="F35:M35" si="5">SUM(F37:F39)</f>
        <v>0</v>
      </c>
      <c r="G35" s="607">
        <f t="shared" si="5"/>
        <v>760500</v>
      </c>
      <c r="H35" s="607">
        <f t="shared" si="5"/>
        <v>0</v>
      </c>
      <c r="I35" s="607">
        <f t="shared" si="5"/>
        <v>145800</v>
      </c>
      <c r="J35" s="607">
        <f t="shared" si="5"/>
        <v>0</v>
      </c>
      <c r="K35" s="607">
        <f t="shared" si="5"/>
        <v>0</v>
      </c>
      <c r="L35" s="607">
        <f t="shared" si="5"/>
        <v>0</v>
      </c>
      <c r="M35" s="607">
        <f t="shared" si="5"/>
        <v>0</v>
      </c>
      <c r="N35" s="588"/>
      <c r="O35" s="597"/>
      <c r="P35" s="588"/>
      <c r="Q35" s="597"/>
      <c r="R35" s="588"/>
      <c r="S35" s="588"/>
    </row>
    <row r="36" spans="1:19" x14ac:dyDescent="0.2">
      <c r="A36" s="575" t="s">
        <v>440</v>
      </c>
      <c r="B36" s="574"/>
      <c r="C36" s="574"/>
      <c r="D36" s="603"/>
      <c r="E36" s="603"/>
      <c r="F36" s="603"/>
      <c r="G36" s="603"/>
      <c r="H36" s="603"/>
      <c r="I36" s="603"/>
      <c r="J36" s="603"/>
      <c r="K36" s="603"/>
      <c r="L36" s="603"/>
      <c r="M36" s="603"/>
      <c r="N36" s="568"/>
      <c r="O36" s="606"/>
      <c r="P36" s="568"/>
      <c r="Q36" s="606"/>
      <c r="R36" s="568"/>
      <c r="S36" s="568"/>
    </row>
    <row r="37" spans="1:19" x14ac:dyDescent="0.2">
      <c r="A37" s="575" t="s">
        <v>905</v>
      </c>
      <c r="B37" s="574">
        <v>1410</v>
      </c>
      <c r="C37" s="593" t="s">
        <v>1742</v>
      </c>
      <c r="D37" s="603">
        <f>SUM(E37:M37)</f>
        <v>906300</v>
      </c>
      <c r="E37" s="603"/>
      <c r="F37" s="603"/>
      <c r="G37" s="603">
        <f>'безвоз строка 1400 (150)'!E13</f>
        <v>760500</v>
      </c>
      <c r="H37" s="603">
        <f>'безвоз строка 1400 (150)'!E14</f>
        <v>0</v>
      </c>
      <c r="I37" s="603">
        <f>'безвоз строка 1400 (150)'!E15</f>
        <v>145800</v>
      </c>
      <c r="J37" s="603"/>
      <c r="L37" s="603"/>
      <c r="M37" s="603"/>
      <c r="N37" s="568"/>
      <c r="O37" s="606"/>
      <c r="P37" s="568"/>
      <c r="Q37" s="606"/>
      <c r="R37" s="568"/>
      <c r="S37" s="568"/>
    </row>
    <row r="38" spans="1:19" x14ac:dyDescent="0.2">
      <c r="A38" s="575" t="s">
        <v>911</v>
      </c>
      <c r="B38" s="574">
        <v>1420</v>
      </c>
      <c r="C38" s="593" t="s">
        <v>1742</v>
      </c>
      <c r="D38" s="603">
        <f>SUM(E38:M38)</f>
        <v>0</v>
      </c>
      <c r="E38" s="603"/>
      <c r="F38" s="603"/>
      <c r="G38" s="603"/>
      <c r="H38" s="603"/>
      <c r="I38" s="603"/>
      <c r="J38" s="603"/>
      <c r="K38" s="603">
        <f>'безвоз строка 1400 (150)'!E18</f>
        <v>0</v>
      </c>
      <c r="L38" s="610"/>
      <c r="M38" s="610"/>
      <c r="N38" s="568"/>
      <c r="O38" s="606"/>
      <c r="P38" s="568"/>
      <c r="Q38" s="606"/>
      <c r="R38" s="568"/>
      <c r="S38" s="568"/>
    </row>
    <row r="39" spans="1:19" s="592" customFormat="1" x14ac:dyDescent="0.2">
      <c r="A39" s="575" t="s">
        <v>982</v>
      </c>
      <c r="B39" s="574">
        <v>1430</v>
      </c>
      <c r="C39" s="593" t="s">
        <v>1731</v>
      </c>
      <c r="D39" s="603">
        <f>SUM(E39:M39)</f>
        <v>0</v>
      </c>
      <c r="E39" s="603"/>
      <c r="F39" s="603"/>
      <c r="G39" s="603"/>
      <c r="H39" s="603"/>
      <c r="I39" s="603"/>
      <c r="J39" s="603"/>
      <c r="K39" s="603"/>
      <c r="L39" s="603"/>
      <c r="M39" s="603"/>
      <c r="N39" s="591"/>
      <c r="O39" s="590"/>
      <c r="P39" s="591"/>
      <c r="Q39" s="590"/>
      <c r="R39" s="591"/>
      <c r="S39" s="591"/>
    </row>
    <row r="40" spans="1:19" s="589" customFormat="1" x14ac:dyDescent="0.2">
      <c r="A40" s="585" t="s">
        <v>983</v>
      </c>
      <c r="B40" s="594">
        <v>1500</v>
      </c>
      <c r="C40" s="595" t="s">
        <v>1760</v>
      </c>
      <c r="D40" s="607">
        <f>SUM(E40:M40)</f>
        <v>0</v>
      </c>
      <c r="E40" s="607">
        <f>E41</f>
        <v>0</v>
      </c>
      <c r="F40" s="607">
        <f t="shared" ref="F40:M40" si="6">F41</f>
        <v>0</v>
      </c>
      <c r="G40" s="607">
        <f t="shared" si="6"/>
        <v>0</v>
      </c>
      <c r="H40" s="607">
        <f t="shared" si="6"/>
        <v>0</v>
      </c>
      <c r="I40" s="607">
        <f t="shared" si="6"/>
        <v>0</v>
      </c>
      <c r="J40" s="607">
        <f t="shared" si="6"/>
        <v>0</v>
      </c>
      <c r="K40" s="607">
        <f t="shared" si="6"/>
        <v>0</v>
      </c>
      <c r="L40" s="607">
        <f t="shared" si="6"/>
        <v>0</v>
      </c>
      <c r="M40" s="607">
        <f t="shared" si="6"/>
        <v>0</v>
      </c>
      <c r="N40" s="588"/>
      <c r="O40" s="597"/>
      <c r="P40" s="588"/>
      <c r="Q40" s="597"/>
      <c r="R40" s="588"/>
      <c r="S40" s="588"/>
    </row>
    <row r="41" spans="1:19" s="592" customFormat="1" x14ac:dyDescent="0.2">
      <c r="A41" s="575" t="s">
        <v>440</v>
      </c>
      <c r="B41" s="574"/>
      <c r="C41" s="593"/>
      <c r="D41" s="603"/>
      <c r="E41" s="603"/>
      <c r="F41" s="603"/>
      <c r="G41" s="610"/>
      <c r="H41" s="610"/>
      <c r="I41" s="610"/>
      <c r="J41" s="610"/>
      <c r="K41" s="610"/>
      <c r="L41" s="610"/>
      <c r="M41" s="610"/>
      <c r="N41" s="591"/>
      <c r="O41" s="590"/>
      <c r="P41" s="591"/>
      <c r="Q41" s="590"/>
      <c r="R41" s="591"/>
      <c r="S41" s="591"/>
    </row>
    <row r="42" spans="1:19" s="589" customFormat="1" ht="18.75" x14ac:dyDescent="0.2">
      <c r="A42" s="585" t="s">
        <v>984</v>
      </c>
      <c r="B42" s="594">
        <v>1980</v>
      </c>
      <c r="C42" s="594" t="s">
        <v>859</v>
      </c>
      <c r="D42" s="607">
        <f>SUM(E42:M42)</f>
        <v>0</v>
      </c>
      <c r="E42" s="607">
        <f>E44</f>
        <v>0</v>
      </c>
      <c r="F42" s="607">
        <f t="shared" ref="F42:M42" si="7">F44</f>
        <v>0</v>
      </c>
      <c r="G42" s="607">
        <f t="shared" si="7"/>
        <v>0</v>
      </c>
      <c r="H42" s="607">
        <f t="shared" si="7"/>
        <v>0</v>
      </c>
      <c r="I42" s="607">
        <f t="shared" si="7"/>
        <v>0</v>
      </c>
      <c r="J42" s="607">
        <f t="shared" si="7"/>
        <v>0</v>
      </c>
      <c r="K42" s="607">
        <f t="shared" si="7"/>
        <v>0</v>
      </c>
      <c r="L42" s="607">
        <f t="shared" si="7"/>
        <v>0</v>
      </c>
      <c r="M42" s="607">
        <f t="shared" si="7"/>
        <v>0</v>
      </c>
      <c r="N42" s="608"/>
      <c r="O42" s="597"/>
      <c r="P42" s="588"/>
      <c r="Q42" s="597"/>
      <c r="R42" s="588"/>
      <c r="S42" s="588"/>
    </row>
    <row r="43" spans="1:19" x14ac:dyDescent="0.2">
      <c r="A43" s="575" t="s">
        <v>800</v>
      </c>
      <c r="B43" s="574"/>
      <c r="C43" s="574"/>
      <c r="D43" s="577"/>
      <c r="E43" s="577"/>
      <c r="F43" s="577"/>
      <c r="G43" s="577"/>
      <c r="H43" s="577"/>
      <c r="I43" s="577"/>
      <c r="J43" s="577"/>
      <c r="K43" s="577"/>
      <c r="L43" s="577"/>
      <c r="M43" s="577"/>
      <c r="N43" s="568"/>
      <c r="O43" s="606"/>
      <c r="P43" s="568"/>
      <c r="Q43" s="606"/>
      <c r="R43" s="568"/>
      <c r="S43" s="568"/>
    </row>
    <row r="44" spans="1:19" s="592" customFormat="1" ht="36.75" customHeight="1" x14ac:dyDescent="0.2">
      <c r="A44" s="575" t="s">
        <v>985</v>
      </c>
      <c r="B44" s="574">
        <v>1981</v>
      </c>
      <c r="C44" s="593" t="s">
        <v>986</v>
      </c>
      <c r="D44" s="612">
        <f>SUM(E44:M44)</f>
        <v>0</v>
      </c>
      <c r="E44" s="612"/>
      <c r="F44" s="612"/>
      <c r="G44" s="612"/>
      <c r="H44" s="612"/>
      <c r="I44" s="612"/>
      <c r="J44" s="612"/>
      <c r="K44" s="612"/>
      <c r="L44" s="612"/>
      <c r="M44" s="612"/>
      <c r="N44" s="591"/>
      <c r="O44" s="590"/>
      <c r="P44" s="591"/>
      <c r="Q44" s="590"/>
      <c r="R44" s="591"/>
      <c r="S44" s="591"/>
    </row>
    <row r="45" spans="1:19" x14ac:dyDescent="0.2">
      <c r="A45" s="575"/>
      <c r="B45" s="574"/>
      <c r="C45" s="574"/>
      <c r="D45" s="577"/>
      <c r="E45" s="577"/>
      <c r="F45" s="577"/>
      <c r="G45" s="577"/>
      <c r="H45" s="577"/>
      <c r="I45" s="577"/>
      <c r="J45" s="577"/>
      <c r="K45" s="577"/>
      <c r="L45" s="577"/>
      <c r="M45" s="577"/>
      <c r="N45" s="568"/>
      <c r="O45" s="606"/>
      <c r="P45" s="568"/>
      <c r="Q45" s="606"/>
      <c r="R45" s="568"/>
      <c r="S45" s="568"/>
    </row>
    <row r="46" spans="1:19" s="584" customFormat="1" x14ac:dyDescent="0.2">
      <c r="A46" s="580" t="s">
        <v>987</v>
      </c>
      <c r="B46" s="613">
        <v>2000</v>
      </c>
      <c r="C46" s="613" t="s">
        <v>859</v>
      </c>
      <c r="D46" s="614">
        <f>SUM(E46:M46)</f>
        <v>40208500</v>
      </c>
      <c r="E46" s="614">
        <f>E48+E57+E61+E65+E68+E70+E79+E83</f>
        <v>36257900</v>
      </c>
      <c r="F46" s="614">
        <f t="shared" ref="F46:M46" si="8">F48+F57+F61+F65+F68+F70+F79+F83</f>
        <v>0</v>
      </c>
      <c r="G46" s="614">
        <f t="shared" si="8"/>
        <v>760500</v>
      </c>
      <c r="H46" s="614">
        <f t="shared" si="8"/>
        <v>0</v>
      </c>
      <c r="I46" s="614">
        <f t="shared" si="8"/>
        <v>145800</v>
      </c>
      <c r="J46" s="614">
        <f t="shared" si="8"/>
        <v>0</v>
      </c>
      <c r="K46" s="614">
        <f t="shared" si="8"/>
        <v>0</v>
      </c>
      <c r="L46" s="614">
        <f t="shared" si="8"/>
        <v>3044300</v>
      </c>
      <c r="M46" s="614">
        <f t="shared" si="8"/>
        <v>0</v>
      </c>
      <c r="N46" s="615"/>
      <c r="O46" s="616"/>
      <c r="P46" s="615"/>
      <c r="Q46" s="616"/>
      <c r="R46" s="615"/>
      <c r="S46" s="615"/>
    </row>
    <row r="47" spans="1:19" x14ac:dyDescent="0.2">
      <c r="A47" s="575" t="s">
        <v>440</v>
      </c>
      <c r="B47" s="574"/>
      <c r="C47" s="574"/>
      <c r="D47" s="577"/>
      <c r="E47" s="577"/>
      <c r="F47" s="577"/>
      <c r="G47" s="577"/>
      <c r="H47" s="577"/>
      <c r="I47" s="577"/>
      <c r="J47" s="577"/>
      <c r="K47" s="577"/>
      <c r="L47" s="577"/>
      <c r="M47" s="577"/>
      <c r="N47" s="568"/>
      <c r="O47" s="606"/>
      <c r="P47" s="568"/>
      <c r="Q47" s="606"/>
      <c r="R47" s="568"/>
      <c r="S47" s="568"/>
    </row>
    <row r="48" spans="1:19" s="589" customFormat="1" ht="36.75" customHeight="1" x14ac:dyDescent="0.2">
      <c r="A48" s="585" t="s">
        <v>988</v>
      </c>
      <c r="B48" s="594">
        <v>2100</v>
      </c>
      <c r="C48" s="594" t="s">
        <v>859</v>
      </c>
      <c r="D48" s="596">
        <f>SUM(E48:M48)</f>
        <v>33389400</v>
      </c>
      <c r="E48" s="596">
        <f>+E50+E51+E52+E53</f>
        <v>32245700</v>
      </c>
      <c r="F48" s="596">
        <f t="shared" ref="F48:M48" si="9">+F50+F51+F52+F53</f>
        <v>0</v>
      </c>
      <c r="G48" s="596">
        <f t="shared" si="9"/>
        <v>760500</v>
      </c>
      <c r="H48" s="596">
        <f t="shared" si="9"/>
        <v>0</v>
      </c>
      <c r="I48" s="596">
        <f t="shared" si="9"/>
        <v>145800</v>
      </c>
      <c r="J48" s="596">
        <f t="shared" si="9"/>
        <v>0</v>
      </c>
      <c r="K48" s="596">
        <f t="shared" si="9"/>
        <v>0</v>
      </c>
      <c r="L48" s="596">
        <f t="shared" si="9"/>
        <v>237400</v>
      </c>
      <c r="M48" s="596">
        <f t="shared" si="9"/>
        <v>0</v>
      </c>
      <c r="N48" s="588"/>
      <c r="O48" s="597"/>
      <c r="P48" s="588"/>
      <c r="Q48" s="597"/>
      <c r="R48" s="588"/>
      <c r="S48" s="588"/>
    </row>
    <row r="49" spans="1:19" ht="20.25" customHeight="1" x14ac:dyDescent="0.2">
      <c r="A49" s="575" t="s">
        <v>440</v>
      </c>
      <c r="B49" s="574"/>
      <c r="C49" s="574"/>
      <c r="D49" s="577"/>
      <c r="E49" s="577"/>
      <c r="F49" s="577"/>
      <c r="G49" s="577"/>
      <c r="H49" s="577"/>
      <c r="I49" s="577"/>
      <c r="J49" s="577"/>
      <c r="K49" s="577"/>
      <c r="L49" s="577"/>
      <c r="M49" s="577"/>
      <c r="N49" s="568"/>
      <c r="O49" s="606"/>
      <c r="P49" s="568"/>
      <c r="Q49" s="606"/>
      <c r="R49" s="568"/>
      <c r="S49" s="568"/>
    </row>
    <row r="50" spans="1:19" ht="20.25" customHeight="1" x14ac:dyDescent="0.2">
      <c r="A50" s="575" t="s">
        <v>989</v>
      </c>
      <c r="B50" s="574">
        <v>2110</v>
      </c>
      <c r="C50" s="574">
        <v>111</v>
      </c>
      <c r="D50" s="577">
        <f>SUM(E50:M50)</f>
        <v>24668800</v>
      </c>
      <c r="E50" s="577">
        <f>'субс РК КВР 111 (14.02.20)'!E13</f>
        <v>24668800</v>
      </c>
      <c r="F50" s="577"/>
      <c r="G50" s="577"/>
      <c r="H50" s="577"/>
      <c r="I50" s="577"/>
      <c r="J50" s="577"/>
      <c r="K50" s="577"/>
      <c r="L50" s="577">
        <v>0</v>
      </c>
      <c r="M50" s="577"/>
      <c r="N50" s="568"/>
      <c r="O50" s="606"/>
      <c r="P50" s="568"/>
      <c r="Q50" s="606"/>
      <c r="R50" s="568"/>
      <c r="S50" s="568"/>
    </row>
    <row r="51" spans="1:19" ht="33.75" customHeight="1" x14ac:dyDescent="0.2">
      <c r="A51" s="575" t="s">
        <v>990</v>
      </c>
      <c r="B51" s="574">
        <v>2120</v>
      </c>
      <c r="C51" s="574">
        <v>112</v>
      </c>
      <c r="D51" s="577">
        <f>SUM(E51:M51)</f>
        <v>997900</v>
      </c>
      <c r="E51" s="577">
        <v>0</v>
      </c>
      <c r="F51" s="577"/>
      <c r="G51" s="577">
        <f>'иные КВР 112 (01.01.20)'!E12</f>
        <v>760500</v>
      </c>
      <c r="H51" s="577"/>
      <c r="I51" s="577"/>
      <c r="J51" s="577"/>
      <c r="K51" s="577"/>
      <c r="L51" s="577">
        <v>237400</v>
      </c>
      <c r="M51" s="577"/>
      <c r="N51" s="568"/>
      <c r="O51" s="606"/>
      <c r="P51" s="568"/>
      <c r="Q51" s="606"/>
      <c r="R51" s="568"/>
      <c r="S51" s="568"/>
    </row>
    <row r="52" spans="1:19" ht="31.5" x14ac:dyDescent="0.2">
      <c r="A52" s="575" t="s">
        <v>991</v>
      </c>
      <c r="B52" s="574">
        <v>2130</v>
      </c>
      <c r="C52" s="574">
        <v>113</v>
      </c>
      <c r="D52" s="577">
        <f>SUM(E52:M52)</f>
        <v>334400</v>
      </c>
      <c r="E52" s="577">
        <f>'субс РК КВР 113(01.01.20)'!E14</f>
        <v>188600</v>
      </c>
      <c r="F52" s="577">
        <f>'субс РТ КВР 113(01.01.20)'!E14</f>
        <v>0</v>
      </c>
      <c r="G52" s="577"/>
      <c r="H52" s="577"/>
      <c r="I52" s="577">
        <f>'ОД КВР 113(01.01.20)'!E14</f>
        <v>145800</v>
      </c>
      <c r="J52" s="577"/>
      <c r="K52" s="577"/>
      <c r="L52" s="577">
        <v>0</v>
      </c>
      <c r="M52" s="577"/>
      <c r="N52" s="568"/>
      <c r="O52" s="606"/>
      <c r="P52" s="568"/>
      <c r="Q52" s="606"/>
      <c r="R52" s="568"/>
      <c r="S52" s="568"/>
    </row>
    <row r="53" spans="1:19" ht="47.25" x14ac:dyDescent="0.2">
      <c r="A53" s="575" t="s">
        <v>992</v>
      </c>
      <c r="B53" s="574">
        <v>2140</v>
      </c>
      <c r="C53" s="574">
        <v>119</v>
      </c>
      <c r="D53" s="577">
        <f>SUM(E53:M53)</f>
        <v>7388300</v>
      </c>
      <c r="E53" s="662">
        <f>E55</f>
        <v>7388300</v>
      </c>
      <c r="F53" s="577"/>
      <c r="G53" s="577"/>
      <c r="H53" s="577"/>
      <c r="I53" s="577"/>
      <c r="J53" s="577"/>
      <c r="K53" s="577"/>
      <c r="L53" s="577">
        <v>0</v>
      </c>
      <c r="M53" s="577"/>
      <c r="N53" s="568"/>
      <c r="O53" s="606"/>
      <c r="P53" s="568"/>
      <c r="Q53" s="606"/>
      <c r="R53" s="568"/>
      <c r="S53" s="568"/>
    </row>
    <row r="54" spans="1:19" x14ac:dyDescent="0.2">
      <c r="A54" s="575" t="s">
        <v>440</v>
      </c>
      <c r="B54" s="574"/>
      <c r="C54" s="574"/>
      <c r="D54" s="577"/>
      <c r="E54" s="577"/>
      <c r="F54" s="577"/>
      <c r="G54" s="577"/>
      <c r="H54" s="577"/>
      <c r="I54" s="577"/>
      <c r="J54" s="577"/>
      <c r="K54" s="577"/>
      <c r="L54" s="577"/>
      <c r="M54" s="577"/>
      <c r="N54" s="568"/>
      <c r="O54" s="606"/>
      <c r="P54" s="568"/>
      <c r="Q54" s="606"/>
      <c r="R54" s="568"/>
      <c r="S54" s="568"/>
    </row>
    <row r="55" spans="1:19" x14ac:dyDescent="0.2">
      <c r="A55" s="575" t="s">
        <v>993</v>
      </c>
      <c r="B55" s="574">
        <v>2141</v>
      </c>
      <c r="C55" s="574">
        <v>119</v>
      </c>
      <c r="D55" s="577">
        <f>SUM(E55:M55)</f>
        <v>7388300</v>
      </c>
      <c r="E55" s="577">
        <f>'субс РК КВР 119 (14.02.20)'!E13</f>
        <v>7388300</v>
      </c>
      <c r="F55" s="577"/>
      <c r="G55" s="577"/>
      <c r="H55" s="577"/>
      <c r="I55" s="577"/>
      <c r="J55" s="577"/>
      <c r="K55" s="577"/>
      <c r="L55" s="577">
        <v>0</v>
      </c>
      <c r="M55" s="577"/>
      <c r="N55" s="568"/>
      <c r="O55" s="606"/>
      <c r="P55" s="568"/>
      <c r="Q55" s="606"/>
      <c r="R55" s="568"/>
      <c r="S55" s="568"/>
    </row>
    <row r="56" spans="1:19" x14ac:dyDescent="0.2">
      <c r="A56" s="575" t="s">
        <v>994</v>
      </c>
      <c r="B56" s="574">
        <v>2142</v>
      </c>
      <c r="C56" s="574">
        <v>119</v>
      </c>
      <c r="D56" s="577"/>
      <c r="E56" s="577"/>
      <c r="F56" s="577"/>
      <c r="G56" s="577"/>
      <c r="H56" s="577"/>
      <c r="I56" s="577"/>
      <c r="J56" s="577"/>
      <c r="K56" s="577"/>
      <c r="L56" s="577"/>
      <c r="M56" s="577"/>
      <c r="N56" s="568"/>
      <c r="O56" s="606"/>
      <c r="P56" s="568"/>
      <c r="Q56" s="606"/>
      <c r="R56" s="568"/>
      <c r="S56" s="568"/>
    </row>
    <row r="57" spans="1:19" s="589" customFormat="1" x14ac:dyDescent="0.2">
      <c r="A57" s="585" t="s">
        <v>995</v>
      </c>
      <c r="B57" s="594">
        <v>2200</v>
      </c>
      <c r="C57" s="594">
        <v>300</v>
      </c>
      <c r="D57" s="596">
        <f>SUM(E57:M57)</f>
        <v>0</v>
      </c>
      <c r="E57" s="596">
        <f>E59+E60</f>
        <v>0</v>
      </c>
      <c r="F57" s="596">
        <f t="shared" ref="F57:M57" si="10">F59+F60</f>
        <v>0</v>
      </c>
      <c r="G57" s="596">
        <f t="shared" si="10"/>
        <v>0</v>
      </c>
      <c r="H57" s="596">
        <f t="shared" si="10"/>
        <v>0</v>
      </c>
      <c r="I57" s="596">
        <f t="shared" si="10"/>
        <v>0</v>
      </c>
      <c r="J57" s="596">
        <f t="shared" si="10"/>
        <v>0</v>
      </c>
      <c r="K57" s="596">
        <f t="shared" si="10"/>
        <v>0</v>
      </c>
      <c r="L57" s="596">
        <f t="shared" si="10"/>
        <v>0</v>
      </c>
      <c r="M57" s="596">
        <f t="shared" si="10"/>
        <v>0</v>
      </c>
      <c r="N57" s="588"/>
      <c r="O57" s="597"/>
      <c r="P57" s="588"/>
      <c r="Q57" s="597"/>
      <c r="R57" s="588"/>
      <c r="S57" s="588"/>
    </row>
    <row r="58" spans="1:19" x14ac:dyDescent="0.2">
      <c r="A58" s="575" t="s">
        <v>440</v>
      </c>
      <c r="B58" s="574"/>
      <c r="C58" s="574"/>
      <c r="D58" s="577"/>
      <c r="E58" s="577"/>
      <c r="F58" s="577"/>
      <c r="G58" s="577"/>
      <c r="H58" s="577"/>
      <c r="I58" s="577"/>
      <c r="J58" s="577"/>
      <c r="K58" s="577"/>
      <c r="L58" s="577"/>
      <c r="M58" s="577"/>
      <c r="N58" s="568"/>
      <c r="O58" s="606"/>
      <c r="P58" s="568"/>
      <c r="Q58" s="606"/>
      <c r="R58" s="568"/>
      <c r="S58" s="568"/>
    </row>
    <row r="59" spans="1:19" ht="31.5" x14ac:dyDescent="0.2">
      <c r="A59" s="575" t="s">
        <v>996</v>
      </c>
      <c r="B59" s="574">
        <v>2210</v>
      </c>
      <c r="C59" s="574">
        <v>320</v>
      </c>
      <c r="D59" s="577">
        <f t="shared" ref="D59:D84" si="11">SUM(E59:M59)</f>
        <v>0</v>
      </c>
      <c r="E59" s="577"/>
      <c r="F59" s="577"/>
      <c r="G59" s="577"/>
      <c r="H59" s="577"/>
      <c r="I59" s="577"/>
      <c r="J59" s="577"/>
      <c r="K59" s="577"/>
      <c r="L59" s="577"/>
      <c r="M59" s="577"/>
      <c r="N59" s="568"/>
      <c r="O59" s="606"/>
      <c r="P59" s="568"/>
      <c r="Q59" s="606"/>
      <c r="R59" s="568"/>
      <c r="S59" s="568"/>
    </row>
    <row r="60" spans="1:19" ht="54.75" customHeight="1" x14ac:dyDescent="0.2">
      <c r="A60" s="575" t="s">
        <v>997</v>
      </c>
      <c r="B60" s="574">
        <v>2211</v>
      </c>
      <c r="C60" s="574">
        <v>321</v>
      </c>
      <c r="D60" s="577">
        <f t="shared" si="11"/>
        <v>0</v>
      </c>
      <c r="E60" s="577"/>
      <c r="F60" s="577"/>
      <c r="G60" s="577">
        <v>0</v>
      </c>
      <c r="H60" s="577"/>
      <c r="I60" s="577"/>
      <c r="J60" s="577"/>
      <c r="K60" s="577"/>
      <c r="L60" s="577"/>
      <c r="M60" s="577"/>
      <c r="N60" s="568"/>
      <c r="O60" s="606"/>
      <c r="P60" s="568"/>
      <c r="Q60" s="606"/>
      <c r="R60" s="568"/>
      <c r="S60" s="568"/>
    </row>
    <row r="61" spans="1:19" s="589" customFormat="1" x14ac:dyDescent="0.2">
      <c r="A61" s="585" t="s">
        <v>998</v>
      </c>
      <c r="B61" s="594">
        <v>2300</v>
      </c>
      <c r="C61" s="594">
        <v>850</v>
      </c>
      <c r="D61" s="596">
        <f t="shared" si="11"/>
        <v>0</v>
      </c>
      <c r="E61" s="596">
        <f>E62+E63+E64</f>
        <v>0</v>
      </c>
      <c r="F61" s="596">
        <f t="shared" ref="F61:M61" si="12">F62+F63+F64</f>
        <v>0</v>
      </c>
      <c r="G61" s="596">
        <f t="shared" si="12"/>
        <v>0</v>
      </c>
      <c r="H61" s="596">
        <f t="shared" si="12"/>
        <v>0</v>
      </c>
      <c r="I61" s="596">
        <f t="shared" si="12"/>
        <v>0</v>
      </c>
      <c r="J61" s="596">
        <f t="shared" si="12"/>
        <v>0</v>
      </c>
      <c r="K61" s="596">
        <f t="shared" si="12"/>
        <v>0</v>
      </c>
      <c r="L61" s="596">
        <f t="shared" si="12"/>
        <v>0</v>
      </c>
      <c r="M61" s="596">
        <f t="shared" si="12"/>
        <v>0</v>
      </c>
      <c r="N61" s="588"/>
      <c r="O61" s="597"/>
      <c r="P61" s="588"/>
      <c r="Q61" s="597"/>
      <c r="R61" s="588"/>
      <c r="S61" s="588"/>
    </row>
    <row r="62" spans="1:19" ht="31.5" x14ac:dyDescent="0.2">
      <c r="A62" s="575" t="s">
        <v>999</v>
      </c>
      <c r="B62" s="574">
        <v>2310</v>
      </c>
      <c r="C62" s="574">
        <v>851</v>
      </c>
      <c r="D62" s="577">
        <f t="shared" si="11"/>
        <v>0</v>
      </c>
      <c r="E62" s="577"/>
      <c r="F62" s="577"/>
      <c r="G62" s="577"/>
      <c r="H62" s="577"/>
      <c r="I62" s="577"/>
      <c r="J62" s="577"/>
      <c r="K62" s="577"/>
      <c r="L62" s="577"/>
      <c r="M62" s="577"/>
      <c r="N62" s="568"/>
      <c r="O62" s="606"/>
      <c r="P62" s="568"/>
      <c r="Q62" s="606"/>
      <c r="R62" s="568"/>
      <c r="S62" s="568"/>
    </row>
    <row r="63" spans="1:19" ht="47.25" x14ac:dyDescent="0.2">
      <c r="A63" s="575" t="s">
        <v>1000</v>
      </c>
      <c r="B63" s="574">
        <v>2320</v>
      </c>
      <c r="C63" s="574">
        <v>852</v>
      </c>
      <c r="D63" s="577">
        <f t="shared" si="11"/>
        <v>0</v>
      </c>
      <c r="E63" s="577"/>
      <c r="F63" s="577"/>
      <c r="G63" s="577"/>
      <c r="H63" s="577"/>
      <c r="I63" s="577"/>
      <c r="J63" s="577"/>
      <c r="K63" s="577"/>
      <c r="L63" s="577"/>
      <c r="M63" s="577"/>
      <c r="N63" s="568"/>
      <c r="O63" s="606"/>
      <c r="P63" s="568"/>
      <c r="Q63" s="606"/>
      <c r="R63" s="568"/>
      <c r="S63" s="568"/>
    </row>
    <row r="64" spans="1:19" ht="31.5" x14ac:dyDescent="0.2">
      <c r="A64" s="575" t="s">
        <v>1001</v>
      </c>
      <c r="B64" s="574">
        <v>2330</v>
      </c>
      <c r="C64" s="574">
        <v>853</v>
      </c>
      <c r="D64" s="577">
        <f t="shared" si="11"/>
        <v>0</v>
      </c>
      <c r="E64" s="577"/>
      <c r="F64" s="577"/>
      <c r="G64" s="577"/>
      <c r="H64" s="577"/>
      <c r="I64" s="577"/>
      <c r="J64" s="577"/>
      <c r="K64" s="577"/>
      <c r="L64" s="577"/>
      <c r="M64" s="577"/>
      <c r="N64" s="568"/>
      <c r="O64" s="606"/>
      <c r="P64" s="568"/>
      <c r="Q64" s="606"/>
      <c r="R64" s="568"/>
      <c r="S64" s="568"/>
    </row>
    <row r="65" spans="1:19" s="589" customFormat="1" ht="31.5" x14ac:dyDescent="0.2">
      <c r="A65" s="585" t="s">
        <v>1002</v>
      </c>
      <c r="B65" s="594">
        <v>2400</v>
      </c>
      <c r="C65" s="594" t="s">
        <v>859</v>
      </c>
      <c r="D65" s="596">
        <f t="shared" si="11"/>
        <v>0</v>
      </c>
      <c r="E65" s="596">
        <f>E66+E67</f>
        <v>0</v>
      </c>
      <c r="F65" s="596">
        <f t="shared" ref="F65:M65" si="13">F66+F67</f>
        <v>0</v>
      </c>
      <c r="G65" s="596">
        <f t="shared" si="13"/>
        <v>0</v>
      </c>
      <c r="H65" s="596">
        <f t="shared" si="13"/>
        <v>0</v>
      </c>
      <c r="I65" s="596">
        <f t="shared" si="13"/>
        <v>0</v>
      </c>
      <c r="J65" s="596">
        <f t="shared" si="13"/>
        <v>0</v>
      </c>
      <c r="K65" s="596">
        <f t="shared" si="13"/>
        <v>0</v>
      </c>
      <c r="L65" s="596">
        <f t="shared" si="13"/>
        <v>0</v>
      </c>
      <c r="M65" s="596">
        <f t="shared" si="13"/>
        <v>0</v>
      </c>
      <c r="N65" s="588"/>
      <c r="O65" s="597"/>
      <c r="P65" s="588"/>
      <c r="Q65" s="597"/>
      <c r="R65" s="588"/>
      <c r="S65" s="588"/>
    </row>
    <row r="66" spans="1:19" ht="47.25" x14ac:dyDescent="0.2">
      <c r="A66" s="575" t="s">
        <v>1761</v>
      </c>
      <c r="B66" s="574">
        <v>2410</v>
      </c>
      <c r="C66" s="574">
        <v>613</v>
      </c>
      <c r="D66" s="577">
        <f t="shared" si="11"/>
        <v>0</v>
      </c>
      <c r="E66" s="577"/>
      <c r="F66" s="577"/>
      <c r="G66" s="577"/>
      <c r="H66" s="577"/>
      <c r="I66" s="577"/>
      <c r="J66" s="577"/>
      <c r="K66" s="577"/>
      <c r="L66" s="577"/>
      <c r="M66" s="577"/>
      <c r="N66" s="568"/>
      <c r="O66" s="606"/>
      <c r="P66" s="568"/>
      <c r="Q66" s="606"/>
      <c r="R66" s="568"/>
      <c r="S66" s="568"/>
    </row>
    <row r="67" spans="1:19" ht="19.5" customHeight="1" x14ac:dyDescent="0.2">
      <c r="A67" s="575" t="s">
        <v>1762</v>
      </c>
      <c r="B67" s="574">
        <v>2420</v>
      </c>
      <c r="C67" s="574">
        <v>623</v>
      </c>
      <c r="D67" s="577">
        <f t="shared" si="11"/>
        <v>0</v>
      </c>
      <c r="E67" s="577"/>
      <c r="F67" s="577"/>
      <c r="G67" s="577"/>
      <c r="H67" s="577"/>
      <c r="I67" s="577"/>
      <c r="J67" s="577"/>
      <c r="K67" s="577"/>
      <c r="L67" s="577"/>
      <c r="M67" s="577"/>
      <c r="N67" s="568"/>
      <c r="O67" s="606"/>
      <c r="P67" s="568"/>
      <c r="Q67" s="606"/>
      <c r="R67" s="568"/>
      <c r="S67" s="568"/>
    </row>
    <row r="68" spans="1:19" s="589" customFormat="1" ht="31.5" x14ac:dyDescent="0.2">
      <c r="A68" s="585" t="s">
        <v>1005</v>
      </c>
      <c r="B68" s="594">
        <v>2500</v>
      </c>
      <c r="C68" s="594" t="s">
        <v>859</v>
      </c>
      <c r="D68" s="596">
        <f t="shared" si="11"/>
        <v>0</v>
      </c>
      <c r="E68" s="596">
        <f>E69</f>
        <v>0</v>
      </c>
      <c r="F68" s="596">
        <f t="shared" ref="F68:M68" si="14">F69</f>
        <v>0</v>
      </c>
      <c r="G68" s="596">
        <f t="shared" si="14"/>
        <v>0</v>
      </c>
      <c r="H68" s="596">
        <f t="shared" si="14"/>
        <v>0</v>
      </c>
      <c r="I68" s="596">
        <f t="shared" si="14"/>
        <v>0</v>
      </c>
      <c r="J68" s="596">
        <f t="shared" si="14"/>
        <v>0</v>
      </c>
      <c r="K68" s="596">
        <f t="shared" si="14"/>
        <v>0</v>
      </c>
      <c r="L68" s="596">
        <f t="shared" si="14"/>
        <v>0</v>
      </c>
      <c r="M68" s="596">
        <f t="shared" si="14"/>
        <v>0</v>
      </c>
      <c r="N68" s="588"/>
      <c r="O68" s="597"/>
      <c r="P68" s="588"/>
      <c r="Q68" s="597"/>
      <c r="R68" s="588"/>
      <c r="S68" s="588"/>
    </row>
    <row r="69" spans="1:19" ht="47.25" x14ac:dyDescent="0.2">
      <c r="A69" s="575" t="s">
        <v>1006</v>
      </c>
      <c r="B69" s="574">
        <v>252</v>
      </c>
      <c r="C69" s="574">
        <v>831</v>
      </c>
      <c r="D69" s="577">
        <f t="shared" si="11"/>
        <v>0</v>
      </c>
      <c r="E69" s="577"/>
      <c r="F69" s="577"/>
      <c r="G69" s="577"/>
      <c r="H69" s="577"/>
      <c r="I69" s="577"/>
      <c r="J69" s="577"/>
      <c r="K69" s="577"/>
      <c r="L69" s="577"/>
      <c r="M69" s="577"/>
      <c r="N69" s="568"/>
      <c r="O69" s="606"/>
      <c r="P69" s="568"/>
      <c r="Q69" s="606"/>
      <c r="R69" s="568"/>
      <c r="S69" s="568"/>
    </row>
    <row r="70" spans="1:19" s="589" customFormat="1" ht="18.75" x14ac:dyDescent="0.2">
      <c r="A70" s="585" t="s">
        <v>1007</v>
      </c>
      <c r="B70" s="594">
        <v>2600</v>
      </c>
      <c r="C70" s="594" t="s">
        <v>859</v>
      </c>
      <c r="D70" s="596">
        <f t="shared" si="11"/>
        <v>6819100</v>
      </c>
      <c r="E70" s="596">
        <f>E71+E72+E73+E74</f>
        <v>4012200</v>
      </c>
      <c r="F70" s="596">
        <f t="shared" ref="F70:M70" si="15">F71+F72+F73+F74</f>
        <v>0</v>
      </c>
      <c r="G70" s="596">
        <f t="shared" si="15"/>
        <v>0</v>
      </c>
      <c r="H70" s="596">
        <f t="shared" si="15"/>
        <v>0</v>
      </c>
      <c r="I70" s="596">
        <f t="shared" si="15"/>
        <v>0</v>
      </c>
      <c r="J70" s="596">
        <f t="shared" si="15"/>
        <v>0</v>
      </c>
      <c r="K70" s="596">
        <f t="shared" si="15"/>
        <v>0</v>
      </c>
      <c r="L70" s="596">
        <f t="shared" si="15"/>
        <v>2806900</v>
      </c>
      <c r="M70" s="596">
        <f t="shared" si="15"/>
        <v>0</v>
      </c>
      <c r="N70" s="588"/>
      <c r="O70" s="597"/>
      <c r="P70" s="588"/>
      <c r="Q70" s="597"/>
      <c r="R70" s="588"/>
      <c r="S70" s="588"/>
    </row>
    <row r="71" spans="1:19" ht="47.25" x14ac:dyDescent="0.2">
      <c r="A71" s="575" t="s">
        <v>1008</v>
      </c>
      <c r="B71" s="574">
        <v>2610</v>
      </c>
      <c r="C71" s="574">
        <v>241</v>
      </c>
      <c r="D71" s="577">
        <f t="shared" si="11"/>
        <v>0</v>
      </c>
      <c r="E71" s="577"/>
      <c r="F71" s="577"/>
      <c r="G71" s="577"/>
      <c r="H71" s="577"/>
      <c r="I71" s="577"/>
      <c r="J71" s="577"/>
      <c r="K71" s="577"/>
      <c r="L71" s="577"/>
      <c r="M71" s="577"/>
      <c r="N71" s="568"/>
      <c r="O71" s="606"/>
      <c r="P71" s="568"/>
      <c r="Q71" s="606"/>
      <c r="R71" s="568"/>
      <c r="S71" s="568"/>
    </row>
    <row r="72" spans="1:19" ht="31.5" x14ac:dyDescent="0.2">
      <c r="A72" s="575" t="s">
        <v>1009</v>
      </c>
      <c r="B72" s="574">
        <v>2620</v>
      </c>
      <c r="C72" s="574">
        <v>242</v>
      </c>
      <c r="D72" s="577">
        <f t="shared" si="11"/>
        <v>0</v>
      </c>
      <c r="E72" s="577"/>
      <c r="F72" s="577"/>
      <c r="G72" s="577"/>
      <c r="H72" s="577"/>
      <c r="I72" s="577"/>
      <c r="J72" s="577"/>
      <c r="K72" s="577"/>
      <c r="L72" s="577"/>
      <c r="M72" s="577"/>
      <c r="N72" s="568"/>
      <c r="O72" s="606"/>
      <c r="P72" s="568"/>
      <c r="Q72" s="606"/>
      <c r="R72" s="568"/>
      <c r="S72" s="568"/>
    </row>
    <row r="73" spans="1:19" ht="31.5" x14ac:dyDescent="0.2">
      <c r="A73" s="575" t="s">
        <v>1010</v>
      </c>
      <c r="B73" s="574">
        <v>2630</v>
      </c>
      <c r="C73" s="574">
        <v>243</v>
      </c>
      <c r="D73" s="577">
        <f t="shared" si="11"/>
        <v>0</v>
      </c>
      <c r="E73" s="577"/>
      <c r="F73" s="577"/>
      <c r="G73" s="577"/>
      <c r="H73" s="577"/>
      <c r="I73" s="577"/>
      <c r="J73" s="577"/>
      <c r="K73" s="577"/>
      <c r="L73" s="577"/>
      <c r="M73" s="577"/>
      <c r="N73" s="568"/>
      <c r="O73" s="606"/>
      <c r="P73" s="568"/>
      <c r="Q73" s="606"/>
      <c r="R73" s="568"/>
      <c r="S73" s="568"/>
    </row>
    <row r="74" spans="1:19" x14ac:dyDescent="0.2">
      <c r="A74" s="575" t="s">
        <v>1011</v>
      </c>
      <c r="B74" s="574">
        <v>2640</v>
      </c>
      <c r="C74" s="574">
        <v>244</v>
      </c>
      <c r="D74" s="577">
        <f t="shared" si="11"/>
        <v>6819100</v>
      </c>
      <c r="E74" s="577">
        <f>'субс РК КВР 244 (01.01.20)'!E33</f>
        <v>4012200</v>
      </c>
      <c r="F74" s="577">
        <f>'субс РТ КВР 244 (01.01.20)'!D10</f>
        <v>0</v>
      </c>
      <c r="G74" s="577"/>
      <c r="H74" s="577"/>
      <c r="I74" s="577"/>
      <c r="J74" s="577"/>
      <c r="K74" s="577">
        <f>K76</f>
        <v>0</v>
      </c>
      <c r="L74" s="577">
        <f>'внеб КВР 244'!E30</f>
        <v>2806900</v>
      </c>
      <c r="M74" s="577"/>
      <c r="N74" s="568"/>
      <c r="O74" s="606"/>
      <c r="P74" s="568"/>
      <c r="Q74" s="606"/>
      <c r="R74" s="568"/>
      <c r="S74" s="568"/>
    </row>
    <row r="75" spans="1:19" x14ac:dyDescent="0.2">
      <c r="A75" s="575" t="s">
        <v>800</v>
      </c>
      <c r="B75" s="574"/>
      <c r="C75" s="574"/>
      <c r="D75" s="577">
        <f t="shared" si="11"/>
        <v>0</v>
      </c>
      <c r="E75" s="577"/>
      <c r="F75" s="577"/>
      <c r="G75" s="577"/>
      <c r="H75" s="577"/>
      <c r="I75" s="577"/>
      <c r="J75" s="577"/>
      <c r="K75" s="577"/>
      <c r="L75" s="577"/>
      <c r="M75" s="577"/>
      <c r="N75" s="568"/>
      <c r="O75" s="606"/>
      <c r="P75" s="568"/>
      <c r="Q75" s="606"/>
      <c r="R75" s="568"/>
      <c r="S75" s="568"/>
    </row>
    <row r="76" spans="1:19" ht="31.5" x14ac:dyDescent="0.2">
      <c r="A76" s="575" t="s">
        <v>1012</v>
      </c>
      <c r="B76" s="574">
        <v>2650</v>
      </c>
      <c r="C76" s="574">
        <v>400</v>
      </c>
      <c r="D76" s="577">
        <f t="shared" si="11"/>
        <v>1073100</v>
      </c>
      <c r="E76" s="577">
        <v>0</v>
      </c>
      <c r="F76" s="577"/>
      <c r="G76" s="577"/>
      <c r="H76" s="577"/>
      <c r="I76" s="577"/>
      <c r="J76" s="577"/>
      <c r="K76" s="577">
        <f>'(81600) КВР 244 (01.01.20)'!E10</f>
        <v>0</v>
      </c>
      <c r="L76" s="577">
        <f>'внеб КВР 244'!E26</f>
        <v>1073100</v>
      </c>
      <c r="M76" s="577"/>
      <c r="N76" s="568"/>
      <c r="O76" s="606"/>
      <c r="P76" s="568"/>
      <c r="Q76" s="606"/>
      <c r="R76" s="568"/>
      <c r="S76" s="568"/>
    </row>
    <row r="77" spans="1:19" ht="55.5" customHeight="1" x14ac:dyDescent="0.2">
      <c r="A77" s="617" t="s">
        <v>1013</v>
      </c>
      <c r="B77" s="574">
        <v>2651</v>
      </c>
      <c r="C77" s="574">
        <v>406</v>
      </c>
      <c r="D77" s="577">
        <f t="shared" si="11"/>
        <v>0</v>
      </c>
      <c r="E77" s="577"/>
      <c r="F77" s="577"/>
      <c r="G77" s="577"/>
      <c r="H77" s="577"/>
      <c r="I77" s="577"/>
      <c r="J77" s="577"/>
      <c r="K77" s="577"/>
      <c r="L77" s="577"/>
      <c r="M77" s="577"/>
      <c r="N77" s="568"/>
      <c r="O77" s="606"/>
      <c r="P77" s="568"/>
      <c r="Q77" s="606"/>
      <c r="R77" s="568"/>
      <c r="S77" s="568"/>
    </row>
    <row r="78" spans="1:19" ht="31.5" x14ac:dyDescent="0.2">
      <c r="A78" s="575" t="s">
        <v>1014</v>
      </c>
      <c r="B78" s="574">
        <v>2652</v>
      </c>
      <c r="C78" s="574">
        <v>407</v>
      </c>
      <c r="D78" s="577">
        <f t="shared" si="11"/>
        <v>0</v>
      </c>
      <c r="E78" s="577"/>
      <c r="F78" s="577"/>
      <c r="G78" s="577"/>
      <c r="H78" s="577"/>
      <c r="I78" s="577"/>
      <c r="J78" s="577"/>
      <c r="K78" s="577"/>
      <c r="L78" s="577"/>
      <c r="M78" s="577"/>
      <c r="N78" s="568"/>
      <c r="O78" s="606"/>
      <c r="P78" s="568"/>
      <c r="Q78" s="606"/>
      <c r="R78" s="568"/>
      <c r="S78" s="568"/>
    </row>
    <row r="79" spans="1:19" s="589" customFormat="1" ht="30.75" customHeight="1" x14ac:dyDescent="0.2">
      <c r="A79" s="585" t="s">
        <v>1015</v>
      </c>
      <c r="B79" s="594">
        <v>3000</v>
      </c>
      <c r="C79" s="594">
        <v>100</v>
      </c>
      <c r="D79" s="596">
        <f t="shared" si="11"/>
        <v>0</v>
      </c>
      <c r="E79" s="596">
        <f>E80+E81+E82</f>
        <v>0</v>
      </c>
      <c r="F79" s="596">
        <f t="shared" ref="F79:M79" si="16">F80+F81+F82</f>
        <v>0</v>
      </c>
      <c r="G79" s="596">
        <f t="shared" si="16"/>
        <v>0</v>
      </c>
      <c r="H79" s="596">
        <f t="shared" si="16"/>
        <v>0</v>
      </c>
      <c r="I79" s="596">
        <f t="shared" si="16"/>
        <v>0</v>
      </c>
      <c r="J79" s="596">
        <f t="shared" si="16"/>
        <v>0</v>
      </c>
      <c r="K79" s="596">
        <f t="shared" si="16"/>
        <v>0</v>
      </c>
      <c r="L79" s="596">
        <f t="shared" si="16"/>
        <v>0</v>
      </c>
      <c r="M79" s="596">
        <f t="shared" si="16"/>
        <v>0</v>
      </c>
      <c r="N79" s="588"/>
      <c r="O79" s="597"/>
      <c r="P79" s="588"/>
      <c r="Q79" s="597"/>
      <c r="R79" s="588"/>
      <c r="S79" s="588"/>
    </row>
    <row r="80" spans="1:19" ht="44.25" customHeight="1" x14ac:dyDescent="0.2">
      <c r="A80" s="575" t="s">
        <v>1016</v>
      </c>
      <c r="B80" s="574">
        <v>3010</v>
      </c>
      <c r="C80" s="574"/>
      <c r="D80" s="577">
        <f t="shared" si="11"/>
        <v>0</v>
      </c>
      <c r="E80" s="577"/>
      <c r="F80" s="577"/>
      <c r="G80" s="577"/>
      <c r="H80" s="577"/>
      <c r="I80" s="577"/>
      <c r="J80" s="577"/>
      <c r="K80" s="577"/>
      <c r="L80" s="577"/>
      <c r="M80" s="577"/>
      <c r="N80" s="568"/>
      <c r="O80" s="606"/>
      <c r="P80" s="568"/>
      <c r="Q80" s="606"/>
      <c r="R80" s="568"/>
      <c r="S80" s="568"/>
    </row>
    <row r="81" spans="1:19" ht="43.5" customHeight="1" x14ac:dyDescent="0.2">
      <c r="A81" s="575" t="s">
        <v>1017</v>
      </c>
      <c r="B81" s="574">
        <v>3020</v>
      </c>
      <c r="C81" s="574"/>
      <c r="D81" s="577">
        <f t="shared" si="11"/>
        <v>0</v>
      </c>
      <c r="E81" s="577"/>
      <c r="F81" s="577"/>
      <c r="G81" s="577"/>
      <c r="H81" s="577"/>
      <c r="I81" s="577"/>
      <c r="J81" s="577"/>
      <c r="K81" s="577"/>
      <c r="L81" s="577"/>
      <c r="M81" s="577"/>
      <c r="N81" s="568"/>
      <c r="O81" s="606"/>
      <c r="P81" s="568"/>
      <c r="Q81" s="606"/>
      <c r="R81" s="568"/>
      <c r="S81" s="568"/>
    </row>
    <row r="82" spans="1:19" ht="15.75" customHeight="1" x14ac:dyDescent="0.2">
      <c r="A82" s="575" t="s">
        <v>1018</v>
      </c>
      <c r="B82" s="574">
        <v>3030</v>
      </c>
      <c r="C82" s="574"/>
      <c r="D82" s="577">
        <f t="shared" si="11"/>
        <v>0</v>
      </c>
      <c r="E82" s="577"/>
      <c r="F82" s="577"/>
      <c r="G82" s="577"/>
      <c r="H82" s="577"/>
      <c r="I82" s="577"/>
      <c r="J82" s="577"/>
      <c r="K82" s="577"/>
      <c r="L82" s="577"/>
      <c r="M82" s="577"/>
      <c r="N82" s="568"/>
      <c r="O82" s="606"/>
      <c r="P82" s="568"/>
      <c r="Q82" s="606"/>
      <c r="R82" s="568"/>
      <c r="S82" s="568"/>
    </row>
    <row r="83" spans="1:19" s="589" customFormat="1" ht="15.75" customHeight="1" x14ac:dyDescent="0.2">
      <c r="A83" s="585" t="s">
        <v>1019</v>
      </c>
      <c r="B83" s="594">
        <v>4000</v>
      </c>
      <c r="C83" s="594" t="s">
        <v>859</v>
      </c>
      <c r="D83" s="596">
        <f t="shared" si="11"/>
        <v>0</v>
      </c>
      <c r="E83" s="596">
        <f>E84</f>
        <v>0</v>
      </c>
      <c r="F83" s="596">
        <f t="shared" ref="F83:M83" si="17">F84</f>
        <v>0</v>
      </c>
      <c r="G83" s="596">
        <f t="shared" si="17"/>
        <v>0</v>
      </c>
      <c r="H83" s="596">
        <f t="shared" si="17"/>
        <v>0</v>
      </c>
      <c r="I83" s="596">
        <f t="shared" si="17"/>
        <v>0</v>
      </c>
      <c r="J83" s="596">
        <f t="shared" si="17"/>
        <v>0</v>
      </c>
      <c r="K83" s="596">
        <f t="shared" si="17"/>
        <v>0</v>
      </c>
      <c r="L83" s="596">
        <f t="shared" si="17"/>
        <v>0</v>
      </c>
      <c r="M83" s="596">
        <f t="shared" si="17"/>
        <v>0</v>
      </c>
      <c r="N83" s="588"/>
      <c r="O83" s="597"/>
      <c r="P83" s="588"/>
      <c r="Q83" s="597"/>
      <c r="R83" s="588"/>
      <c r="S83" s="588"/>
    </row>
    <row r="84" spans="1:19" ht="32.25" customHeight="1" x14ac:dyDescent="0.2">
      <c r="A84" s="575" t="s">
        <v>1020</v>
      </c>
      <c r="B84" s="574">
        <v>4010</v>
      </c>
      <c r="C84" s="574">
        <v>610</v>
      </c>
      <c r="D84" s="577">
        <f t="shared" si="11"/>
        <v>0</v>
      </c>
      <c r="E84" s="577"/>
      <c r="F84" s="577"/>
      <c r="G84" s="577"/>
      <c r="H84" s="577"/>
      <c r="I84" s="577"/>
      <c r="J84" s="577"/>
      <c r="K84" s="577"/>
      <c r="L84" s="577"/>
      <c r="M84" s="577"/>
      <c r="N84" s="568"/>
      <c r="O84" s="606"/>
      <c r="P84" s="568"/>
      <c r="Q84" s="606"/>
      <c r="R84" s="568"/>
      <c r="S84" s="568"/>
    </row>
    <row r="85" spans="1:19" ht="15.75" customHeight="1" x14ac:dyDescent="0.2">
      <c r="A85" s="575"/>
      <c r="B85" s="574"/>
      <c r="C85" s="574"/>
      <c r="D85" s="577"/>
      <c r="E85" s="577"/>
      <c r="F85" s="577"/>
      <c r="G85" s="577"/>
      <c r="H85" s="577"/>
      <c r="I85" s="577"/>
      <c r="J85" s="577"/>
      <c r="K85" s="577"/>
      <c r="L85" s="577"/>
      <c r="M85" s="577"/>
      <c r="N85" s="568"/>
      <c r="O85" s="606"/>
      <c r="P85" s="568"/>
      <c r="Q85" s="606"/>
      <c r="R85" s="568"/>
      <c r="S85" s="568"/>
    </row>
    <row r="86" spans="1:19" s="592" customFormat="1" ht="22.5" customHeight="1" x14ac:dyDescent="0.2">
      <c r="D86" s="618"/>
      <c r="E86" s="618"/>
      <c r="F86" s="618"/>
      <c r="G86" s="618"/>
      <c r="H86" s="618"/>
      <c r="I86" s="618"/>
      <c r="J86" s="618"/>
      <c r="K86" s="618"/>
      <c r="L86" s="618"/>
      <c r="M86" s="618"/>
      <c r="N86" s="619"/>
      <c r="O86" s="619"/>
      <c r="P86" s="619"/>
      <c r="Q86" s="619"/>
      <c r="R86" s="591"/>
      <c r="S86" s="591"/>
    </row>
    <row r="87" spans="1:19" x14ac:dyDescent="0.2">
      <c r="D87" s="2083"/>
    </row>
    <row r="88" spans="1:19" x14ac:dyDescent="0.2">
      <c r="D88" s="2082"/>
    </row>
    <row r="90" spans="1:19" x14ac:dyDescent="0.2">
      <c r="A90" s="566" t="s">
        <v>1730</v>
      </c>
      <c r="B90" s="2272" t="s">
        <v>166</v>
      </c>
      <c r="C90" s="2272"/>
      <c r="D90" s="2272"/>
    </row>
    <row r="92" spans="1:19" ht="42" customHeight="1" x14ac:dyDescent="0.2">
      <c r="B92" s="2272"/>
      <c r="C92" s="2272"/>
      <c r="D92" s="2084"/>
      <c r="E92" s="2084"/>
      <c r="F92" s="2084"/>
      <c r="G92" s="2084"/>
      <c r="H92" s="2084"/>
      <c r="I92" s="2084"/>
      <c r="J92" s="2084"/>
      <c r="K92" s="2084"/>
      <c r="L92" s="2084"/>
      <c r="M92" s="2084"/>
    </row>
    <row r="94" spans="1:19" ht="33" customHeight="1" x14ac:dyDescent="0.2">
      <c r="D94" s="2084"/>
      <c r="E94" s="2084"/>
      <c r="F94" s="2084"/>
      <c r="G94" s="2084"/>
      <c r="H94" s="2084"/>
      <c r="I94" s="2084"/>
      <c r="J94" s="2084"/>
      <c r="K94" s="2084"/>
      <c r="L94" s="2084"/>
      <c r="M94" s="2084"/>
    </row>
    <row r="95" spans="1:19" ht="30.75" customHeight="1" x14ac:dyDescent="0.2">
      <c r="D95" s="2084"/>
      <c r="E95" s="2084"/>
      <c r="F95" s="2084"/>
      <c r="G95" s="2084"/>
      <c r="H95" s="2084"/>
      <c r="I95" s="2084"/>
      <c r="J95" s="2084"/>
      <c r="K95" s="2084"/>
      <c r="L95" s="2084"/>
      <c r="M95" s="2084"/>
    </row>
    <row r="98" spans="1:13" ht="33.75" customHeight="1" x14ac:dyDescent="0.2">
      <c r="D98" s="2085"/>
      <c r="E98" s="2085"/>
      <c r="F98" s="2085"/>
      <c r="G98" s="2085"/>
      <c r="H98" s="2085"/>
      <c r="I98" s="2085"/>
      <c r="J98" s="2085"/>
      <c r="K98" s="2085"/>
      <c r="L98" s="2085"/>
      <c r="M98" s="2085"/>
    </row>
    <row r="99" spans="1:13" x14ac:dyDescent="0.2">
      <c r="A99" s="2286" t="s">
        <v>1021</v>
      </c>
      <c r="B99" s="2286"/>
      <c r="C99" s="2286"/>
    </row>
    <row r="100" spans="1:13" x14ac:dyDescent="0.2">
      <c r="A100" s="2272" t="s">
        <v>1022</v>
      </c>
      <c r="B100" s="2272"/>
      <c r="C100" s="2272"/>
    </row>
    <row r="101" spans="1:13" x14ac:dyDescent="0.2">
      <c r="A101" s="2272" t="s">
        <v>1023</v>
      </c>
      <c r="B101" s="2272"/>
      <c r="C101" s="2272"/>
    </row>
    <row r="102" spans="1:13" x14ac:dyDescent="0.2">
      <c r="A102" s="2272" t="s">
        <v>1024</v>
      </c>
      <c r="B102" s="2272"/>
      <c r="C102" s="2272"/>
    </row>
    <row r="103" spans="1:13" x14ac:dyDescent="0.2">
      <c r="A103" s="2272" t="s">
        <v>1025</v>
      </c>
      <c r="B103" s="2272"/>
      <c r="C103" s="2272"/>
    </row>
    <row r="104" spans="1:13" x14ac:dyDescent="0.2">
      <c r="A104" s="2272" t="s">
        <v>1026</v>
      </c>
      <c r="B104" s="2272"/>
      <c r="C104" s="2272"/>
    </row>
    <row r="105" spans="1:13" x14ac:dyDescent="0.2">
      <c r="A105" s="2285" t="s">
        <v>1027</v>
      </c>
      <c r="B105" s="2285"/>
      <c r="C105" s="2285"/>
    </row>
    <row r="106" spans="1:13" x14ac:dyDescent="0.2">
      <c r="A106" s="2272" t="s">
        <v>1028</v>
      </c>
      <c r="B106" s="2272"/>
      <c r="C106" s="2272"/>
    </row>
    <row r="107" spans="1:13" x14ac:dyDescent="0.2">
      <c r="A107" s="2285" t="s">
        <v>1029</v>
      </c>
      <c r="B107" s="2285"/>
      <c r="C107" s="2285"/>
    </row>
    <row r="108" spans="1:13" x14ac:dyDescent="0.2">
      <c r="A108" s="2285" t="s">
        <v>1030</v>
      </c>
      <c r="B108" s="2285"/>
      <c r="C108" s="2285"/>
    </row>
    <row r="109" spans="1:13" x14ac:dyDescent="0.2">
      <c r="A109" s="2272" t="s">
        <v>1031</v>
      </c>
      <c r="B109" s="2272"/>
      <c r="C109" s="2272"/>
    </row>
    <row r="110" spans="1:13" x14ac:dyDescent="0.2">
      <c r="A110" s="2272" t="s">
        <v>1032</v>
      </c>
      <c r="B110" s="2272"/>
      <c r="C110" s="2272"/>
    </row>
    <row r="111" spans="1:13" x14ac:dyDescent="0.2">
      <c r="A111" s="2285" t="s">
        <v>1033</v>
      </c>
      <c r="B111" s="2285"/>
      <c r="C111" s="2285"/>
    </row>
  </sheetData>
  <mergeCells count="27">
    <mergeCell ref="E3:I3"/>
    <mergeCell ref="K5:L5"/>
    <mergeCell ref="J2:M2"/>
    <mergeCell ref="N29:V29"/>
    <mergeCell ref="D16:M16"/>
    <mergeCell ref="D17:M17"/>
    <mergeCell ref="C15:C18"/>
    <mergeCell ref="D15:M15"/>
    <mergeCell ref="A108:C108"/>
    <mergeCell ref="K6:L6"/>
    <mergeCell ref="B90:D90"/>
    <mergeCell ref="A109:C109"/>
    <mergeCell ref="A110:C110"/>
    <mergeCell ref="A111:C111"/>
    <mergeCell ref="A14:M14"/>
    <mergeCell ref="A102:C102"/>
    <mergeCell ref="A103:C103"/>
    <mergeCell ref="A104:C104"/>
    <mergeCell ref="A105:C105"/>
    <mergeCell ref="A106:C106"/>
    <mergeCell ref="A107:C107"/>
    <mergeCell ref="A99:C99"/>
    <mergeCell ref="A100:C100"/>
    <mergeCell ref="A101:C101"/>
    <mergeCell ref="B92:C92"/>
    <mergeCell ref="A15:A18"/>
    <mergeCell ref="B15:B18"/>
  </mergeCells>
  <printOptions horizontalCentered="1"/>
  <pageMargins left="0.19685039370078741" right="0.15748031496062992" top="0.23622047244094491" bottom="0.31496062992125984" header="0.27559055118110237" footer="0"/>
  <pageSetup paperSize="9" scale="33" fitToHeight="2" orientation="landscape" r:id="rId1"/>
  <headerFooter alignWithMargins="0"/>
  <rowBreaks count="1" manualBreakCount="1">
    <brk id="56" max="12" man="1"/>
  </rowBreaks>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7" tint="0.39997558519241921"/>
  </sheetPr>
  <dimension ref="B1:K80"/>
  <sheetViews>
    <sheetView view="pageBreakPreview" topLeftCell="A2" zoomScale="90" zoomScaleNormal="90" zoomScaleSheetLayoutView="90" workbookViewId="0">
      <pane xSplit="4" ySplit="8" topLeftCell="E10" activePane="bottomRight" state="frozen"/>
      <selection activeCell="H22" sqref="H22:H23"/>
      <selection pane="topRight" activeCell="H22" sqref="H22:H23"/>
      <selection pane="bottomLeft" activeCell="H22" sqref="H22:H23"/>
      <selection pane="bottomRight" activeCell="J7" sqref="J7:J8"/>
    </sheetView>
  </sheetViews>
  <sheetFormatPr defaultRowHeight="12.75" outlineLevelRow="1" x14ac:dyDescent="0.2"/>
  <cols>
    <col min="1" max="1" width="2.6640625" style="955" customWidth="1"/>
    <col min="2" max="2" width="7.6640625" style="955" bestFit="1" customWidth="1"/>
    <col min="3" max="3" width="34.6640625" style="955" customWidth="1"/>
    <col min="4" max="4" width="13.33203125" style="955" bestFit="1" customWidth="1"/>
    <col min="5" max="5" width="10.1640625" style="955" bestFit="1" customWidth="1"/>
    <col min="6" max="6" width="12.6640625" style="955" bestFit="1" customWidth="1"/>
    <col min="7" max="7" width="10.1640625" style="955" bestFit="1" customWidth="1"/>
    <col min="8" max="8" width="19.83203125" style="955" customWidth="1"/>
    <col min="9" max="10" width="10.6640625" style="955" customWidth="1"/>
    <col min="11" max="256" width="9.33203125" style="955"/>
    <col min="257" max="257" width="2.6640625" style="955" customWidth="1"/>
    <col min="258" max="258" width="7.6640625" style="955" bestFit="1" customWidth="1"/>
    <col min="259" max="259" width="34.6640625" style="955" customWidth="1"/>
    <col min="260" max="260" width="13.33203125" style="955" bestFit="1" customWidth="1"/>
    <col min="261" max="261" width="10.1640625" style="955" bestFit="1" customWidth="1"/>
    <col min="262" max="262" width="12.6640625" style="955" bestFit="1" customWidth="1"/>
    <col min="263" max="263" width="10.1640625" style="955" bestFit="1" customWidth="1"/>
    <col min="264" max="264" width="19.83203125" style="955" customWidth="1"/>
    <col min="265" max="265" width="15.33203125" style="955" customWidth="1"/>
    <col min="266" max="266" width="14.33203125" style="955" customWidth="1"/>
    <col min="267" max="512" width="9.33203125" style="955"/>
    <col min="513" max="513" width="2.6640625" style="955" customWidth="1"/>
    <col min="514" max="514" width="7.6640625" style="955" bestFit="1" customWidth="1"/>
    <col min="515" max="515" width="34.6640625" style="955" customWidth="1"/>
    <col min="516" max="516" width="13.33203125" style="955" bestFit="1" customWidth="1"/>
    <col min="517" max="517" width="10.1640625" style="955" bestFit="1" customWidth="1"/>
    <col min="518" max="518" width="12.6640625" style="955" bestFit="1" customWidth="1"/>
    <col min="519" max="519" width="10.1640625" style="955" bestFit="1" customWidth="1"/>
    <col min="520" max="520" width="19.83203125" style="955" customWidth="1"/>
    <col min="521" max="521" width="15.33203125" style="955" customWidth="1"/>
    <col min="522" max="522" width="14.33203125" style="955" customWidth="1"/>
    <col min="523" max="768" width="9.33203125" style="955"/>
    <col min="769" max="769" width="2.6640625" style="955" customWidth="1"/>
    <col min="770" max="770" width="7.6640625" style="955" bestFit="1" customWidth="1"/>
    <col min="771" max="771" width="34.6640625" style="955" customWidth="1"/>
    <col min="772" max="772" width="13.33203125" style="955" bestFit="1" customWidth="1"/>
    <col min="773" max="773" width="10.1640625" style="955" bestFit="1" customWidth="1"/>
    <col min="774" max="774" width="12.6640625" style="955" bestFit="1" customWidth="1"/>
    <col min="775" max="775" width="10.1640625" style="955" bestFit="1" customWidth="1"/>
    <col min="776" max="776" width="19.83203125" style="955" customWidth="1"/>
    <col min="777" max="777" width="15.33203125" style="955" customWidth="1"/>
    <col min="778" max="778" width="14.33203125" style="955" customWidth="1"/>
    <col min="779" max="1024" width="9.33203125" style="955"/>
    <col min="1025" max="1025" width="2.6640625" style="955" customWidth="1"/>
    <col min="1026" max="1026" width="7.6640625" style="955" bestFit="1" customWidth="1"/>
    <col min="1027" max="1027" width="34.6640625" style="955" customWidth="1"/>
    <col min="1028" max="1028" width="13.33203125" style="955" bestFit="1" customWidth="1"/>
    <col min="1029" max="1029" width="10.1640625" style="955" bestFit="1" customWidth="1"/>
    <col min="1030" max="1030" width="12.6640625" style="955" bestFit="1" customWidth="1"/>
    <col min="1031" max="1031" width="10.1640625" style="955" bestFit="1" customWidth="1"/>
    <col min="1032" max="1032" width="19.83203125" style="955" customWidth="1"/>
    <col min="1033" max="1033" width="15.33203125" style="955" customWidth="1"/>
    <col min="1034" max="1034" width="14.33203125" style="955" customWidth="1"/>
    <col min="1035" max="1280" width="9.33203125" style="955"/>
    <col min="1281" max="1281" width="2.6640625" style="955" customWidth="1"/>
    <col min="1282" max="1282" width="7.6640625" style="955" bestFit="1" customWidth="1"/>
    <col min="1283" max="1283" width="34.6640625" style="955" customWidth="1"/>
    <col min="1284" max="1284" width="13.33203125" style="955" bestFit="1" customWidth="1"/>
    <col min="1285" max="1285" width="10.1640625" style="955" bestFit="1" customWidth="1"/>
    <col min="1286" max="1286" width="12.6640625" style="955" bestFit="1" customWidth="1"/>
    <col min="1287" max="1287" width="10.1640625" style="955" bestFit="1" customWidth="1"/>
    <col min="1288" max="1288" width="19.83203125" style="955" customWidth="1"/>
    <col min="1289" max="1289" width="15.33203125" style="955" customWidth="1"/>
    <col min="1290" max="1290" width="14.33203125" style="955" customWidth="1"/>
    <col min="1291" max="1536" width="9.33203125" style="955"/>
    <col min="1537" max="1537" width="2.6640625" style="955" customWidth="1"/>
    <col min="1538" max="1538" width="7.6640625" style="955" bestFit="1" customWidth="1"/>
    <col min="1539" max="1539" width="34.6640625" style="955" customWidth="1"/>
    <col min="1540" max="1540" width="13.33203125" style="955" bestFit="1" customWidth="1"/>
    <col min="1541" max="1541" width="10.1640625" style="955" bestFit="1" customWidth="1"/>
    <col min="1542" max="1542" width="12.6640625" style="955" bestFit="1" customWidth="1"/>
    <col min="1543" max="1543" width="10.1640625" style="955" bestFit="1" customWidth="1"/>
    <col min="1544" max="1544" width="19.83203125" style="955" customWidth="1"/>
    <col min="1545" max="1545" width="15.33203125" style="955" customWidth="1"/>
    <col min="1546" max="1546" width="14.33203125" style="955" customWidth="1"/>
    <col min="1547" max="1792" width="9.33203125" style="955"/>
    <col min="1793" max="1793" width="2.6640625" style="955" customWidth="1"/>
    <col min="1794" max="1794" width="7.6640625" style="955" bestFit="1" customWidth="1"/>
    <col min="1795" max="1795" width="34.6640625" style="955" customWidth="1"/>
    <col min="1796" max="1796" width="13.33203125" style="955" bestFit="1" customWidth="1"/>
    <col min="1797" max="1797" width="10.1640625" style="955" bestFit="1" customWidth="1"/>
    <col min="1798" max="1798" width="12.6640625" style="955" bestFit="1" customWidth="1"/>
    <col min="1799" max="1799" width="10.1640625" style="955" bestFit="1" customWidth="1"/>
    <col min="1800" max="1800" width="19.83203125" style="955" customWidth="1"/>
    <col min="1801" max="1801" width="15.33203125" style="955" customWidth="1"/>
    <col min="1802" max="1802" width="14.33203125" style="955" customWidth="1"/>
    <col min="1803" max="2048" width="9.33203125" style="955"/>
    <col min="2049" max="2049" width="2.6640625" style="955" customWidth="1"/>
    <col min="2050" max="2050" width="7.6640625" style="955" bestFit="1" customWidth="1"/>
    <col min="2051" max="2051" width="34.6640625" style="955" customWidth="1"/>
    <col min="2052" max="2052" width="13.33203125" style="955" bestFit="1" customWidth="1"/>
    <col min="2053" max="2053" width="10.1640625" style="955" bestFit="1" customWidth="1"/>
    <col min="2054" max="2054" width="12.6640625" style="955" bestFit="1" customWidth="1"/>
    <col min="2055" max="2055" width="10.1640625" style="955" bestFit="1" customWidth="1"/>
    <col min="2056" max="2056" width="19.83203125" style="955" customWidth="1"/>
    <col min="2057" max="2057" width="15.33203125" style="955" customWidth="1"/>
    <col min="2058" max="2058" width="14.33203125" style="955" customWidth="1"/>
    <col min="2059" max="2304" width="9.33203125" style="955"/>
    <col min="2305" max="2305" width="2.6640625" style="955" customWidth="1"/>
    <col min="2306" max="2306" width="7.6640625" style="955" bestFit="1" customWidth="1"/>
    <col min="2307" max="2307" width="34.6640625" style="955" customWidth="1"/>
    <col min="2308" max="2308" width="13.33203125" style="955" bestFit="1" customWidth="1"/>
    <col min="2309" max="2309" width="10.1640625" style="955" bestFit="1" customWidth="1"/>
    <col min="2310" max="2310" width="12.6640625" style="955" bestFit="1" customWidth="1"/>
    <col min="2311" max="2311" width="10.1640625" style="955" bestFit="1" customWidth="1"/>
    <col min="2312" max="2312" width="19.83203125" style="955" customWidth="1"/>
    <col min="2313" max="2313" width="15.33203125" style="955" customWidth="1"/>
    <col min="2314" max="2314" width="14.33203125" style="955" customWidth="1"/>
    <col min="2315" max="2560" width="9.33203125" style="955"/>
    <col min="2561" max="2561" width="2.6640625" style="955" customWidth="1"/>
    <col min="2562" max="2562" width="7.6640625" style="955" bestFit="1" customWidth="1"/>
    <col min="2563" max="2563" width="34.6640625" style="955" customWidth="1"/>
    <col min="2564" max="2564" width="13.33203125" style="955" bestFit="1" customWidth="1"/>
    <col min="2565" max="2565" width="10.1640625" style="955" bestFit="1" customWidth="1"/>
    <col min="2566" max="2566" width="12.6640625" style="955" bestFit="1" customWidth="1"/>
    <col min="2567" max="2567" width="10.1640625" style="955" bestFit="1" customWidth="1"/>
    <col min="2568" max="2568" width="19.83203125" style="955" customWidth="1"/>
    <col min="2569" max="2569" width="15.33203125" style="955" customWidth="1"/>
    <col min="2570" max="2570" width="14.33203125" style="955" customWidth="1"/>
    <col min="2571" max="2816" width="9.33203125" style="955"/>
    <col min="2817" max="2817" width="2.6640625" style="955" customWidth="1"/>
    <col min="2818" max="2818" width="7.6640625" style="955" bestFit="1" customWidth="1"/>
    <col min="2819" max="2819" width="34.6640625" style="955" customWidth="1"/>
    <col min="2820" max="2820" width="13.33203125" style="955" bestFit="1" customWidth="1"/>
    <col min="2821" max="2821" width="10.1640625" style="955" bestFit="1" customWidth="1"/>
    <col min="2822" max="2822" width="12.6640625" style="955" bestFit="1" customWidth="1"/>
    <col min="2823" max="2823" width="10.1640625" style="955" bestFit="1" customWidth="1"/>
    <col min="2824" max="2824" width="19.83203125" style="955" customWidth="1"/>
    <col min="2825" max="2825" width="15.33203125" style="955" customWidth="1"/>
    <col min="2826" max="2826" width="14.33203125" style="955" customWidth="1"/>
    <col min="2827" max="3072" width="9.33203125" style="955"/>
    <col min="3073" max="3073" width="2.6640625" style="955" customWidth="1"/>
    <col min="3074" max="3074" width="7.6640625" style="955" bestFit="1" customWidth="1"/>
    <col min="3075" max="3075" width="34.6640625" style="955" customWidth="1"/>
    <col min="3076" max="3076" width="13.33203125" style="955" bestFit="1" customWidth="1"/>
    <col min="3077" max="3077" width="10.1640625" style="955" bestFit="1" customWidth="1"/>
    <col min="3078" max="3078" width="12.6640625" style="955" bestFit="1" customWidth="1"/>
    <col min="3079" max="3079" width="10.1640625" style="955" bestFit="1" customWidth="1"/>
    <col min="3080" max="3080" width="19.83203125" style="955" customWidth="1"/>
    <col min="3081" max="3081" width="15.33203125" style="955" customWidth="1"/>
    <col min="3082" max="3082" width="14.33203125" style="955" customWidth="1"/>
    <col min="3083" max="3328" width="9.33203125" style="955"/>
    <col min="3329" max="3329" width="2.6640625" style="955" customWidth="1"/>
    <col min="3330" max="3330" width="7.6640625" style="955" bestFit="1" customWidth="1"/>
    <col min="3331" max="3331" width="34.6640625" style="955" customWidth="1"/>
    <col min="3332" max="3332" width="13.33203125" style="955" bestFit="1" customWidth="1"/>
    <col min="3333" max="3333" width="10.1640625" style="955" bestFit="1" customWidth="1"/>
    <col min="3334" max="3334" width="12.6640625" style="955" bestFit="1" customWidth="1"/>
    <col min="3335" max="3335" width="10.1640625" style="955" bestFit="1" customWidth="1"/>
    <col min="3336" max="3336" width="19.83203125" style="955" customWidth="1"/>
    <col min="3337" max="3337" width="15.33203125" style="955" customWidth="1"/>
    <col min="3338" max="3338" width="14.33203125" style="955" customWidth="1"/>
    <col min="3339" max="3584" width="9.33203125" style="955"/>
    <col min="3585" max="3585" width="2.6640625" style="955" customWidth="1"/>
    <col min="3586" max="3586" width="7.6640625" style="955" bestFit="1" customWidth="1"/>
    <col min="3587" max="3587" width="34.6640625" style="955" customWidth="1"/>
    <col min="3588" max="3588" width="13.33203125" style="955" bestFit="1" customWidth="1"/>
    <col min="3589" max="3589" width="10.1640625" style="955" bestFit="1" customWidth="1"/>
    <col min="3590" max="3590" width="12.6640625" style="955" bestFit="1" customWidth="1"/>
    <col min="3591" max="3591" width="10.1640625" style="955" bestFit="1" customWidth="1"/>
    <col min="3592" max="3592" width="19.83203125" style="955" customWidth="1"/>
    <col min="3593" max="3593" width="15.33203125" style="955" customWidth="1"/>
    <col min="3594" max="3594" width="14.33203125" style="955" customWidth="1"/>
    <col min="3595" max="3840" width="9.33203125" style="955"/>
    <col min="3841" max="3841" width="2.6640625" style="955" customWidth="1"/>
    <col min="3842" max="3842" width="7.6640625" style="955" bestFit="1" customWidth="1"/>
    <col min="3843" max="3843" width="34.6640625" style="955" customWidth="1"/>
    <col min="3844" max="3844" width="13.33203125" style="955" bestFit="1" customWidth="1"/>
    <col min="3845" max="3845" width="10.1640625" style="955" bestFit="1" customWidth="1"/>
    <col min="3846" max="3846" width="12.6640625" style="955" bestFit="1" customWidth="1"/>
    <col min="3847" max="3847" width="10.1640625" style="955" bestFit="1" customWidth="1"/>
    <col min="3848" max="3848" width="19.83203125" style="955" customWidth="1"/>
    <col min="3849" max="3849" width="15.33203125" style="955" customWidth="1"/>
    <col min="3850" max="3850" width="14.33203125" style="955" customWidth="1"/>
    <col min="3851" max="4096" width="9.33203125" style="955"/>
    <col min="4097" max="4097" width="2.6640625" style="955" customWidth="1"/>
    <col min="4098" max="4098" width="7.6640625" style="955" bestFit="1" customWidth="1"/>
    <col min="4099" max="4099" width="34.6640625" style="955" customWidth="1"/>
    <col min="4100" max="4100" width="13.33203125" style="955" bestFit="1" customWidth="1"/>
    <col min="4101" max="4101" width="10.1640625" style="955" bestFit="1" customWidth="1"/>
    <col min="4102" max="4102" width="12.6640625" style="955" bestFit="1" customWidth="1"/>
    <col min="4103" max="4103" width="10.1640625" style="955" bestFit="1" customWidth="1"/>
    <col min="4104" max="4104" width="19.83203125" style="955" customWidth="1"/>
    <col min="4105" max="4105" width="15.33203125" style="955" customWidth="1"/>
    <col min="4106" max="4106" width="14.33203125" style="955" customWidth="1"/>
    <col min="4107" max="4352" width="9.33203125" style="955"/>
    <col min="4353" max="4353" width="2.6640625" style="955" customWidth="1"/>
    <col min="4354" max="4354" width="7.6640625" style="955" bestFit="1" customWidth="1"/>
    <col min="4355" max="4355" width="34.6640625" style="955" customWidth="1"/>
    <col min="4356" max="4356" width="13.33203125" style="955" bestFit="1" customWidth="1"/>
    <col min="4357" max="4357" width="10.1640625" style="955" bestFit="1" customWidth="1"/>
    <col min="4358" max="4358" width="12.6640625" style="955" bestFit="1" customWidth="1"/>
    <col min="4359" max="4359" width="10.1640625" style="955" bestFit="1" customWidth="1"/>
    <col min="4360" max="4360" width="19.83203125" style="955" customWidth="1"/>
    <col min="4361" max="4361" width="15.33203125" style="955" customWidth="1"/>
    <col min="4362" max="4362" width="14.33203125" style="955" customWidth="1"/>
    <col min="4363" max="4608" width="9.33203125" style="955"/>
    <col min="4609" max="4609" width="2.6640625" style="955" customWidth="1"/>
    <col min="4610" max="4610" width="7.6640625" style="955" bestFit="1" customWidth="1"/>
    <col min="4611" max="4611" width="34.6640625" style="955" customWidth="1"/>
    <col min="4612" max="4612" width="13.33203125" style="955" bestFit="1" customWidth="1"/>
    <col min="4613" max="4613" width="10.1640625" style="955" bestFit="1" customWidth="1"/>
    <col min="4614" max="4614" width="12.6640625" style="955" bestFit="1" customWidth="1"/>
    <col min="4615" max="4615" width="10.1640625" style="955" bestFit="1" customWidth="1"/>
    <col min="4616" max="4616" width="19.83203125" style="955" customWidth="1"/>
    <col min="4617" max="4617" width="15.33203125" style="955" customWidth="1"/>
    <col min="4618" max="4618" width="14.33203125" style="955" customWidth="1"/>
    <col min="4619" max="4864" width="9.33203125" style="955"/>
    <col min="4865" max="4865" width="2.6640625" style="955" customWidth="1"/>
    <col min="4866" max="4866" width="7.6640625" style="955" bestFit="1" customWidth="1"/>
    <col min="4867" max="4867" width="34.6640625" style="955" customWidth="1"/>
    <col min="4868" max="4868" width="13.33203125" style="955" bestFit="1" customWidth="1"/>
    <col min="4869" max="4869" width="10.1640625" style="955" bestFit="1" customWidth="1"/>
    <col min="4870" max="4870" width="12.6640625" style="955" bestFit="1" customWidth="1"/>
    <col min="4871" max="4871" width="10.1640625" style="955" bestFit="1" customWidth="1"/>
    <col min="4872" max="4872" width="19.83203125" style="955" customWidth="1"/>
    <col min="4873" max="4873" width="15.33203125" style="955" customWidth="1"/>
    <col min="4874" max="4874" width="14.33203125" style="955" customWidth="1"/>
    <col min="4875" max="5120" width="9.33203125" style="955"/>
    <col min="5121" max="5121" width="2.6640625" style="955" customWidth="1"/>
    <col min="5122" max="5122" width="7.6640625" style="955" bestFit="1" customWidth="1"/>
    <col min="5123" max="5123" width="34.6640625" style="955" customWidth="1"/>
    <col min="5124" max="5124" width="13.33203125" style="955" bestFit="1" customWidth="1"/>
    <col min="5125" max="5125" width="10.1640625" style="955" bestFit="1" customWidth="1"/>
    <col min="5126" max="5126" width="12.6640625" style="955" bestFit="1" customWidth="1"/>
    <col min="5127" max="5127" width="10.1640625" style="955" bestFit="1" customWidth="1"/>
    <col min="5128" max="5128" width="19.83203125" style="955" customWidth="1"/>
    <col min="5129" max="5129" width="15.33203125" style="955" customWidth="1"/>
    <col min="5130" max="5130" width="14.33203125" style="955" customWidth="1"/>
    <col min="5131" max="5376" width="9.33203125" style="955"/>
    <col min="5377" max="5377" width="2.6640625" style="955" customWidth="1"/>
    <col min="5378" max="5378" width="7.6640625" style="955" bestFit="1" customWidth="1"/>
    <col min="5379" max="5379" width="34.6640625" style="955" customWidth="1"/>
    <col min="5380" max="5380" width="13.33203125" style="955" bestFit="1" customWidth="1"/>
    <col min="5381" max="5381" width="10.1640625" style="955" bestFit="1" customWidth="1"/>
    <col min="5382" max="5382" width="12.6640625" style="955" bestFit="1" customWidth="1"/>
    <col min="5383" max="5383" width="10.1640625" style="955" bestFit="1" customWidth="1"/>
    <col min="5384" max="5384" width="19.83203125" style="955" customWidth="1"/>
    <col min="5385" max="5385" width="15.33203125" style="955" customWidth="1"/>
    <col min="5386" max="5386" width="14.33203125" style="955" customWidth="1"/>
    <col min="5387" max="5632" width="9.33203125" style="955"/>
    <col min="5633" max="5633" width="2.6640625" style="955" customWidth="1"/>
    <col min="5634" max="5634" width="7.6640625" style="955" bestFit="1" customWidth="1"/>
    <col min="5635" max="5635" width="34.6640625" style="955" customWidth="1"/>
    <col min="5636" max="5636" width="13.33203125" style="955" bestFit="1" customWidth="1"/>
    <col min="5637" max="5637" width="10.1640625" style="955" bestFit="1" customWidth="1"/>
    <col min="5638" max="5638" width="12.6640625" style="955" bestFit="1" customWidth="1"/>
    <col min="5639" max="5639" width="10.1640625" style="955" bestFit="1" customWidth="1"/>
    <col min="5640" max="5640" width="19.83203125" style="955" customWidth="1"/>
    <col min="5641" max="5641" width="15.33203125" style="955" customWidth="1"/>
    <col min="5642" max="5642" width="14.33203125" style="955" customWidth="1"/>
    <col min="5643" max="5888" width="9.33203125" style="955"/>
    <col min="5889" max="5889" width="2.6640625" style="955" customWidth="1"/>
    <col min="5890" max="5890" width="7.6640625" style="955" bestFit="1" customWidth="1"/>
    <col min="5891" max="5891" width="34.6640625" style="955" customWidth="1"/>
    <col min="5892" max="5892" width="13.33203125" style="955" bestFit="1" customWidth="1"/>
    <col min="5893" max="5893" width="10.1640625" style="955" bestFit="1" customWidth="1"/>
    <col min="5894" max="5894" width="12.6640625" style="955" bestFit="1" customWidth="1"/>
    <col min="5895" max="5895" width="10.1640625" style="955" bestFit="1" customWidth="1"/>
    <col min="5896" max="5896" width="19.83203125" style="955" customWidth="1"/>
    <col min="5897" max="5897" width="15.33203125" style="955" customWidth="1"/>
    <col min="5898" max="5898" width="14.33203125" style="955" customWidth="1"/>
    <col min="5899" max="6144" width="9.33203125" style="955"/>
    <col min="6145" max="6145" width="2.6640625" style="955" customWidth="1"/>
    <col min="6146" max="6146" width="7.6640625" style="955" bestFit="1" customWidth="1"/>
    <col min="6147" max="6147" width="34.6640625" style="955" customWidth="1"/>
    <col min="6148" max="6148" width="13.33203125" style="955" bestFit="1" customWidth="1"/>
    <col min="6149" max="6149" width="10.1640625" style="955" bestFit="1" customWidth="1"/>
    <col min="6150" max="6150" width="12.6640625" style="955" bestFit="1" customWidth="1"/>
    <col min="6151" max="6151" width="10.1640625" style="955" bestFit="1" customWidth="1"/>
    <col min="6152" max="6152" width="19.83203125" style="955" customWidth="1"/>
    <col min="6153" max="6153" width="15.33203125" style="955" customWidth="1"/>
    <col min="6154" max="6154" width="14.33203125" style="955" customWidth="1"/>
    <col min="6155" max="6400" width="9.33203125" style="955"/>
    <col min="6401" max="6401" width="2.6640625" style="955" customWidth="1"/>
    <col min="6402" max="6402" width="7.6640625" style="955" bestFit="1" customWidth="1"/>
    <col min="6403" max="6403" width="34.6640625" style="955" customWidth="1"/>
    <col min="6404" max="6404" width="13.33203125" style="955" bestFit="1" customWidth="1"/>
    <col min="6405" max="6405" width="10.1640625" style="955" bestFit="1" customWidth="1"/>
    <col min="6406" max="6406" width="12.6640625" style="955" bestFit="1" customWidth="1"/>
    <col min="6407" max="6407" width="10.1640625" style="955" bestFit="1" customWidth="1"/>
    <col min="6408" max="6408" width="19.83203125" style="955" customWidth="1"/>
    <col min="6409" max="6409" width="15.33203125" style="955" customWidth="1"/>
    <col min="6410" max="6410" width="14.33203125" style="955" customWidth="1"/>
    <col min="6411" max="6656" width="9.33203125" style="955"/>
    <col min="6657" max="6657" width="2.6640625" style="955" customWidth="1"/>
    <col min="6658" max="6658" width="7.6640625" style="955" bestFit="1" customWidth="1"/>
    <col min="6659" max="6659" width="34.6640625" style="955" customWidth="1"/>
    <col min="6660" max="6660" width="13.33203125" style="955" bestFit="1" customWidth="1"/>
    <col min="6661" max="6661" width="10.1640625" style="955" bestFit="1" customWidth="1"/>
    <col min="6662" max="6662" width="12.6640625" style="955" bestFit="1" customWidth="1"/>
    <col min="6663" max="6663" width="10.1640625" style="955" bestFit="1" customWidth="1"/>
    <col min="6664" max="6664" width="19.83203125" style="955" customWidth="1"/>
    <col min="6665" max="6665" width="15.33203125" style="955" customWidth="1"/>
    <col min="6666" max="6666" width="14.33203125" style="955" customWidth="1"/>
    <col min="6667" max="6912" width="9.33203125" style="955"/>
    <col min="6913" max="6913" width="2.6640625" style="955" customWidth="1"/>
    <col min="6914" max="6914" width="7.6640625" style="955" bestFit="1" customWidth="1"/>
    <col min="6915" max="6915" width="34.6640625" style="955" customWidth="1"/>
    <col min="6916" max="6916" width="13.33203125" style="955" bestFit="1" customWidth="1"/>
    <col min="6917" max="6917" width="10.1640625" style="955" bestFit="1" customWidth="1"/>
    <col min="6918" max="6918" width="12.6640625" style="955" bestFit="1" customWidth="1"/>
    <col min="6919" max="6919" width="10.1640625" style="955" bestFit="1" customWidth="1"/>
    <col min="6920" max="6920" width="19.83203125" style="955" customWidth="1"/>
    <col min="6921" max="6921" width="15.33203125" style="955" customWidth="1"/>
    <col min="6922" max="6922" width="14.33203125" style="955" customWidth="1"/>
    <col min="6923" max="7168" width="9.33203125" style="955"/>
    <col min="7169" max="7169" width="2.6640625" style="955" customWidth="1"/>
    <col min="7170" max="7170" width="7.6640625" style="955" bestFit="1" customWidth="1"/>
    <col min="7171" max="7171" width="34.6640625" style="955" customWidth="1"/>
    <col min="7172" max="7172" width="13.33203125" style="955" bestFit="1" customWidth="1"/>
    <col min="7173" max="7173" width="10.1640625" style="955" bestFit="1" customWidth="1"/>
    <col min="7174" max="7174" width="12.6640625" style="955" bestFit="1" customWidth="1"/>
    <col min="7175" max="7175" width="10.1640625" style="955" bestFit="1" customWidth="1"/>
    <col min="7176" max="7176" width="19.83203125" style="955" customWidth="1"/>
    <col min="7177" max="7177" width="15.33203125" style="955" customWidth="1"/>
    <col min="7178" max="7178" width="14.33203125" style="955" customWidth="1"/>
    <col min="7179" max="7424" width="9.33203125" style="955"/>
    <col min="7425" max="7425" width="2.6640625" style="955" customWidth="1"/>
    <col min="7426" max="7426" width="7.6640625" style="955" bestFit="1" customWidth="1"/>
    <col min="7427" max="7427" width="34.6640625" style="955" customWidth="1"/>
    <col min="7428" max="7428" width="13.33203125" style="955" bestFit="1" customWidth="1"/>
    <col min="7429" max="7429" width="10.1640625" style="955" bestFit="1" customWidth="1"/>
    <col min="7430" max="7430" width="12.6640625" style="955" bestFit="1" customWidth="1"/>
    <col min="7431" max="7431" width="10.1640625" style="955" bestFit="1" customWidth="1"/>
    <col min="7432" max="7432" width="19.83203125" style="955" customWidth="1"/>
    <col min="7433" max="7433" width="15.33203125" style="955" customWidth="1"/>
    <col min="7434" max="7434" width="14.33203125" style="955" customWidth="1"/>
    <col min="7435" max="7680" width="9.33203125" style="955"/>
    <col min="7681" max="7681" width="2.6640625" style="955" customWidth="1"/>
    <col min="7682" max="7682" width="7.6640625" style="955" bestFit="1" customWidth="1"/>
    <col min="7683" max="7683" width="34.6640625" style="955" customWidth="1"/>
    <col min="7684" max="7684" width="13.33203125" style="955" bestFit="1" customWidth="1"/>
    <col min="7685" max="7685" width="10.1640625" style="955" bestFit="1" customWidth="1"/>
    <col min="7686" max="7686" width="12.6640625" style="955" bestFit="1" customWidth="1"/>
    <col min="7687" max="7687" width="10.1640625" style="955" bestFit="1" customWidth="1"/>
    <col min="7688" max="7688" width="19.83203125" style="955" customWidth="1"/>
    <col min="7689" max="7689" width="15.33203125" style="955" customWidth="1"/>
    <col min="7690" max="7690" width="14.33203125" style="955" customWidth="1"/>
    <col min="7691" max="7936" width="9.33203125" style="955"/>
    <col min="7937" max="7937" width="2.6640625" style="955" customWidth="1"/>
    <col min="7938" max="7938" width="7.6640625" style="955" bestFit="1" customWidth="1"/>
    <col min="7939" max="7939" width="34.6640625" style="955" customWidth="1"/>
    <col min="7940" max="7940" width="13.33203125" style="955" bestFit="1" customWidth="1"/>
    <col min="7941" max="7941" width="10.1640625" style="955" bestFit="1" customWidth="1"/>
    <col min="7942" max="7942" width="12.6640625" style="955" bestFit="1" customWidth="1"/>
    <col min="7943" max="7943" width="10.1640625" style="955" bestFit="1" customWidth="1"/>
    <col min="7944" max="7944" width="19.83203125" style="955" customWidth="1"/>
    <col min="7945" max="7945" width="15.33203125" style="955" customWidth="1"/>
    <col min="7946" max="7946" width="14.33203125" style="955" customWidth="1"/>
    <col min="7947" max="8192" width="9.33203125" style="955"/>
    <col min="8193" max="8193" width="2.6640625" style="955" customWidth="1"/>
    <col min="8194" max="8194" width="7.6640625" style="955" bestFit="1" customWidth="1"/>
    <col min="8195" max="8195" width="34.6640625" style="955" customWidth="1"/>
    <col min="8196" max="8196" width="13.33203125" style="955" bestFit="1" customWidth="1"/>
    <col min="8197" max="8197" width="10.1640625" style="955" bestFit="1" customWidth="1"/>
    <col min="8198" max="8198" width="12.6640625" style="955" bestFit="1" customWidth="1"/>
    <col min="8199" max="8199" width="10.1640625" style="955" bestFit="1" customWidth="1"/>
    <col min="8200" max="8200" width="19.83203125" style="955" customWidth="1"/>
    <col min="8201" max="8201" width="15.33203125" style="955" customWidth="1"/>
    <col min="8202" max="8202" width="14.33203125" style="955" customWidth="1"/>
    <col min="8203" max="8448" width="9.33203125" style="955"/>
    <col min="8449" max="8449" width="2.6640625" style="955" customWidth="1"/>
    <col min="8450" max="8450" width="7.6640625" style="955" bestFit="1" customWidth="1"/>
    <col min="8451" max="8451" width="34.6640625" style="955" customWidth="1"/>
    <col min="8452" max="8452" width="13.33203125" style="955" bestFit="1" customWidth="1"/>
    <col min="8453" max="8453" width="10.1640625" style="955" bestFit="1" customWidth="1"/>
    <col min="8454" max="8454" width="12.6640625" style="955" bestFit="1" customWidth="1"/>
    <col min="8455" max="8455" width="10.1640625" style="955" bestFit="1" customWidth="1"/>
    <col min="8456" max="8456" width="19.83203125" style="955" customWidth="1"/>
    <col min="8457" max="8457" width="15.33203125" style="955" customWidth="1"/>
    <col min="8458" max="8458" width="14.33203125" style="955" customWidth="1"/>
    <col min="8459" max="8704" width="9.33203125" style="955"/>
    <col min="8705" max="8705" width="2.6640625" style="955" customWidth="1"/>
    <col min="8706" max="8706" width="7.6640625" style="955" bestFit="1" customWidth="1"/>
    <col min="8707" max="8707" width="34.6640625" style="955" customWidth="1"/>
    <col min="8708" max="8708" width="13.33203125" style="955" bestFit="1" customWidth="1"/>
    <col min="8709" max="8709" width="10.1640625" style="955" bestFit="1" customWidth="1"/>
    <col min="8710" max="8710" width="12.6640625" style="955" bestFit="1" customWidth="1"/>
    <col min="8711" max="8711" width="10.1640625" style="955" bestFit="1" customWidth="1"/>
    <col min="8712" max="8712" width="19.83203125" style="955" customWidth="1"/>
    <col min="8713" max="8713" width="15.33203125" style="955" customWidth="1"/>
    <col min="8714" max="8714" width="14.33203125" style="955" customWidth="1"/>
    <col min="8715" max="8960" width="9.33203125" style="955"/>
    <col min="8961" max="8961" width="2.6640625" style="955" customWidth="1"/>
    <col min="8962" max="8962" width="7.6640625" style="955" bestFit="1" customWidth="1"/>
    <col min="8963" max="8963" width="34.6640625" style="955" customWidth="1"/>
    <col min="8964" max="8964" width="13.33203125" style="955" bestFit="1" customWidth="1"/>
    <col min="8965" max="8965" width="10.1640625" style="955" bestFit="1" customWidth="1"/>
    <col min="8966" max="8966" width="12.6640625" style="955" bestFit="1" customWidth="1"/>
    <col min="8967" max="8967" width="10.1640625" style="955" bestFit="1" customWidth="1"/>
    <col min="8968" max="8968" width="19.83203125" style="955" customWidth="1"/>
    <col min="8969" max="8969" width="15.33203125" style="955" customWidth="1"/>
    <col min="8970" max="8970" width="14.33203125" style="955" customWidth="1"/>
    <col min="8971" max="9216" width="9.33203125" style="955"/>
    <col min="9217" max="9217" width="2.6640625" style="955" customWidth="1"/>
    <col min="9218" max="9218" width="7.6640625" style="955" bestFit="1" customWidth="1"/>
    <col min="9219" max="9219" width="34.6640625" style="955" customWidth="1"/>
    <col min="9220" max="9220" width="13.33203125" style="955" bestFit="1" customWidth="1"/>
    <col min="9221" max="9221" width="10.1640625" style="955" bestFit="1" customWidth="1"/>
    <col min="9222" max="9222" width="12.6640625" style="955" bestFit="1" customWidth="1"/>
    <col min="9223" max="9223" width="10.1640625" style="955" bestFit="1" customWidth="1"/>
    <col min="9224" max="9224" width="19.83203125" style="955" customWidth="1"/>
    <col min="9225" max="9225" width="15.33203125" style="955" customWidth="1"/>
    <col min="9226" max="9226" width="14.33203125" style="955" customWidth="1"/>
    <col min="9227" max="9472" width="9.33203125" style="955"/>
    <col min="9473" max="9473" width="2.6640625" style="955" customWidth="1"/>
    <col min="9474" max="9474" width="7.6640625" style="955" bestFit="1" customWidth="1"/>
    <col min="9475" max="9475" width="34.6640625" style="955" customWidth="1"/>
    <col min="9476" max="9476" width="13.33203125" style="955" bestFit="1" customWidth="1"/>
    <col min="9477" max="9477" width="10.1640625" style="955" bestFit="1" customWidth="1"/>
    <col min="9478" max="9478" width="12.6640625" style="955" bestFit="1" customWidth="1"/>
    <col min="9479" max="9479" width="10.1640625" style="955" bestFit="1" customWidth="1"/>
    <col min="9480" max="9480" width="19.83203125" style="955" customWidth="1"/>
    <col min="9481" max="9481" width="15.33203125" style="955" customWidth="1"/>
    <col min="9482" max="9482" width="14.33203125" style="955" customWidth="1"/>
    <col min="9483" max="9728" width="9.33203125" style="955"/>
    <col min="9729" max="9729" width="2.6640625" style="955" customWidth="1"/>
    <col min="9730" max="9730" width="7.6640625" style="955" bestFit="1" customWidth="1"/>
    <col min="9731" max="9731" width="34.6640625" style="955" customWidth="1"/>
    <col min="9732" max="9732" width="13.33203125" style="955" bestFit="1" customWidth="1"/>
    <col min="9733" max="9733" width="10.1640625" style="955" bestFit="1" customWidth="1"/>
    <col min="9734" max="9734" width="12.6640625" style="955" bestFit="1" customWidth="1"/>
    <col min="9735" max="9735" width="10.1640625" style="955" bestFit="1" customWidth="1"/>
    <col min="9736" max="9736" width="19.83203125" style="955" customWidth="1"/>
    <col min="9737" max="9737" width="15.33203125" style="955" customWidth="1"/>
    <col min="9738" max="9738" width="14.33203125" style="955" customWidth="1"/>
    <col min="9739" max="9984" width="9.33203125" style="955"/>
    <col min="9985" max="9985" width="2.6640625" style="955" customWidth="1"/>
    <col min="9986" max="9986" width="7.6640625" style="955" bestFit="1" customWidth="1"/>
    <col min="9987" max="9987" width="34.6640625" style="955" customWidth="1"/>
    <col min="9988" max="9988" width="13.33203125" style="955" bestFit="1" customWidth="1"/>
    <col min="9989" max="9989" width="10.1640625" style="955" bestFit="1" customWidth="1"/>
    <col min="9990" max="9990" width="12.6640625" style="955" bestFit="1" customWidth="1"/>
    <col min="9991" max="9991" width="10.1640625" style="955" bestFit="1" customWidth="1"/>
    <col min="9992" max="9992" width="19.83203125" style="955" customWidth="1"/>
    <col min="9993" max="9993" width="15.33203125" style="955" customWidth="1"/>
    <col min="9994" max="9994" width="14.33203125" style="955" customWidth="1"/>
    <col min="9995" max="10240" width="9.33203125" style="955"/>
    <col min="10241" max="10241" width="2.6640625" style="955" customWidth="1"/>
    <col min="10242" max="10242" width="7.6640625" style="955" bestFit="1" customWidth="1"/>
    <col min="10243" max="10243" width="34.6640625" style="955" customWidth="1"/>
    <col min="10244" max="10244" width="13.33203125" style="955" bestFit="1" customWidth="1"/>
    <col min="10245" max="10245" width="10.1640625" style="955" bestFit="1" customWidth="1"/>
    <col min="10246" max="10246" width="12.6640625" style="955" bestFit="1" customWidth="1"/>
    <col min="10247" max="10247" width="10.1640625" style="955" bestFit="1" customWidth="1"/>
    <col min="10248" max="10248" width="19.83203125" style="955" customWidth="1"/>
    <col min="10249" max="10249" width="15.33203125" style="955" customWidth="1"/>
    <col min="10250" max="10250" width="14.33203125" style="955" customWidth="1"/>
    <col min="10251" max="10496" width="9.33203125" style="955"/>
    <col min="10497" max="10497" width="2.6640625" style="955" customWidth="1"/>
    <col min="10498" max="10498" width="7.6640625" style="955" bestFit="1" customWidth="1"/>
    <col min="10499" max="10499" width="34.6640625" style="955" customWidth="1"/>
    <col min="10500" max="10500" width="13.33203125" style="955" bestFit="1" customWidth="1"/>
    <col min="10501" max="10501" width="10.1640625" style="955" bestFit="1" customWidth="1"/>
    <col min="10502" max="10502" width="12.6640625" style="955" bestFit="1" customWidth="1"/>
    <col min="10503" max="10503" width="10.1640625" style="955" bestFit="1" customWidth="1"/>
    <col min="10504" max="10504" width="19.83203125" style="955" customWidth="1"/>
    <col min="10505" max="10505" width="15.33203125" style="955" customWidth="1"/>
    <col min="10506" max="10506" width="14.33203125" style="955" customWidth="1"/>
    <col min="10507" max="10752" width="9.33203125" style="955"/>
    <col min="10753" max="10753" width="2.6640625" style="955" customWidth="1"/>
    <col min="10754" max="10754" width="7.6640625" style="955" bestFit="1" customWidth="1"/>
    <col min="10755" max="10755" width="34.6640625" style="955" customWidth="1"/>
    <col min="10756" max="10756" width="13.33203125" style="955" bestFit="1" customWidth="1"/>
    <col min="10757" max="10757" width="10.1640625" style="955" bestFit="1" customWidth="1"/>
    <col min="10758" max="10758" width="12.6640625" style="955" bestFit="1" customWidth="1"/>
    <col min="10759" max="10759" width="10.1640625" style="955" bestFit="1" customWidth="1"/>
    <col min="10760" max="10760" width="19.83203125" style="955" customWidth="1"/>
    <col min="10761" max="10761" width="15.33203125" style="955" customWidth="1"/>
    <col min="10762" max="10762" width="14.33203125" style="955" customWidth="1"/>
    <col min="10763" max="11008" width="9.33203125" style="955"/>
    <col min="11009" max="11009" width="2.6640625" style="955" customWidth="1"/>
    <col min="11010" max="11010" width="7.6640625" style="955" bestFit="1" customWidth="1"/>
    <col min="11011" max="11011" width="34.6640625" style="955" customWidth="1"/>
    <col min="11012" max="11012" width="13.33203125" style="955" bestFit="1" customWidth="1"/>
    <col min="11013" max="11013" width="10.1640625" style="955" bestFit="1" customWidth="1"/>
    <col min="11014" max="11014" width="12.6640625" style="955" bestFit="1" customWidth="1"/>
    <col min="11015" max="11015" width="10.1640625" style="955" bestFit="1" customWidth="1"/>
    <col min="11016" max="11016" width="19.83203125" style="955" customWidth="1"/>
    <col min="11017" max="11017" width="15.33203125" style="955" customWidth="1"/>
    <col min="11018" max="11018" width="14.33203125" style="955" customWidth="1"/>
    <col min="11019" max="11264" width="9.33203125" style="955"/>
    <col min="11265" max="11265" width="2.6640625" style="955" customWidth="1"/>
    <col min="11266" max="11266" width="7.6640625" style="955" bestFit="1" customWidth="1"/>
    <col min="11267" max="11267" width="34.6640625" style="955" customWidth="1"/>
    <col min="11268" max="11268" width="13.33203125" style="955" bestFit="1" customWidth="1"/>
    <col min="11269" max="11269" width="10.1640625" style="955" bestFit="1" customWidth="1"/>
    <col min="11270" max="11270" width="12.6640625" style="955" bestFit="1" customWidth="1"/>
    <col min="11271" max="11271" width="10.1640625" style="955" bestFit="1" customWidth="1"/>
    <col min="11272" max="11272" width="19.83203125" style="955" customWidth="1"/>
    <col min="11273" max="11273" width="15.33203125" style="955" customWidth="1"/>
    <col min="11274" max="11274" width="14.33203125" style="955" customWidth="1"/>
    <col min="11275" max="11520" width="9.33203125" style="955"/>
    <col min="11521" max="11521" width="2.6640625" style="955" customWidth="1"/>
    <col min="11522" max="11522" width="7.6640625" style="955" bestFit="1" customWidth="1"/>
    <col min="11523" max="11523" width="34.6640625" style="955" customWidth="1"/>
    <col min="11524" max="11524" width="13.33203125" style="955" bestFit="1" customWidth="1"/>
    <col min="11525" max="11525" width="10.1640625" style="955" bestFit="1" customWidth="1"/>
    <col min="11526" max="11526" width="12.6640625" style="955" bestFit="1" customWidth="1"/>
    <col min="11527" max="11527" width="10.1640625" style="955" bestFit="1" customWidth="1"/>
    <col min="11528" max="11528" width="19.83203125" style="955" customWidth="1"/>
    <col min="11529" max="11529" width="15.33203125" style="955" customWidth="1"/>
    <col min="11530" max="11530" width="14.33203125" style="955" customWidth="1"/>
    <col min="11531" max="11776" width="9.33203125" style="955"/>
    <col min="11777" max="11777" width="2.6640625" style="955" customWidth="1"/>
    <col min="11778" max="11778" width="7.6640625" style="955" bestFit="1" customWidth="1"/>
    <col min="11779" max="11779" width="34.6640625" style="955" customWidth="1"/>
    <col min="11780" max="11780" width="13.33203125" style="955" bestFit="1" customWidth="1"/>
    <col min="11781" max="11781" width="10.1640625" style="955" bestFit="1" customWidth="1"/>
    <col min="11782" max="11782" width="12.6640625" style="955" bestFit="1" customWidth="1"/>
    <col min="11783" max="11783" width="10.1640625" style="955" bestFit="1" customWidth="1"/>
    <col min="11784" max="11784" width="19.83203125" style="955" customWidth="1"/>
    <col min="11785" max="11785" width="15.33203125" style="955" customWidth="1"/>
    <col min="11786" max="11786" width="14.33203125" style="955" customWidth="1"/>
    <col min="11787" max="12032" width="9.33203125" style="955"/>
    <col min="12033" max="12033" width="2.6640625" style="955" customWidth="1"/>
    <col min="12034" max="12034" width="7.6640625" style="955" bestFit="1" customWidth="1"/>
    <col min="12035" max="12035" width="34.6640625" style="955" customWidth="1"/>
    <col min="12036" max="12036" width="13.33203125" style="955" bestFit="1" customWidth="1"/>
    <col min="12037" max="12037" width="10.1640625" style="955" bestFit="1" customWidth="1"/>
    <col min="12038" max="12038" width="12.6640625" style="955" bestFit="1" customWidth="1"/>
    <col min="12039" max="12039" width="10.1640625" style="955" bestFit="1" customWidth="1"/>
    <col min="12040" max="12040" width="19.83203125" style="955" customWidth="1"/>
    <col min="12041" max="12041" width="15.33203125" style="955" customWidth="1"/>
    <col min="12042" max="12042" width="14.33203125" style="955" customWidth="1"/>
    <col min="12043" max="12288" width="9.33203125" style="955"/>
    <col min="12289" max="12289" width="2.6640625" style="955" customWidth="1"/>
    <col min="12290" max="12290" width="7.6640625" style="955" bestFit="1" customWidth="1"/>
    <col min="12291" max="12291" width="34.6640625" style="955" customWidth="1"/>
    <col min="12292" max="12292" width="13.33203125" style="955" bestFit="1" customWidth="1"/>
    <col min="12293" max="12293" width="10.1640625" style="955" bestFit="1" customWidth="1"/>
    <col min="12294" max="12294" width="12.6640625" style="955" bestFit="1" customWidth="1"/>
    <col min="12295" max="12295" width="10.1640625" style="955" bestFit="1" customWidth="1"/>
    <col min="12296" max="12296" width="19.83203125" style="955" customWidth="1"/>
    <col min="12297" max="12297" width="15.33203125" style="955" customWidth="1"/>
    <col min="12298" max="12298" width="14.33203125" style="955" customWidth="1"/>
    <col min="12299" max="12544" width="9.33203125" style="955"/>
    <col min="12545" max="12545" width="2.6640625" style="955" customWidth="1"/>
    <col min="12546" max="12546" width="7.6640625" style="955" bestFit="1" customWidth="1"/>
    <col min="12547" max="12547" width="34.6640625" style="955" customWidth="1"/>
    <col min="12548" max="12548" width="13.33203125" style="955" bestFit="1" customWidth="1"/>
    <col min="12549" max="12549" width="10.1640625" style="955" bestFit="1" customWidth="1"/>
    <col min="12550" max="12550" width="12.6640625" style="955" bestFit="1" customWidth="1"/>
    <col min="12551" max="12551" width="10.1640625" style="955" bestFit="1" customWidth="1"/>
    <col min="12552" max="12552" width="19.83203125" style="955" customWidth="1"/>
    <col min="12553" max="12553" width="15.33203125" style="955" customWidth="1"/>
    <col min="12554" max="12554" width="14.33203125" style="955" customWidth="1"/>
    <col min="12555" max="12800" width="9.33203125" style="955"/>
    <col min="12801" max="12801" width="2.6640625" style="955" customWidth="1"/>
    <col min="12802" max="12802" width="7.6640625" style="955" bestFit="1" customWidth="1"/>
    <col min="12803" max="12803" width="34.6640625" style="955" customWidth="1"/>
    <col min="12804" max="12804" width="13.33203125" style="955" bestFit="1" customWidth="1"/>
    <col min="12805" max="12805" width="10.1640625" style="955" bestFit="1" customWidth="1"/>
    <col min="12806" max="12806" width="12.6640625" style="955" bestFit="1" customWidth="1"/>
    <col min="12807" max="12807" width="10.1640625" style="955" bestFit="1" customWidth="1"/>
    <col min="12808" max="12808" width="19.83203125" style="955" customWidth="1"/>
    <col min="12809" max="12809" width="15.33203125" style="955" customWidth="1"/>
    <col min="12810" max="12810" width="14.33203125" style="955" customWidth="1"/>
    <col min="12811" max="13056" width="9.33203125" style="955"/>
    <col min="13057" max="13057" width="2.6640625" style="955" customWidth="1"/>
    <col min="13058" max="13058" width="7.6640625" style="955" bestFit="1" customWidth="1"/>
    <col min="13059" max="13059" width="34.6640625" style="955" customWidth="1"/>
    <col min="13060" max="13060" width="13.33203125" style="955" bestFit="1" customWidth="1"/>
    <col min="13061" max="13061" width="10.1640625" style="955" bestFit="1" customWidth="1"/>
    <col min="13062" max="13062" width="12.6640625" style="955" bestFit="1" customWidth="1"/>
    <col min="13063" max="13063" width="10.1640625" style="955" bestFit="1" customWidth="1"/>
    <col min="13064" max="13064" width="19.83203125" style="955" customWidth="1"/>
    <col min="13065" max="13065" width="15.33203125" style="955" customWidth="1"/>
    <col min="13066" max="13066" width="14.33203125" style="955" customWidth="1"/>
    <col min="13067" max="13312" width="9.33203125" style="955"/>
    <col min="13313" max="13313" width="2.6640625" style="955" customWidth="1"/>
    <col min="13314" max="13314" width="7.6640625" style="955" bestFit="1" customWidth="1"/>
    <col min="13315" max="13315" width="34.6640625" style="955" customWidth="1"/>
    <col min="13316" max="13316" width="13.33203125" style="955" bestFit="1" customWidth="1"/>
    <col min="13317" max="13317" width="10.1640625" style="955" bestFit="1" customWidth="1"/>
    <col min="13318" max="13318" width="12.6640625" style="955" bestFit="1" customWidth="1"/>
    <col min="13319" max="13319" width="10.1640625" style="955" bestFit="1" customWidth="1"/>
    <col min="13320" max="13320" width="19.83203125" style="955" customWidth="1"/>
    <col min="13321" max="13321" width="15.33203125" style="955" customWidth="1"/>
    <col min="13322" max="13322" width="14.33203125" style="955" customWidth="1"/>
    <col min="13323" max="13568" width="9.33203125" style="955"/>
    <col min="13569" max="13569" width="2.6640625" style="955" customWidth="1"/>
    <col min="13570" max="13570" width="7.6640625" style="955" bestFit="1" customWidth="1"/>
    <col min="13571" max="13571" width="34.6640625" style="955" customWidth="1"/>
    <col min="13572" max="13572" width="13.33203125" style="955" bestFit="1" customWidth="1"/>
    <col min="13573" max="13573" width="10.1640625" style="955" bestFit="1" customWidth="1"/>
    <col min="13574" max="13574" width="12.6640625" style="955" bestFit="1" customWidth="1"/>
    <col min="13575" max="13575" width="10.1640625" style="955" bestFit="1" customWidth="1"/>
    <col min="13576" max="13576" width="19.83203125" style="955" customWidth="1"/>
    <col min="13577" max="13577" width="15.33203125" style="955" customWidth="1"/>
    <col min="13578" max="13578" width="14.33203125" style="955" customWidth="1"/>
    <col min="13579" max="13824" width="9.33203125" style="955"/>
    <col min="13825" max="13825" width="2.6640625" style="955" customWidth="1"/>
    <col min="13826" max="13826" width="7.6640625" style="955" bestFit="1" customWidth="1"/>
    <col min="13827" max="13827" width="34.6640625" style="955" customWidth="1"/>
    <col min="13828" max="13828" width="13.33203125" style="955" bestFit="1" customWidth="1"/>
    <col min="13829" max="13829" width="10.1640625" style="955" bestFit="1" customWidth="1"/>
    <col min="13830" max="13830" width="12.6640625" style="955" bestFit="1" customWidth="1"/>
    <col min="13831" max="13831" width="10.1640625" style="955" bestFit="1" customWidth="1"/>
    <col min="13832" max="13832" width="19.83203125" style="955" customWidth="1"/>
    <col min="13833" max="13833" width="15.33203125" style="955" customWidth="1"/>
    <col min="13834" max="13834" width="14.33203125" style="955" customWidth="1"/>
    <col min="13835" max="14080" width="9.33203125" style="955"/>
    <col min="14081" max="14081" width="2.6640625" style="955" customWidth="1"/>
    <col min="14082" max="14082" width="7.6640625" style="955" bestFit="1" customWidth="1"/>
    <col min="14083" max="14083" width="34.6640625" style="955" customWidth="1"/>
    <col min="14084" max="14084" width="13.33203125" style="955" bestFit="1" customWidth="1"/>
    <col min="14085" max="14085" width="10.1640625" style="955" bestFit="1" customWidth="1"/>
    <col min="14086" max="14086" width="12.6640625" style="955" bestFit="1" customWidth="1"/>
    <col min="14087" max="14087" width="10.1640625" style="955" bestFit="1" customWidth="1"/>
    <col min="14088" max="14088" width="19.83203125" style="955" customWidth="1"/>
    <col min="14089" max="14089" width="15.33203125" style="955" customWidth="1"/>
    <col min="14090" max="14090" width="14.33203125" style="955" customWidth="1"/>
    <col min="14091" max="14336" width="9.33203125" style="955"/>
    <col min="14337" max="14337" width="2.6640625" style="955" customWidth="1"/>
    <col min="14338" max="14338" width="7.6640625" style="955" bestFit="1" customWidth="1"/>
    <col min="14339" max="14339" width="34.6640625" style="955" customWidth="1"/>
    <col min="14340" max="14340" width="13.33203125" style="955" bestFit="1" customWidth="1"/>
    <col min="14341" max="14341" width="10.1640625" style="955" bestFit="1" customWidth="1"/>
    <col min="14342" max="14342" width="12.6640625" style="955" bestFit="1" customWidth="1"/>
    <col min="14343" max="14343" width="10.1640625" style="955" bestFit="1" customWidth="1"/>
    <col min="14344" max="14344" width="19.83203125" style="955" customWidth="1"/>
    <col min="14345" max="14345" width="15.33203125" style="955" customWidth="1"/>
    <col min="14346" max="14346" width="14.33203125" style="955" customWidth="1"/>
    <col min="14347" max="14592" width="9.33203125" style="955"/>
    <col min="14593" max="14593" width="2.6640625" style="955" customWidth="1"/>
    <col min="14594" max="14594" width="7.6640625" style="955" bestFit="1" customWidth="1"/>
    <col min="14595" max="14595" width="34.6640625" style="955" customWidth="1"/>
    <col min="14596" max="14596" width="13.33203125" style="955" bestFit="1" customWidth="1"/>
    <col min="14597" max="14597" width="10.1640625" style="955" bestFit="1" customWidth="1"/>
    <col min="14598" max="14598" width="12.6640625" style="955" bestFit="1" customWidth="1"/>
    <col min="14599" max="14599" width="10.1640625" style="955" bestFit="1" customWidth="1"/>
    <col min="14600" max="14600" width="19.83203125" style="955" customWidth="1"/>
    <col min="14601" max="14601" width="15.33203125" style="955" customWidth="1"/>
    <col min="14602" max="14602" width="14.33203125" style="955" customWidth="1"/>
    <col min="14603" max="14848" width="9.33203125" style="955"/>
    <col min="14849" max="14849" width="2.6640625" style="955" customWidth="1"/>
    <col min="14850" max="14850" width="7.6640625" style="955" bestFit="1" customWidth="1"/>
    <col min="14851" max="14851" width="34.6640625" style="955" customWidth="1"/>
    <col min="14852" max="14852" width="13.33203125" style="955" bestFit="1" customWidth="1"/>
    <col min="14853" max="14853" width="10.1640625" style="955" bestFit="1" customWidth="1"/>
    <col min="14854" max="14854" width="12.6640625" style="955" bestFit="1" customWidth="1"/>
    <col min="14855" max="14855" width="10.1640625" style="955" bestFit="1" customWidth="1"/>
    <col min="14856" max="14856" width="19.83203125" style="955" customWidth="1"/>
    <col min="14857" max="14857" width="15.33203125" style="955" customWidth="1"/>
    <col min="14858" max="14858" width="14.33203125" style="955" customWidth="1"/>
    <col min="14859" max="15104" width="9.33203125" style="955"/>
    <col min="15105" max="15105" width="2.6640625" style="955" customWidth="1"/>
    <col min="15106" max="15106" width="7.6640625" style="955" bestFit="1" customWidth="1"/>
    <col min="15107" max="15107" width="34.6640625" style="955" customWidth="1"/>
    <col min="15108" max="15108" width="13.33203125" style="955" bestFit="1" customWidth="1"/>
    <col min="15109" max="15109" width="10.1640625" style="955" bestFit="1" customWidth="1"/>
    <col min="15110" max="15110" width="12.6640625" style="955" bestFit="1" customWidth="1"/>
    <col min="15111" max="15111" width="10.1640625" style="955" bestFit="1" customWidth="1"/>
    <col min="15112" max="15112" width="19.83203125" style="955" customWidth="1"/>
    <col min="15113" max="15113" width="15.33203125" style="955" customWidth="1"/>
    <col min="15114" max="15114" width="14.33203125" style="955" customWidth="1"/>
    <col min="15115" max="15360" width="9.33203125" style="955"/>
    <col min="15361" max="15361" width="2.6640625" style="955" customWidth="1"/>
    <col min="15362" max="15362" width="7.6640625" style="955" bestFit="1" customWidth="1"/>
    <col min="15363" max="15363" width="34.6640625" style="955" customWidth="1"/>
    <col min="15364" max="15364" width="13.33203125" style="955" bestFit="1" customWidth="1"/>
    <col min="15365" max="15365" width="10.1640625" style="955" bestFit="1" customWidth="1"/>
    <col min="15366" max="15366" width="12.6640625" style="955" bestFit="1" customWidth="1"/>
    <col min="15367" max="15367" width="10.1640625" style="955" bestFit="1" customWidth="1"/>
    <col min="15368" max="15368" width="19.83203125" style="955" customWidth="1"/>
    <col min="15369" max="15369" width="15.33203125" style="955" customWidth="1"/>
    <col min="15370" max="15370" width="14.33203125" style="955" customWidth="1"/>
    <col min="15371" max="15616" width="9.33203125" style="955"/>
    <col min="15617" max="15617" width="2.6640625" style="955" customWidth="1"/>
    <col min="15618" max="15618" width="7.6640625" style="955" bestFit="1" customWidth="1"/>
    <col min="15619" max="15619" width="34.6640625" style="955" customWidth="1"/>
    <col min="15620" max="15620" width="13.33203125" style="955" bestFit="1" customWidth="1"/>
    <col min="15621" max="15621" width="10.1640625" style="955" bestFit="1" customWidth="1"/>
    <col min="15622" max="15622" width="12.6640625" style="955" bestFit="1" customWidth="1"/>
    <col min="15623" max="15623" width="10.1640625" style="955" bestFit="1" customWidth="1"/>
    <col min="15624" max="15624" width="19.83203125" style="955" customWidth="1"/>
    <col min="15625" max="15625" width="15.33203125" style="955" customWidth="1"/>
    <col min="15626" max="15626" width="14.33203125" style="955" customWidth="1"/>
    <col min="15627" max="15872" width="9.33203125" style="955"/>
    <col min="15873" max="15873" width="2.6640625" style="955" customWidth="1"/>
    <col min="15874" max="15874" width="7.6640625" style="955" bestFit="1" customWidth="1"/>
    <col min="15875" max="15875" width="34.6640625" style="955" customWidth="1"/>
    <col min="15876" max="15876" width="13.33203125" style="955" bestFit="1" customWidth="1"/>
    <col min="15877" max="15877" width="10.1640625" style="955" bestFit="1" customWidth="1"/>
    <col min="15878" max="15878" width="12.6640625" style="955" bestFit="1" customWidth="1"/>
    <col min="15879" max="15879" width="10.1640625" style="955" bestFit="1" customWidth="1"/>
    <col min="15880" max="15880" width="19.83203125" style="955" customWidth="1"/>
    <col min="15881" max="15881" width="15.33203125" style="955" customWidth="1"/>
    <col min="15882" max="15882" width="14.33203125" style="955" customWidth="1"/>
    <col min="15883" max="16128" width="9.33203125" style="955"/>
    <col min="16129" max="16129" width="2.6640625" style="955" customWidth="1"/>
    <col min="16130" max="16130" width="7.6640625" style="955" bestFit="1" customWidth="1"/>
    <col min="16131" max="16131" width="34.6640625" style="955" customWidth="1"/>
    <col min="16132" max="16132" width="13.33203125" style="955" bestFit="1" customWidth="1"/>
    <col min="16133" max="16133" width="10.1640625" style="955" bestFit="1" customWidth="1"/>
    <col min="16134" max="16134" width="12.6640625" style="955" bestFit="1" customWidth="1"/>
    <col min="16135" max="16135" width="10.1640625" style="955" bestFit="1" customWidth="1"/>
    <col min="16136" max="16136" width="19.83203125" style="955" customWidth="1"/>
    <col min="16137" max="16137" width="15.33203125" style="955" customWidth="1"/>
    <col min="16138" max="16138" width="14.33203125" style="955" customWidth="1"/>
    <col min="16139" max="16384" width="9.33203125" style="955"/>
  </cols>
  <sheetData>
    <row r="1" spans="2:11" ht="28.5" hidden="1" customHeight="1" outlineLevel="1" x14ac:dyDescent="0.2">
      <c r="F1" s="2817" t="s">
        <v>246</v>
      </c>
      <c r="G1" s="2818"/>
      <c r="H1" s="2818"/>
      <c r="I1" s="2818"/>
      <c r="J1" s="956"/>
    </row>
    <row r="2" spans="2:11" s="957" customFormat="1" collapsed="1" x14ac:dyDescent="0.2">
      <c r="B2" s="955"/>
      <c r="C2" s="955"/>
      <c r="D2" s="955"/>
      <c r="E2" s="955"/>
      <c r="F2" s="955"/>
      <c r="G2" s="955"/>
      <c r="H2" s="955"/>
      <c r="I2" s="956"/>
      <c r="J2" s="956"/>
    </row>
    <row r="3" spans="2:11" outlineLevel="1" x14ac:dyDescent="0.2">
      <c r="B3" s="2819" t="s">
        <v>247</v>
      </c>
      <c r="C3" s="2819"/>
      <c r="D3" s="2819"/>
      <c r="E3" s="2819"/>
      <c r="F3" s="2819"/>
      <c r="G3" s="2819"/>
      <c r="H3" s="2819"/>
      <c r="I3" s="2819"/>
      <c r="J3" s="2819"/>
    </row>
    <row r="4" spans="2:11" outlineLevel="1" x14ac:dyDescent="0.2">
      <c r="B4" s="2819" t="s">
        <v>1317</v>
      </c>
      <c r="C4" s="2819"/>
      <c r="D4" s="2819"/>
      <c r="E4" s="2819"/>
      <c r="F4" s="2819"/>
      <c r="G4" s="2819"/>
      <c r="H4" s="2819"/>
      <c r="I4" s="2819"/>
      <c r="J4" s="2819"/>
    </row>
    <row r="5" spans="2:11" outlineLevel="1" x14ac:dyDescent="0.2">
      <c r="B5" s="2819" t="s">
        <v>1318</v>
      </c>
      <c r="C5" s="2819"/>
      <c r="D5" s="2819"/>
      <c r="E5" s="2819"/>
      <c r="F5" s="2819"/>
      <c r="G5" s="2819"/>
      <c r="H5" s="2819"/>
      <c r="I5" s="2819"/>
      <c r="J5" s="2819"/>
    </row>
    <row r="6" spans="2:11" s="957" customFormat="1" x14ac:dyDescent="0.2">
      <c r="B6" s="955"/>
      <c r="C6" s="955"/>
      <c r="D6" s="955"/>
      <c r="E6" s="955"/>
      <c r="F6" s="955"/>
      <c r="G6" s="955"/>
      <c r="H6" s="955"/>
      <c r="I6" s="956"/>
      <c r="J6" s="958" t="s">
        <v>1687</v>
      </c>
    </row>
    <row r="7" spans="2:11" ht="33.75" customHeight="1" x14ac:dyDescent="0.2">
      <c r="B7" s="2820" t="s">
        <v>78</v>
      </c>
      <c r="C7" s="2820" t="s">
        <v>248</v>
      </c>
      <c r="D7" s="2820" t="s">
        <v>249</v>
      </c>
      <c r="E7" s="2820" t="s">
        <v>232</v>
      </c>
      <c r="F7" s="2820"/>
      <c r="G7" s="2820"/>
      <c r="H7" s="2820"/>
      <c r="I7" s="2821" t="s">
        <v>233</v>
      </c>
      <c r="J7" s="2821" t="s">
        <v>234</v>
      </c>
    </row>
    <row r="8" spans="2:11" ht="69" x14ac:dyDescent="0.2">
      <c r="B8" s="2820"/>
      <c r="C8" s="2820"/>
      <c r="D8" s="2820"/>
      <c r="E8" s="959" t="s">
        <v>250</v>
      </c>
      <c r="F8" s="959" t="s">
        <v>321</v>
      </c>
      <c r="G8" s="959" t="s">
        <v>251</v>
      </c>
      <c r="H8" s="959" t="s">
        <v>182</v>
      </c>
      <c r="I8" s="2822"/>
      <c r="J8" s="2822"/>
    </row>
    <row r="9" spans="2:11" x14ac:dyDescent="0.2">
      <c r="B9" s="960">
        <v>1</v>
      </c>
      <c r="C9" s="960">
        <v>2</v>
      </c>
      <c r="D9" s="960">
        <v>3</v>
      </c>
      <c r="E9" s="960">
        <v>4</v>
      </c>
      <c r="F9" s="960">
        <v>5</v>
      </c>
      <c r="G9" s="960">
        <v>6</v>
      </c>
      <c r="H9" s="960">
        <v>7</v>
      </c>
      <c r="I9" s="960">
        <v>8</v>
      </c>
      <c r="J9" s="960">
        <v>9</v>
      </c>
    </row>
    <row r="10" spans="2:11" x14ac:dyDescent="0.2">
      <c r="B10" s="960">
        <v>1</v>
      </c>
      <c r="C10" s="961" t="s">
        <v>252</v>
      </c>
      <c r="D10" s="960" t="s">
        <v>253</v>
      </c>
      <c r="E10" s="962"/>
      <c r="F10" s="962"/>
      <c r="G10" s="962"/>
      <c r="H10" s="963"/>
      <c r="I10" s="962"/>
      <c r="J10" s="962"/>
      <c r="K10" s="964"/>
    </row>
    <row r="11" spans="2:11" x14ac:dyDescent="0.2">
      <c r="B11" s="960">
        <v>2</v>
      </c>
      <c r="C11" s="961" t="s">
        <v>254</v>
      </c>
      <c r="D11" s="960" t="s">
        <v>255</v>
      </c>
      <c r="E11" s="962"/>
      <c r="F11" s="962"/>
      <c r="G11" s="962"/>
      <c r="H11" s="962"/>
      <c r="I11" s="962"/>
      <c r="J11" s="962"/>
    </row>
    <row r="12" spans="2:11" ht="25.5" x14ac:dyDescent="0.2">
      <c r="B12" s="960">
        <v>3</v>
      </c>
      <c r="C12" s="961" t="s">
        <v>256</v>
      </c>
      <c r="D12" s="960" t="s">
        <v>257</v>
      </c>
      <c r="E12" s="962"/>
      <c r="F12" s="962"/>
      <c r="G12" s="962"/>
      <c r="H12" s="962"/>
      <c r="I12" s="962"/>
      <c r="J12" s="962"/>
    </row>
    <row r="13" spans="2:11" ht="25.5" x14ac:dyDescent="0.2">
      <c r="B13" s="960">
        <v>4</v>
      </c>
      <c r="C13" s="961" t="s">
        <v>258</v>
      </c>
      <c r="D13" s="960" t="s">
        <v>259</v>
      </c>
      <c r="E13" s="962"/>
      <c r="F13" s="962"/>
      <c r="G13" s="962"/>
      <c r="H13" s="962"/>
      <c r="I13" s="962"/>
      <c r="J13" s="962"/>
    </row>
    <row r="14" spans="2:11" x14ac:dyDescent="0.2">
      <c r="B14" s="960">
        <v>5</v>
      </c>
      <c r="C14" s="961" t="s">
        <v>260</v>
      </c>
      <c r="D14" s="960" t="s">
        <v>261</v>
      </c>
      <c r="E14" s="962"/>
      <c r="F14" s="962"/>
      <c r="G14" s="962"/>
      <c r="H14" s="962"/>
      <c r="I14" s="962"/>
      <c r="J14" s="962"/>
    </row>
    <row r="15" spans="2:11" x14ac:dyDescent="0.2">
      <c r="B15" s="960">
        <v>6</v>
      </c>
      <c r="C15" s="961" t="s">
        <v>262</v>
      </c>
      <c r="D15" s="960" t="s">
        <v>261</v>
      </c>
      <c r="E15" s="962"/>
      <c r="F15" s="962"/>
      <c r="G15" s="962"/>
      <c r="H15" s="962"/>
      <c r="I15" s="962"/>
      <c r="J15" s="962"/>
    </row>
    <row r="16" spans="2:11" x14ac:dyDescent="0.2">
      <c r="B16" s="960">
        <v>7</v>
      </c>
      <c r="C16" s="961" t="s">
        <v>263</v>
      </c>
      <c r="D16" s="960" t="s">
        <v>261</v>
      </c>
      <c r="E16" s="962"/>
      <c r="F16" s="962"/>
      <c r="G16" s="962"/>
      <c r="H16" s="962"/>
      <c r="I16" s="962"/>
      <c r="J16" s="962"/>
    </row>
    <row r="17" spans="2:10" ht="25.5" x14ac:dyDescent="0.2">
      <c r="B17" s="960">
        <v>8</v>
      </c>
      <c r="C17" s="961" t="s">
        <v>264</v>
      </c>
      <c r="D17" s="960" t="s">
        <v>265</v>
      </c>
      <c r="E17" s="962"/>
      <c r="F17" s="962"/>
      <c r="G17" s="962"/>
      <c r="H17" s="962"/>
      <c r="I17" s="962"/>
      <c r="J17" s="962"/>
    </row>
    <row r="18" spans="2:10" x14ac:dyDescent="0.2">
      <c r="B18" s="960">
        <v>9</v>
      </c>
      <c r="C18" s="961" t="s">
        <v>266</v>
      </c>
      <c r="D18" s="960" t="s">
        <v>257</v>
      </c>
      <c r="E18" s="962"/>
      <c r="F18" s="962"/>
      <c r="G18" s="962"/>
      <c r="H18" s="962"/>
      <c r="I18" s="962"/>
      <c r="J18" s="962"/>
    </row>
    <row r="19" spans="2:10" x14ac:dyDescent="0.2">
      <c r="B19" s="965" t="s">
        <v>267</v>
      </c>
      <c r="C19" s="966" t="s">
        <v>268</v>
      </c>
      <c r="D19" s="965" t="s">
        <v>269</v>
      </c>
      <c r="E19" s="962"/>
      <c r="F19" s="967"/>
      <c r="G19" s="962"/>
      <c r="H19" s="962"/>
      <c r="I19" s="962"/>
      <c r="J19" s="962"/>
    </row>
    <row r="20" spans="2:10" ht="24" x14ac:dyDescent="0.2">
      <c r="B20" s="965" t="s">
        <v>270</v>
      </c>
      <c r="C20" s="966" t="s">
        <v>271</v>
      </c>
      <c r="D20" s="965" t="s">
        <v>272</v>
      </c>
      <c r="E20" s="962"/>
      <c r="F20" s="967"/>
      <c r="G20" s="962"/>
      <c r="H20" s="962"/>
      <c r="I20" s="962"/>
      <c r="J20" s="962"/>
    </row>
    <row r="21" spans="2:10" x14ac:dyDescent="0.2">
      <c r="B21" s="965" t="s">
        <v>273</v>
      </c>
      <c r="C21" s="966" t="s">
        <v>274</v>
      </c>
      <c r="D21" s="965"/>
      <c r="E21" s="962"/>
      <c r="F21" s="967"/>
      <c r="G21" s="962"/>
      <c r="H21" s="962"/>
      <c r="I21" s="962"/>
      <c r="J21" s="962"/>
    </row>
    <row r="22" spans="2:10" ht="60" x14ac:dyDescent="0.2">
      <c r="B22" s="965" t="s">
        <v>275</v>
      </c>
      <c r="C22" s="966" t="s">
        <v>276</v>
      </c>
      <c r="D22" s="965" t="s">
        <v>257</v>
      </c>
      <c r="E22" s="962"/>
      <c r="F22" s="967"/>
      <c r="G22" s="962"/>
      <c r="H22" s="962"/>
      <c r="I22" s="962"/>
      <c r="J22" s="962"/>
    </row>
    <row r="23" spans="2:10" ht="36" x14ac:dyDescent="0.2">
      <c r="B23" s="965" t="s">
        <v>277</v>
      </c>
      <c r="C23" s="966" t="s">
        <v>278</v>
      </c>
      <c r="D23" s="965" t="s">
        <v>257</v>
      </c>
      <c r="E23" s="962"/>
      <c r="F23" s="967"/>
      <c r="G23" s="962"/>
      <c r="H23" s="962"/>
      <c r="I23" s="962"/>
      <c r="J23" s="962"/>
    </row>
    <row r="24" spans="2:10" x14ac:dyDescent="0.2">
      <c r="B24" s="965" t="s">
        <v>279</v>
      </c>
      <c r="C24" s="966" t="s">
        <v>280</v>
      </c>
      <c r="D24" s="965" t="s">
        <v>257</v>
      </c>
      <c r="E24" s="962"/>
      <c r="F24" s="967"/>
      <c r="G24" s="962"/>
      <c r="H24" s="962"/>
      <c r="I24" s="962"/>
      <c r="J24" s="962"/>
    </row>
    <row r="25" spans="2:10" ht="12" customHeight="1" x14ac:dyDescent="0.2">
      <c r="B25" s="965" t="s">
        <v>281</v>
      </c>
      <c r="C25" s="966" t="s">
        <v>282</v>
      </c>
      <c r="D25" s="965" t="s">
        <v>257</v>
      </c>
      <c r="E25" s="962"/>
      <c r="F25" s="967"/>
      <c r="G25" s="962"/>
      <c r="H25" s="962"/>
      <c r="I25" s="962"/>
      <c r="J25" s="962"/>
    </row>
    <row r="26" spans="2:10" x14ac:dyDescent="0.2">
      <c r="B26" s="965" t="s">
        <v>283</v>
      </c>
      <c r="C26" s="966" t="s">
        <v>1319</v>
      </c>
      <c r="D26" s="965" t="s">
        <v>284</v>
      </c>
      <c r="E26" s="962"/>
      <c r="F26" s="967"/>
      <c r="G26" s="962"/>
      <c r="H26" s="962"/>
      <c r="I26" s="962"/>
      <c r="J26" s="962"/>
    </row>
    <row r="27" spans="2:10" x14ac:dyDescent="0.2">
      <c r="B27" s="965" t="s">
        <v>285</v>
      </c>
      <c r="C27" s="961" t="s">
        <v>286</v>
      </c>
      <c r="D27" s="965" t="s">
        <v>284</v>
      </c>
      <c r="E27" s="962">
        <v>1</v>
      </c>
      <c r="F27" s="967">
        <v>3000</v>
      </c>
      <c r="G27" s="962">
        <v>3</v>
      </c>
      <c r="H27" s="962"/>
      <c r="I27" s="962">
        <v>3</v>
      </c>
      <c r="J27" s="962">
        <v>30</v>
      </c>
    </row>
    <row r="28" spans="2:10" x14ac:dyDescent="0.2">
      <c r="B28" s="965">
        <v>10</v>
      </c>
      <c r="C28" s="966" t="s">
        <v>287</v>
      </c>
      <c r="D28" s="960"/>
      <c r="E28" s="962"/>
      <c r="F28" s="962"/>
      <c r="G28" s="962"/>
      <c r="H28" s="962"/>
      <c r="I28" s="962"/>
      <c r="J28" s="962"/>
    </row>
    <row r="29" spans="2:10" x14ac:dyDescent="0.2">
      <c r="B29" s="968" t="s">
        <v>288</v>
      </c>
      <c r="C29" s="966" t="s">
        <v>289</v>
      </c>
      <c r="D29" s="960" t="s">
        <v>257</v>
      </c>
      <c r="E29" s="962"/>
      <c r="F29" s="962"/>
      <c r="G29" s="962"/>
      <c r="H29" s="962"/>
      <c r="I29" s="962"/>
      <c r="J29" s="962"/>
    </row>
    <row r="30" spans="2:10" x14ac:dyDescent="0.2">
      <c r="B30" s="968" t="s">
        <v>290</v>
      </c>
      <c r="C30" s="966" t="s">
        <v>291</v>
      </c>
      <c r="D30" s="960" t="s">
        <v>257</v>
      </c>
      <c r="E30" s="962"/>
      <c r="F30" s="962"/>
      <c r="G30" s="962"/>
      <c r="H30" s="962"/>
      <c r="I30" s="962"/>
      <c r="J30" s="962"/>
    </row>
    <row r="31" spans="2:10" x14ac:dyDescent="0.2">
      <c r="B31" s="965" t="s">
        <v>292</v>
      </c>
      <c r="C31" s="966" t="s">
        <v>293</v>
      </c>
      <c r="D31" s="960" t="s">
        <v>257</v>
      </c>
      <c r="E31" s="962"/>
      <c r="F31" s="962"/>
      <c r="G31" s="962"/>
      <c r="H31" s="962"/>
      <c r="I31" s="962"/>
      <c r="J31" s="962"/>
    </row>
    <row r="32" spans="2:10" x14ac:dyDescent="0.2">
      <c r="B32" s="965" t="s">
        <v>294</v>
      </c>
      <c r="C32" s="966" t="s">
        <v>295</v>
      </c>
      <c r="D32" s="960" t="s">
        <v>257</v>
      </c>
      <c r="E32" s="962"/>
      <c r="F32" s="962"/>
      <c r="G32" s="962"/>
      <c r="H32" s="962"/>
      <c r="I32" s="962"/>
      <c r="J32" s="962"/>
    </row>
    <row r="33" spans="2:10" x14ac:dyDescent="0.2">
      <c r="B33" s="965" t="s">
        <v>296</v>
      </c>
      <c r="C33" s="966" t="s">
        <v>297</v>
      </c>
      <c r="D33" s="960" t="s">
        <v>257</v>
      </c>
      <c r="E33" s="962"/>
      <c r="F33" s="962"/>
      <c r="G33" s="962"/>
      <c r="H33" s="962"/>
      <c r="I33" s="962"/>
      <c r="J33" s="962"/>
    </row>
    <row r="34" spans="2:10" x14ac:dyDescent="0.2">
      <c r="B34" s="965">
        <v>11</v>
      </c>
      <c r="C34" s="966" t="s">
        <v>298</v>
      </c>
      <c r="D34" s="960"/>
      <c r="E34" s="962"/>
      <c r="F34" s="962"/>
      <c r="G34" s="962"/>
      <c r="H34" s="962"/>
      <c r="I34" s="962"/>
      <c r="J34" s="962"/>
    </row>
    <row r="35" spans="2:10" x14ac:dyDescent="0.2">
      <c r="B35" s="965" t="s">
        <v>299</v>
      </c>
      <c r="C35" s="966" t="s">
        <v>289</v>
      </c>
      <c r="D35" s="960" t="s">
        <v>257</v>
      </c>
      <c r="E35" s="962"/>
      <c r="F35" s="962"/>
      <c r="G35" s="962"/>
      <c r="H35" s="962"/>
      <c r="I35" s="962"/>
      <c r="J35" s="962"/>
    </row>
    <row r="36" spans="2:10" x14ac:dyDescent="0.2">
      <c r="B36" s="965" t="s">
        <v>300</v>
      </c>
      <c r="C36" s="966" t="s">
        <v>291</v>
      </c>
      <c r="D36" s="960" t="s">
        <v>257</v>
      </c>
      <c r="E36" s="962"/>
      <c r="F36" s="962"/>
      <c r="G36" s="962"/>
      <c r="H36" s="962"/>
      <c r="I36" s="962"/>
      <c r="J36" s="962"/>
    </row>
    <row r="37" spans="2:10" x14ac:dyDescent="0.2">
      <c r="B37" s="965" t="s">
        <v>301</v>
      </c>
      <c r="C37" s="966" t="s">
        <v>293</v>
      </c>
      <c r="D37" s="960" t="s">
        <v>257</v>
      </c>
      <c r="E37" s="962"/>
      <c r="F37" s="962"/>
      <c r="G37" s="962"/>
      <c r="H37" s="962"/>
      <c r="I37" s="962"/>
      <c r="J37" s="962"/>
    </row>
    <row r="38" spans="2:10" x14ac:dyDescent="0.2">
      <c r="B38" s="965" t="s">
        <v>302</v>
      </c>
      <c r="C38" s="966" t="s">
        <v>295</v>
      </c>
      <c r="D38" s="960" t="s">
        <v>257</v>
      </c>
      <c r="E38" s="962"/>
      <c r="F38" s="962"/>
      <c r="G38" s="962"/>
      <c r="H38" s="962"/>
      <c r="I38" s="962"/>
      <c r="J38" s="962"/>
    </row>
    <row r="39" spans="2:10" x14ac:dyDescent="0.2">
      <c r="B39" s="965" t="s">
        <v>303</v>
      </c>
      <c r="C39" s="966" t="s">
        <v>297</v>
      </c>
      <c r="D39" s="960" t="s">
        <v>257</v>
      </c>
      <c r="E39" s="962"/>
      <c r="F39" s="962"/>
      <c r="G39" s="962"/>
      <c r="H39" s="962"/>
      <c r="I39" s="962"/>
      <c r="J39" s="962"/>
    </row>
    <row r="40" spans="2:10" x14ac:dyDescent="0.2">
      <c r="B40" s="965">
        <v>12</v>
      </c>
      <c r="C40" s="966" t="s">
        <v>304</v>
      </c>
      <c r="D40" s="960"/>
      <c r="E40" s="962"/>
      <c r="F40" s="962"/>
      <c r="G40" s="962"/>
      <c r="H40" s="962"/>
      <c r="I40" s="962"/>
      <c r="J40" s="962"/>
    </row>
    <row r="41" spans="2:10" x14ac:dyDescent="0.2">
      <c r="B41" s="965" t="s">
        <v>305</v>
      </c>
      <c r="C41" s="966" t="s">
        <v>289</v>
      </c>
      <c r="D41" s="960" t="s">
        <v>257</v>
      </c>
      <c r="E41" s="962"/>
      <c r="F41" s="962"/>
      <c r="G41" s="962"/>
      <c r="H41" s="962"/>
      <c r="I41" s="962"/>
      <c r="J41" s="962"/>
    </row>
    <row r="42" spans="2:10" x14ac:dyDescent="0.2">
      <c r="B42" s="965" t="s">
        <v>306</v>
      </c>
      <c r="C42" s="966" t="s">
        <v>291</v>
      </c>
      <c r="D42" s="960" t="s">
        <v>257</v>
      </c>
      <c r="E42" s="962"/>
      <c r="F42" s="962"/>
      <c r="G42" s="962"/>
      <c r="H42" s="962"/>
      <c r="I42" s="962"/>
      <c r="J42" s="962"/>
    </row>
    <row r="43" spans="2:10" x14ac:dyDescent="0.2">
      <c r="B43" s="965" t="s">
        <v>307</v>
      </c>
      <c r="C43" s="966" t="s">
        <v>293</v>
      </c>
      <c r="D43" s="960" t="s">
        <v>257</v>
      </c>
      <c r="E43" s="962"/>
      <c r="F43" s="962"/>
      <c r="G43" s="962"/>
      <c r="H43" s="962"/>
      <c r="I43" s="962"/>
      <c r="J43" s="962"/>
    </row>
    <row r="44" spans="2:10" x14ac:dyDescent="0.2">
      <c r="B44" s="965" t="s">
        <v>308</v>
      </c>
      <c r="C44" s="966" t="s">
        <v>295</v>
      </c>
      <c r="D44" s="960" t="s">
        <v>257</v>
      </c>
      <c r="E44" s="962"/>
      <c r="F44" s="962"/>
      <c r="G44" s="962"/>
      <c r="H44" s="962"/>
      <c r="I44" s="962"/>
      <c r="J44" s="962"/>
    </row>
    <row r="45" spans="2:10" ht="24" x14ac:dyDescent="0.2">
      <c r="B45" s="965">
        <v>13</v>
      </c>
      <c r="C45" s="966" t="s">
        <v>1320</v>
      </c>
      <c r="D45" s="960" t="s">
        <v>309</v>
      </c>
      <c r="E45" s="962"/>
      <c r="F45" s="962"/>
      <c r="G45" s="962"/>
      <c r="H45" s="962"/>
      <c r="I45" s="962"/>
      <c r="J45" s="962"/>
    </row>
    <row r="46" spans="2:10" x14ac:dyDescent="0.2">
      <c r="B46" s="965">
        <v>14</v>
      </c>
      <c r="C46" s="966" t="s">
        <v>1321</v>
      </c>
      <c r="D46" s="960"/>
      <c r="E46" s="962"/>
      <c r="F46" s="962"/>
      <c r="G46" s="962"/>
      <c r="H46" s="962"/>
      <c r="I46" s="962"/>
      <c r="J46" s="962"/>
    </row>
    <row r="47" spans="2:10" ht="24" x14ac:dyDescent="0.2">
      <c r="B47" s="965" t="s">
        <v>1322</v>
      </c>
      <c r="C47" s="966" t="s">
        <v>1323</v>
      </c>
      <c r="D47" s="960" t="s">
        <v>309</v>
      </c>
      <c r="E47" s="962"/>
      <c r="F47" s="962"/>
      <c r="G47" s="962"/>
      <c r="H47" s="962"/>
      <c r="I47" s="962"/>
      <c r="J47" s="962"/>
    </row>
    <row r="48" spans="2:10" x14ac:dyDescent="0.2">
      <c r="B48" s="965"/>
      <c r="C48" s="966" t="s">
        <v>1324</v>
      </c>
      <c r="D48" s="960" t="s">
        <v>309</v>
      </c>
      <c r="E48" s="962"/>
      <c r="F48" s="962"/>
      <c r="G48" s="962"/>
      <c r="H48" s="962"/>
      <c r="I48" s="962"/>
      <c r="J48" s="962"/>
    </row>
    <row r="49" spans="2:10" x14ac:dyDescent="0.2">
      <c r="B49" s="965"/>
      <c r="C49" s="966" t="s">
        <v>1325</v>
      </c>
      <c r="D49" s="960" t="s">
        <v>309</v>
      </c>
      <c r="E49" s="962"/>
      <c r="F49" s="962"/>
      <c r="G49" s="962"/>
      <c r="H49" s="962"/>
      <c r="I49" s="962"/>
      <c r="J49" s="962"/>
    </row>
    <row r="50" spans="2:10" ht="24" x14ac:dyDescent="0.2">
      <c r="B50" s="968" t="s">
        <v>1326</v>
      </c>
      <c r="C50" s="966" t="s">
        <v>1327</v>
      </c>
      <c r="D50" s="960" t="s">
        <v>309</v>
      </c>
      <c r="E50" s="962"/>
      <c r="F50" s="962"/>
      <c r="G50" s="962"/>
      <c r="H50" s="962"/>
      <c r="I50" s="962"/>
      <c r="J50" s="962"/>
    </row>
    <row r="51" spans="2:10" x14ac:dyDescent="0.2">
      <c r="B51" s="965"/>
      <c r="C51" s="966" t="s">
        <v>1324</v>
      </c>
      <c r="D51" s="960" t="s">
        <v>309</v>
      </c>
      <c r="E51" s="962"/>
      <c r="F51" s="962"/>
      <c r="G51" s="962"/>
      <c r="H51" s="962"/>
      <c r="I51" s="962"/>
      <c r="J51" s="962"/>
    </row>
    <row r="52" spans="2:10" x14ac:dyDescent="0.2">
      <c r="B52" s="968"/>
      <c r="C52" s="966" t="s">
        <v>1325</v>
      </c>
      <c r="D52" s="960" t="s">
        <v>309</v>
      </c>
      <c r="E52" s="962"/>
      <c r="F52" s="962"/>
      <c r="G52" s="962"/>
      <c r="H52" s="962"/>
      <c r="I52" s="962"/>
      <c r="J52" s="962"/>
    </row>
    <row r="53" spans="2:10" x14ac:dyDescent="0.2">
      <c r="B53" s="965">
        <v>16</v>
      </c>
      <c r="C53" s="966" t="s">
        <v>310</v>
      </c>
      <c r="D53" s="960"/>
      <c r="E53" s="962"/>
      <c r="F53" s="962"/>
      <c r="G53" s="962"/>
      <c r="H53" s="962"/>
      <c r="I53" s="962"/>
      <c r="J53" s="962"/>
    </row>
    <row r="54" spans="2:10" ht="24" x14ac:dyDescent="0.2">
      <c r="B54" s="965" t="s">
        <v>311</v>
      </c>
      <c r="C54" s="966" t="s">
        <v>312</v>
      </c>
      <c r="D54" s="960" t="s">
        <v>253</v>
      </c>
      <c r="E54" s="962"/>
      <c r="F54" s="962"/>
      <c r="G54" s="962"/>
      <c r="H54" s="962"/>
      <c r="I54" s="962"/>
      <c r="J54" s="962"/>
    </row>
    <row r="55" spans="2:10" x14ac:dyDescent="0.2">
      <c r="B55" s="965" t="s">
        <v>313</v>
      </c>
      <c r="C55" s="966" t="s">
        <v>314</v>
      </c>
      <c r="D55" s="960" t="s">
        <v>253</v>
      </c>
      <c r="E55" s="962"/>
      <c r="F55" s="962"/>
      <c r="G55" s="962"/>
      <c r="H55" s="962"/>
      <c r="I55" s="962"/>
      <c r="J55" s="962"/>
    </row>
    <row r="56" spans="2:10" ht="24" x14ac:dyDescent="0.2">
      <c r="B56" s="965">
        <v>17</v>
      </c>
      <c r="C56" s="966" t="s">
        <v>315</v>
      </c>
      <c r="D56" s="960" t="s">
        <v>253</v>
      </c>
      <c r="E56" s="962"/>
      <c r="F56" s="962"/>
      <c r="G56" s="962"/>
      <c r="H56" s="962"/>
      <c r="I56" s="962"/>
      <c r="J56" s="962"/>
    </row>
    <row r="57" spans="2:10" ht="48" x14ac:dyDescent="0.2">
      <c r="B57" s="965">
        <v>18</v>
      </c>
      <c r="C57" s="966" t="s">
        <v>316</v>
      </c>
      <c r="D57" s="960" t="s">
        <v>317</v>
      </c>
      <c r="E57" s="962"/>
      <c r="F57" s="962"/>
      <c r="G57" s="962"/>
      <c r="H57" s="962"/>
      <c r="I57" s="962"/>
      <c r="J57" s="962"/>
    </row>
    <row r="58" spans="2:10" ht="24" x14ac:dyDescent="0.2">
      <c r="B58" s="965">
        <v>19</v>
      </c>
      <c r="C58" s="966" t="s">
        <v>1328</v>
      </c>
      <c r="D58" s="965"/>
      <c r="E58" s="962"/>
      <c r="F58" s="962"/>
      <c r="G58" s="962"/>
      <c r="H58" s="962"/>
      <c r="I58" s="962"/>
      <c r="J58" s="962"/>
    </row>
    <row r="59" spans="2:10" x14ac:dyDescent="0.2">
      <c r="B59" s="965"/>
      <c r="C59" s="966" t="s">
        <v>1329</v>
      </c>
      <c r="D59" s="965"/>
      <c r="E59" s="962"/>
      <c r="F59" s="962"/>
      <c r="G59" s="962"/>
      <c r="H59" s="962"/>
      <c r="I59" s="962"/>
      <c r="J59" s="962"/>
    </row>
    <row r="60" spans="2:10" x14ac:dyDescent="0.2">
      <c r="B60" s="965"/>
      <c r="C60" s="966" t="s">
        <v>1330</v>
      </c>
      <c r="D60" s="965"/>
      <c r="E60" s="962"/>
      <c r="F60" s="962"/>
      <c r="G60" s="962"/>
      <c r="H60" s="962"/>
      <c r="I60" s="962"/>
      <c r="J60" s="962"/>
    </row>
    <row r="61" spans="2:10" x14ac:dyDescent="0.2">
      <c r="B61" s="965"/>
      <c r="C61" s="966" t="s">
        <v>1331</v>
      </c>
      <c r="D61" s="965"/>
      <c r="E61" s="962"/>
      <c r="F61" s="962"/>
      <c r="G61" s="962"/>
      <c r="H61" s="962"/>
      <c r="I61" s="962"/>
      <c r="J61" s="962"/>
    </row>
    <row r="62" spans="2:10" x14ac:dyDescent="0.2">
      <c r="B62" s="965"/>
      <c r="C62" s="966" t="s">
        <v>1332</v>
      </c>
      <c r="D62" s="965"/>
      <c r="E62" s="962"/>
      <c r="F62" s="962"/>
      <c r="G62" s="962"/>
      <c r="H62" s="962"/>
      <c r="I62" s="962"/>
      <c r="J62" s="962"/>
    </row>
    <row r="63" spans="2:10" x14ac:dyDescent="0.2">
      <c r="B63" s="965"/>
      <c r="C63" s="966" t="s">
        <v>1333</v>
      </c>
      <c r="D63" s="965"/>
      <c r="E63" s="962"/>
      <c r="F63" s="962"/>
      <c r="G63" s="962"/>
      <c r="H63" s="962"/>
      <c r="I63" s="962"/>
      <c r="J63" s="962"/>
    </row>
    <row r="64" spans="2:10" x14ac:dyDescent="0.2">
      <c r="B64" s="965"/>
      <c r="C64" s="966" t="s">
        <v>1334</v>
      </c>
      <c r="D64" s="965"/>
      <c r="E64" s="962"/>
      <c r="F64" s="962"/>
      <c r="G64" s="962"/>
      <c r="H64" s="962"/>
      <c r="I64" s="962"/>
      <c r="J64" s="962"/>
    </row>
    <row r="65" spans="2:10" x14ac:dyDescent="0.2">
      <c r="B65" s="965"/>
      <c r="C65" s="966" t="s">
        <v>1335</v>
      </c>
      <c r="D65" s="965"/>
      <c r="E65" s="962"/>
      <c r="F65" s="962"/>
      <c r="G65" s="962"/>
      <c r="H65" s="962"/>
      <c r="I65" s="962"/>
      <c r="J65" s="962"/>
    </row>
    <row r="66" spans="2:10" x14ac:dyDescent="0.2">
      <c r="B66" s="965"/>
      <c r="C66" s="966" t="s">
        <v>1336</v>
      </c>
      <c r="D66" s="965"/>
      <c r="E66" s="962"/>
      <c r="F66" s="962"/>
      <c r="G66" s="962"/>
      <c r="H66" s="962"/>
      <c r="I66" s="962"/>
      <c r="J66" s="962"/>
    </row>
    <row r="67" spans="2:10" x14ac:dyDescent="0.2">
      <c r="B67" s="965"/>
      <c r="C67" s="966" t="s">
        <v>1337</v>
      </c>
      <c r="D67" s="965"/>
      <c r="E67" s="962"/>
      <c r="F67" s="962"/>
      <c r="G67" s="962"/>
      <c r="H67" s="962"/>
      <c r="I67" s="962"/>
      <c r="J67" s="962"/>
    </row>
    <row r="68" spans="2:10" x14ac:dyDescent="0.2">
      <c r="B68" s="965"/>
      <c r="C68" s="966" t="s">
        <v>1338</v>
      </c>
      <c r="D68" s="965"/>
      <c r="E68" s="962"/>
      <c r="F68" s="962"/>
      <c r="G68" s="962"/>
      <c r="H68" s="962"/>
      <c r="I68" s="962"/>
      <c r="J68" s="962"/>
    </row>
    <row r="69" spans="2:10" x14ac:dyDescent="0.2">
      <c r="B69" s="965"/>
      <c r="C69" s="966" t="s">
        <v>1339</v>
      </c>
      <c r="D69" s="965"/>
      <c r="E69" s="962"/>
      <c r="F69" s="962"/>
      <c r="G69" s="962"/>
      <c r="H69" s="962"/>
      <c r="I69" s="962"/>
      <c r="J69" s="962"/>
    </row>
    <row r="70" spans="2:10" ht="24" x14ac:dyDescent="0.2">
      <c r="B70" s="965">
        <v>20</v>
      </c>
      <c r="C70" s="966" t="s">
        <v>1340</v>
      </c>
      <c r="D70" s="965"/>
      <c r="E70" s="962"/>
      <c r="F70" s="962"/>
      <c r="G70" s="962"/>
      <c r="H70" s="962"/>
      <c r="I70" s="962"/>
      <c r="J70" s="962"/>
    </row>
    <row r="71" spans="2:10" x14ac:dyDescent="0.2">
      <c r="B71" s="965" t="s">
        <v>1341</v>
      </c>
      <c r="C71" s="966" t="s">
        <v>1342</v>
      </c>
      <c r="D71" s="965" t="s">
        <v>255</v>
      </c>
      <c r="E71" s="962"/>
      <c r="F71" s="962"/>
      <c r="G71" s="962"/>
      <c r="H71" s="962"/>
      <c r="I71" s="962"/>
      <c r="J71" s="962"/>
    </row>
    <row r="72" spans="2:10" x14ac:dyDescent="0.2">
      <c r="B72" s="965" t="s">
        <v>1343</v>
      </c>
      <c r="C72" s="966" t="s">
        <v>1344</v>
      </c>
      <c r="D72" s="965" t="s">
        <v>255</v>
      </c>
      <c r="E72" s="962"/>
      <c r="F72" s="962"/>
      <c r="G72" s="962"/>
      <c r="H72" s="962"/>
      <c r="I72" s="962"/>
      <c r="J72" s="962"/>
    </row>
    <row r="73" spans="2:10" s="972" customFormat="1" ht="24" x14ac:dyDescent="0.2">
      <c r="B73" s="969">
        <v>21</v>
      </c>
      <c r="C73" s="970" t="s">
        <v>318</v>
      </c>
      <c r="D73" s="969"/>
      <c r="E73" s="971"/>
      <c r="F73" s="971"/>
      <c r="G73" s="971">
        <f>SUM(G10:G72)</f>
        <v>3</v>
      </c>
      <c r="H73" s="971"/>
      <c r="I73" s="971">
        <v>3</v>
      </c>
      <c r="J73" s="971">
        <v>3</v>
      </c>
    </row>
    <row r="74" spans="2:10" x14ac:dyDescent="0.2">
      <c r="E74" s="973"/>
      <c r="F74" s="973"/>
      <c r="G74" s="973"/>
      <c r="H74" s="973"/>
      <c r="I74" s="973"/>
      <c r="J74" s="973"/>
    </row>
    <row r="75" spans="2:10" x14ac:dyDescent="0.2">
      <c r="E75" s="973"/>
      <c r="F75" s="973"/>
      <c r="G75" s="973"/>
      <c r="H75" s="973"/>
      <c r="I75" s="973"/>
      <c r="J75" s="973"/>
    </row>
    <row r="76" spans="2:10" ht="15" customHeight="1" x14ac:dyDescent="0.2">
      <c r="B76" s="2815" t="s">
        <v>14</v>
      </c>
      <c r="C76" s="2815"/>
      <c r="E76" s="2816" t="s">
        <v>1345</v>
      </c>
      <c r="F76" s="2816"/>
      <c r="G76" s="973"/>
      <c r="H76" s="973"/>
      <c r="I76" s="973"/>
      <c r="J76" s="973"/>
    </row>
    <row r="77" spans="2:10" x14ac:dyDescent="0.2">
      <c r="E77" s="973"/>
      <c r="F77" s="973"/>
      <c r="G77" s="973"/>
      <c r="H77" s="973"/>
      <c r="I77" s="973"/>
      <c r="J77" s="973"/>
    </row>
    <row r="78" spans="2:10" x14ac:dyDescent="0.2">
      <c r="E78" s="973"/>
      <c r="F78" s="973"/>
      <c r="G78" s="973"/>
      <c r="H78" s="973"/>
      <c r="I78" s="973"/>
      <c r="J78" s="973"/>
    </row>
    <row r="80" spans="2:10" ht="25.5" customHeight="1" x14ac:dyDescent="0.2">
      <c r="B80" s="2815" t="s">
        <v>410</v>
      </c>
      <c r="C80" s="2815"/>
    </row>
  </sheetData>
  <mergeCells count="13">
    <mergeCell ref="B76:C76"/>
    <mergeCell ref="E76:F76"/>
    <mergeCell ref="B80:C80"/>
    <mergeCell ref="F1:I1"/>
    <mergeCell ref="B3:J3"/>
    <mergeCell ref="B4:J4"/>
    <mergeCell ref="B5:J5"/>
    <mergeCell ref="B7:B8"/>
    <mergeCell ref="C7:C8"/>
    <mergeCell ref="D7:D8"/>
    <mergeCell ref="E7:H7"/>
    <mergeCell ref="I7:I8"/>
    <mergeCell ref="J7:J8"/>
  </mergeCells>
  <pageMargins left="0.7" right="0.7" top="0.75" bottom="0.75" header="0.3" footer="0.3"/>
  <pageSetup paperSize="9" scale="70" orientation="portrait" r:id="rId1"/>
  <legacy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7" tint="0.39997558519241921"/>
  </sheetPr>
  <dimension ref="A1:M33"/>
  <sheetViews>
    <sheetView view="pageBreakPreview" zoomScale="80" zoomScaleNormal="80" zoomScaleSheetLayoutView="80" workbookViewId="0">
      <pane xSplit="3" ySplit="10" topLeftCell="D11" activePane="bottomRight" state="frozen"/>
      <selection activeCell="I4" sqref="I4:K8"/>
      <selection pane="topRight" activeCell="I4" sqref="I4:K8"/>
      <selection pane="bottomLeft" activeCell="I4" sqref="I4:K8"/>
      <selection pane="bottomRight" activeCell="B44" sqref="B44"/>
    </sheetView>
  </sheetViews>
  <sheetFormatPr defaultRowHeight="12.75" x14ac:dyDescent="0.2"/>
  <cols>
    <col min="1" max="1" width="5.33203125" style="2088" customWidth="1"/>
    <col min="2" max="2" width="55.5" style="2088" customWidth="1"/>
    <col min="3" max="3" width="9" style="2088" customWidth="1"/>
    <col min="4" max="4" width="13.1640625" style="2089" customWidth="1"/>
    <col min="5" max="5" width="14.83203125" style="2089" customWidth="1"/>
    <col min="6" max="6" width="13.1640625" style="2090" customWidth="1"/>
    <col min="7" max="7" width="12.83203125" style="2091" customWidth="1"/>
    <col min="8" max="8" width="13.5" style="2089" customWidth="1"/>
    <col min="9" max="9" width="11.33203125" style="2089" customWidth="1"/>
    <col min="10" max="10" width="13.6640625" style="2089" customWidth="1"/>
    <col min="11" max="11" width="12.83203125" style="2089" customWidth="1"/>
    <col min="12" max="12" width="14.83203125" style="2089" customWidth="1"/>
    <col min="13" max="16384" width="9.33203125" style="2088"/>
  </cols>
  <sheetData>
    <row r="1" spans="1:13" ht="15" hidden="1" customHeight="1" x14ac:dyDescent="0.25">
      <c r="H1" s="2682" t="s">
        <v>323</v>
      </c>
      <c r="I1" s="2682"/>
      <c r="J1" s="2682"/>
      <c r="K1" s="2682"/>
      <c r="L1" s="2682"/>
    </row>
    <row r="2" spans="1:13" ht="15" hidden="1" customHeight="1" x14ac:dyDescent="0.25">
      <c r="H2" s="2682" t="s">
        <v>324</v>
      </c>
      <c r="I2" s="2682"/>
      <c r="J2" s="2682"/>
      <c r="K2" s="2682"/>
      <c r="L2" s="2682"/>
    </row>
    <row r="3" spans="1:13" ht="15" hidden="1" customHeight="1" x14ac:dyDescent="0.25">
      <c r="H3" s="2682" t="s">
        <v>325</v>
      </c>
      <c r="I3" s="2682"/>
      <c r="J3" s="2682"/>
      <c r="K3" s="2682"/>
      <c r="L3" s="2682"/>
    </row>
    <row r="4" spans="1:13" ht="40.5" customHeight="1" x14ac:dyDescent="0.2">
      <c r="A4" s="2827" t="s">
        <v>1692</v>
      </c>
      <c r="B4" s="2827"/>
      <c r="C4" s="2827"/>
      <c r="D4" s="2827"/>
      <c r="E4" s="2827"/>
      <c r="F4" s="2827"/>
      <c r="G4" s="2827"/>
      <c r="H4" s="2827"/>
      <c r="I4" s="2827"/>
      <c r="J4" s="2827"/>
      <c r="K4" s="2827"/>
      <c r="L4" s="2827"/>
    </row>
    <row r="5" spans="1:13" ht="15.75" x14ac:dyDescent="0.2">
      <c r="A5" s="2828" t="s">
        <v>1695</v>
      </c>
      <c r="B5" s="2828"/>
      <c r="C5" s="2828"/>
      <c r="D5" s="2828"/>
      <c r="E5" s="2828"/>
      <c r="F5" s="2828"/>
      <c r="G5" s="2828"/>
      <c r="H5" s="2828"/>
      <c r="I5" s="2828"/>
      <c r="J5" s="2828"/>
      <c r="K5" s="2828"/>
      <c r="L5" s="2828"/>
    </row>
    <row r="6" spans="1:13" x14ac:dyDescent="0.2">
      <c r="L6" s="2092">
        <v>43882</v>
      </c>
    </row>
    <row r="7" spans="1:13" ht="27" customHeight="1" x14ac:dyDescent="0.2">
      <c r="A7" s="2829" t="s">
        <v>78</v>
      </c>
      <c r="B7" s="2829" t="s">
        <v>248</v>
      </c>
      <c r="C7" s="2829" t="s">
        <v>221</v>
      </c>
      <c r="D7" s="2830" t="s">
        <v>326</v>
      </c>
      <c r="E7" s="2830"/>
      <c r="F7" s="2830"/>
      <c r="G7" s="2823" t="s">
        <v>327</v>
      </c>
      <c r="H7" s="2823"/>
      <c r="I7" s="2823"/>
      <c r="J7" s="2823" t="s">
        <v>328</v>
      </c>
      <c r="K7" s="2823"/>
      <c r="L7" s="2823"/>
    </row>
    <row r="8" spans="1:13" ht="12.75" customHeight="1" x14ac:dyDescent="0.2">
      <c r="A8" s="2829"/>
      <c r="B8" s="2829"/>
      <c r="C8" s="2829"/>
      <c r="D8" s="2824" t="s">
        <v>329</v>
      </c>
      <c r="E8" s="2824" t="s">
        <v>1693</v>
      </c>
      <c r="F8" s="2825" t="s">
        <v>1694</v>
      </c>
      <c r="G8" s="2824" t="s">
        <v>329</v>
      </c>
      <c r="H8" s="2824" t="s">
        <v>1693</v>
      </c>
      <c r="I8" s="2826" t="s">
        <v>1694</v>
      </c>
      <c r="J8" s="2824" t="s">
        <v>329</v>
      </c>
      <c r="K8" s="2824" t="s">
        <v>1693</v>
      </c>
      <c r="L8" s="2826" t="s">
        <v>1694</v>
      </c>
    </row>
    <row r="9" spans="1:13" ht="34.5" customHeight="1" x14ac:dyDescent="0.2">
      <c r="A9" s="2829"/>
      <c r="B9" s="2829"/>
      <c r="C9" s="2829"/>
      <c r="D9" s="2824"/>
      <c r="E9" s="2824"/>
      <c r="F9" s="2825"/>
      <c r="G9" s="2824"/>
      <c r="H9" s="2824"/>
      <c r="I9" s="2826"/>
      <c r="J9" s="2824"/>
      <c r="K9" s="2824"/>
      <c r="L9" s="2826"/>
    </row>
    <row r="10" spans="1:13" x14ac:dyDescent="0.2">
      <c r="A10" s="2093">
        <v>1</v>
      </c>
      <c r="B10" s="2093">
        <v>2</v>
      </c>
      <c r="C10" s="2093">
        <v>3</v>
      </c>
      <c r="D10" s="2094">
        <v>4</v>
      </c>
      <c r="E10" s="2094">
        <v>5</v>
      </c>
      <c r="F10" s="2095">
        <v>6</v>
      </c>
      <c r="G10" s="2095">
        <v>8</v>
      </c>
      <c r="H10" s="2094">
        <v>9</v>
      </c>
      <c r="I10" s="2095">
        <v>10</v>
      </c>
      <c r="J10" s="2094">
        <v>11</v>
      </c>
      <c r="K10" s="2095">
        <v>12</v>
      </c>
      <c r="L10" s="2094">
        <v>13</v>
      </c>
    </row>
    <row r="11" spans="1:13" s="2101" customFormat="1" ht="17.25" customHeight="1" x14ac:dyDescent="0.2">
      <c r="A11" s="2096">
        <v>1</v>
      </c>
      <c r="B11" s="2097" t="s">
        <v>330</v>
      </c>
      <c r="C11" s="2096" t="s">
        <v>331</v>
      </c>
      <c r="D11" s="2098"/>
      <c r="E11" s="2098"/>
      <c r="F11" s="2099">
        <f>SUM(F12:F12)</f>
        <v>0</v>
      </c>
      <c r="G11" s="2100"/>
      <c r="H11" s="2098"/>
      <c r="I11" s="2098">
        <f>SUM(I12:I12)</f>
        <v>0</v>
      </c>
      <c r="J11" s="2098"/>
      <c r="K11" s="2098"/>
      <c r="L11" s="2098">
        <f>SUM(L12:L12)</f>
        <v>0</v>
      </c>
    </row>
    <row r="12" spans="1:13" s="2108" customFormat="1" x14ac:dyDescent="0.2">
      <c r="A12" s="2102"/>
      <c r="B12" s="2103"/>
      <c r="C12" s="2104"/>
      <c r="D12" s="2105"/>
      <c r="E12" s="2106"/>
      <c r="F12" s="2107"/>
      <c r="G12" s="2105"/>
      <c r="H12" s="2106"/>
      <c r="I12" s="2106"/>
      <c r="J12" s="2105"/>
      <c r="K12" s="2106"/>
      <c r="L12" s="2106"/>
    </row>
    <row r="13" spans="1:13" s="2108" customFormat="1" ht="25.5" x14ac:dyDescent="0.2">
      <c r="A13" s="2096">
        <v>2</v>
      </c>
      <c r="B13" s="2097" t="s">
        <v>332</v>
      </c>
      <c r="C13" s="2096" t="s">
        <v>331</v>
      </c>
      <c r="D13" s="2109"/>
      <c r="E13" s="2109"/>
      <c r="F13" s="2110">
        <f>SUM(F14:F14)</f>
        <v>0</v>
      </c>
      <c r="G13" s="2109"/>
      <c r="H13" s="2109"/>
      <c r="I13" s="2109">
        <f>SUM(I14:I14)</f>
        <v>0</v>
      </c>
      <c r="J13" s="2109"/>
      <c r="K13" s="2109"/>
      <c r="L13" s="2109">
        <f>SUM(L14:L14)</f>
        <v>0</v>
      </c>
    </row>
    <row r="14" spans="1:13" s="2108" customFormat="1" x14ac:dyDescent="0.2">
      <c r="A14" s="2102"/>
      <c r="B14" s="2103"/>
      <c r="C14" s="2104"/>
      <c r="D14" s="2111"/>
      <c r="E14" s="2112"/>
      <c r="F14" s="2113"/>
      <c r="G14" s="2111"/>
      <c r="H14" s="2112"/>
      <c r="I14" s="2114"/>
      <c r="J14" s="2111"/>
      <c r="K14" s="2112"/>
      <c r="L14" s="2114"/>
    </row>
    <row r="15" spans="1:13" s="2117" customFormat="1" x14ac:dyDescent="0.2">
      <c r="A15" s="2096">
        <v>3</v>
      </c>
      <c r="B15" s="2097" t="s">
        <v>333</v>
      </c>
      <c r="C15" s="2096" t="s">
        <v>257</v>
      </c>
      <c r="D15" s="2115"/>
      <c r="E15" s="2109"/>
      <c r="F15" s="2099">
        <f>SUM(F16:F16)</f>
        <v>0</v>
      </c>
      <c r="G15" s="2116"/>
      <c r="H15" s="2109"/>
      <c r="I15" s="2098">
        <f>SUM(I16:I16)</f>
        <v>0</v>
      </c>
      <c r="J15" s="2115"/>
      <c r="K15" s="2109"/>
      <c r="L15" s="2098">
        <f>SUM(L16:L16)</f>
        <v>0</v>
      </c>
    </row>
    <row r="16" spans="1:13" s="2108" customFormat="1" x14ac:dyDescent="0.2">
      <c r="A16" s="2102"/>
      <c r="B16" s="2103"/>
      <c r="C16" s="2102"/>
      <c r="D16" s="2105"/>
      <c r="E16" s="2106"/>
      <c r="F16" s="2107"/>
      <c r="G16" s="2106"/>
      <c r="H16" s="2106"/>
      <c r="I16" s="2106"/>
      <c r="J16" s="2105"/>
      <c r="K16" s="2106"/>
      <c r="L16" s="2106"/>
      <c r="M16" s="2117"/>
    </row>
    <row r="17" spans="1:13" s="2108" customFormat="1" x14ac:dyDescent="0.2">
      <c r="A17" s="2102"/>
      <c r="B17" s="2118"/>
      <c r="C17" s="2102"/>
      <c r="D17" s="2119"/>
      <c r="E17" s="2114"/>
      <c r="F17" s="2113"/>
      <c r="G17" s="2120"/>
      <c r="H17" s="2121"/>
      <c r="I17" s="2114"/>
      <c r="J17" s="2119"/>
      <c r="K17" s="2121"/>
      <c r="L17" s="2114"/>
    </row>
    <row r="18" spans="1:13" s="2101" customFormat="1" x14ac:dyDescent="0.2">
      <c r="A18" s="2096">
        <v>3</v>
      </c>
      <c r="B18" s="2097" t="s">
        <v>334</v>
      </c>
      <c r="C18" s="2096" t="s">
        <v>257</v>
      </c>
      <c r="D18" s="2098">
        <f>SUM(D19:D19)</f>
        <v>0</v>
      </c>
      <c r="E18" s="2122"/>
      <c r="F18" s="2099">
        <f>SUM(F19:F19)</f>
        <v>0</v>
      </c>
      <c r="G18" s="2098">
        <f>SUM(G19:G19)</f>
        <v>0</v>
      </c>
      <c r="H18" s="2122"/>
      <c r="I18" s="2098">
        <f>SUM(I19:I19)</f>
        <v>0</v>
      </c>
      <c r="J18" s="2098">
        <f>SUM(J19:J19)</f>
        <v>0</v>
      </c>
      <c r="K18" s="2122"/>
      <c r="L18" s="2098">
        <f>SUM(L19:L19)</f>
        <v>0</v>
      </c>
    </row>
    <row r="19" spans="1:13" s="2123" customFormat="1" x14ac:dyDescent="0.2">
      <c r="A19" s="2104"/>
      <c r="B19" s="2103"/>
      <c r="C19" s="2104"/>
      <c r="D19" s="2106"/>
      <c r="E19" s="2106"/>
      <c r="F19" s="2107"/>
      <c r="G19" s="2105"/>
      <c r="H19" s="2106"/>
      <c r="I19" s="2106"/>
      <c r="J19" s="2105"/>
      <c r="K19" s="2106"/>
      <c r="L19" s="2106"/>
    </row>
    <row r="20" spans="1:13" s="2108" customFormat="1" x14ac:dyDescent="0.2">
      <c r="A20" s="2096">
        <v>4</v>
      </c>
      <c r="B20" s="2097" t="s">
        <v>335</v>
      </c>
      <c r="C20" s="2096" t="s">
        <v>336</v>
      </c>
      <c r="D20" s="2115"/>
      <c r="E20" s="2122"/>
      <c r="F20" s="2099">
        <f>SUM(F21:F21)</f>
        <v>0</v>
      </c>
      <c r="G20" s="2116"/>
      <c r="H20" s="2122"/>
      <c r="I20" s="2098">
        <f>SUM(I21:I21)</f>
        <v>0</v>
      </c>
      <c r="J20" s="2115"/>
      <c r="K20" s="2122"/>
      <c r="L20" s="2098">
        <f>SUM(L21:L21)</f>
        <v>0</v>
      </c>
    </row>
    <row r="21" spans="1:13" s="2108" customFormat="1" x14ac:dyDescent="0.2">
      <c r="A21" s="2102"/>
      <c r="B21" s="2103"/>
      <c r="C21" s="2102"/>
      <c r="D21" s="2105"/>
      <c r="E21" s="2106"/>
      <c r="F21" s="2107"/>
      <c r="G21" s="2105"/>
      <c r="H21" s="2106"/>
      <c r="I21" s="2106"/>
      <c r="J21" s="2105"/>
      <c r="K21" s="2106"/>
      <c r="L21" s="2106"/>
      <c r="M21" s="2117"/>
    </row>
    <row r="22" spans="1:13" s="2101" customFormat="1" ht="19.5" customHeight="1" x14ac:dyDescent="0.2">
      <c r="A22" s="2096">
        <v>5</v>
      </c>
      <c r="B22" s="2097" t="s">
        <v>337</v>
      </c>
      <c r="C22" s="2096" t="s">
        <v>257</v>
      </c>
      <c r="D22" s="2098">
        <f>SUM(D23:D23)</f>
        <v>0</v>
      </c>
      <c r="E22" s="2122"/>
      <c r="F22" s="2099">
        <f>SUM(F23:F23)</f>
        <v>0</v>
      </c>
      <c r="G22" s="2098">
        <f>SUM(G23:G23)</f>
        <v>0</v>
      </c>
      <c r="H22" s="2122"/>
      <c r="I22" s="2098">
        <f>SUM(I23:I23)</f>
        <v>0</v>
      </c>
      <c r="J22" s="2098">
        <f>SUM(J23:J23)</f>
        <v>0</v>
      </c>
      <c r="K22" s="2122"/>
      <c r="L22" s="2098">
        <f>SUM(L23:L23)</f>
        <v>0</v>
      </c>
    </row>
    <row r="23" spans="1:13" s="2108" customFormat="1" x14ac:dyDescent="0.2">
      <c r="A23" s="2102"/>
      <c r="B23" s="2103"/>
      <c r="C23" s="2102"/>
      <c r="D23" s="2119"/>
      <c r="E23" s="2121"/>
      <c r="F23" s="2124"/>
      <c r="G23" s="2119"/>
      <c r="H23" s="2121"/>
      <c r="I23" s="2121"/>
      <c r="J23" s="2119"/>
      <c r="K23" s="2121"/>
      <c r="L23" s="2121"/>
    </row>
    <row r="24" spans="1:13" s="2128" customFormat="1" x14ac:dyDescent="0.2">
      <c r="A24" s="2097">
        <v>6</v>
      </c>
      <c r="B24" s="2097" t="s">
        <v>1347</v>
      </c>
      <c r="C24" s="2097" t="s">
        <v>257</v>
      </c>
      <c r="D24" s="2125">
        <f>SUM(D25:D26)</f>
        <v>1</v>
      </c>
      <c r="E24" s="2125"/>
      <c r="F24" s="2126">
        <f>SUM(F25:F26)</f>
        <v>2</v>
      </c>
      <c r="G24" s="2125">
        <f>SUM(G25:G26)</f>
        <v>0</v>
      </c>
      <c r="H24" s="2125"/>
      <c r="I24" s="2127">
        <f>SUM(I25:I26)</f>
        <v>0</v>
      </c>
      <c r="J24" s="2125">
        <f>SUM(J25:J26)</f>
        <v>0</v>
      </c>
      <c r="K24" s="2125"/>
      <c r="L24" s="2127">
        <f>SUM(L25:L26)</f>
        <v>0</v>
      </c>
    </row>
    <row r="25" spans="1:13" s="2108" customFormat="1" x14ac:dyDescent="0.2">
      <c r="A25" s="2102"/>
      <c r="B25" s="2103"/>
      <c r="C25" s="2104"/>
      <c r="D25" s="2119">
        <v>1</v>
      </c>
      <c r="E25" s="2121">
        <v>2</v>
      </c>
      <c r="F25" s="2124">
        <f>D25*E25</f>
        <v>2</v>
      </c>
      <c r="G25" s="2119"/>
      <c r="H25" s="2121"/>
      <c r="I25" s="2121">
        <f>G25*H25</f>
        <v>0</v>
      </c>
      <c r="J25" s="2119"/>
      <c r="K25" s="2121"/>
      <c r="L25" s="2121">
        <f>J25*K25</f>
        <v>0</v>
      </c>
    </row>
    <row r="26" spans="1:13" s="2108" customFormat="1" x14ac:dyDescent="0.2">
      <c r="A26" s="2102"/>
      <c r="B26" s="2103"/>
      <c r="C26" s="2104"/>
      <c r="D26" s="2105"/>
      <c r="E26" s="2106"/>
      <c r="F26" s="2107"/>
      <c r="G26" s="2105"/>
      <c r="H26" s="2106"/>
      <c r="I26" s="2106"/>
      <c r="J26" s="2105"/>
      <c r="K26" s="2106"/>
      <c r="L26" s="2106"/>
    </row>
    <row r="27" spans="1:13" s="2101" customFormat="1" x14ac:dyDescent="0.2">
      <c r="A27" s="2129"/>
      <c r="B27" s="2130" t="s">
        <v>338</v>
      </c>
      <c r="C27" s="2129"/>
      <c r="D27" s="2131"/>
      <c r="E27" s="2131"/>
      <c r="F27" s="2132">
        <f>F11+F15+F18+F20+F22+F24</f>
        <v>2</v>
      </c>
      <c r="G27" s="2133"/>
      <c r="H27" s="2131"/>
      <c r="I27" s="2134">
        <f>I11+I15+I18+I20+I22+I24</f>
        <v>0</v>
      </c>
      <c r="J27" s="2131"/>
      <c r="K27" s="2131"/>
      <c r="L27" s="2134">
        <f>L11+L15+L18+L20+L22+L24</f>
        <v>0</v>
      </c>
    </row>
    <row r="28" spans="1:13" s="2101" customFormat="1" x14ac:dyDescent="0.2">
      <c r="A28" s="2135"/>
      <c r="B28" s="2136"/>
      <c r="C28" s="2137"/>
      <c r="D28" s="2138"/>
      <c r="E28" s="2138"/>
      <c r="F28" s="2139"/>
      <c r="G28" s="2138"/>
      <c r="H28" s="2138"/>
      <c r="I28" s="2140"/>
      <c r="J28" s="2138"/>
      <c r="K28" s="2138"/>
      <c r="L28" s="2140"/>
    </row>
    <row r="29" spans="1:13" s="2101" customFormat="1" x14ac:dyDescent="0.2">
      <c r="A29" s="2135"/>
      <c r="B29" s="2136"/>
      <c r="C29" s="2137"/>
      <c r="D29" s="2138"/>
      <c r="E29" s="2138"/>
      <c r="F29" s="2139"/>
      <c r="G29" s="2138"/>
      <c r="H29" s="2138"/>
      <c r="I29" s="2140"/>
      <c r="J29" s="2138"/>
      <c r="K29" s="2138"/>
      <c r="L29" s="2140"/>
    </row>
    <row r="30" spans="1:13" s="2101" customFormat="1" x14ac:dyDescent="0.2">
      <c r="A30" s="2135"/>
      <c r="B30" s="2136"/>
      <c r="C30" s="2137"/>
      <c r="D30" s="2138"/>
      <c r="E30" s="2138"/>
      <c r="F30" s="2139"/>
      <c r="G30" s="2138"/>
      <c r="H30" s="2138"/>
      <c r="I30" s="2140"/>
      <c r="J30" s="2138"/>
      <c r="K30" s="2138"/>
      <c r="L30" s="2140"/>
    </row>
    <row r="31" spans="1:13" s="2101" customFormat="1" ht="15" x14ac:dyDescent="0.25">
      <c r="A31" s="1112"/>
      <c r="B31" s="1159" t="s">
        <v>1382</v>
      </c>
      <c r="C31" s="2137"/>
      <c r="D31" s="2138"/>
      <c r="E31" s="2138"/>
      <c r="F31" s="2139"/>
      <c r="G31" s="2138"/>
      <c r="H31" s="2138"/>
      <c r="I31" s="2140"/>
      <c r="J31" s="2138"/>
      <c r="K31" s="2138"/>
      <c r="L31" s="2140"/>
    </row>
    <row r="32" spans="1:13" s="2101" customFormat="1" ht="15" x14ac:dyDescent="0.25">
      <c r="A32" s="1112"/>
      <c r="B32" s="1159"/>
      <c r="C32" s="2137"/>
      <c r="D32" s="2138"/>
      <c r="E32" s="2138"/>
      <c r="F32" s="2139"/>
      <c r="G32" s="2138"/>
      <c r="H32" s="2138"/>
      <c r="I32" s="2140"/>
      <c r="J32" s="2138"/>
      <c r="K32" s="2138"/>
      <c r="L32" s="2140"/>
    </row>
    <row r="33" spans="2:12" x14ac:dyDescent="0.2">
      <c r="B33" s="2141"/>
      <c r="C33" s="2141"/>
      <c r="E33" s="2091"/>
      <c r="H33" s="2091"/>
      <c r="I33" s="2091"/>
      <c r="J33" s="2091"/>
      <c r="K33" s="2091"/>
      <c r="L33" s="2091"/>
    </row>
  </sheetData>
  <mergeCells count="20">
    <mergeCell ref="A7:A9"/>
    <mergeCell ref="B7:B9"/>
    <mergeCell ref="C7:C9"/>
    <mergeCell ref="D7:F7"/>
    <mergeCell ref="G7:I7"/>
    <mergeCell ref="H1:L1"/>
    <mergeCell ref="H2:L2"/>
    <mergeCell ref="H3:L3"/>
    <mergeCell ref="A4:L4"/>
    <mergeCell ref="A5:L5"/>
    <mergeCell ref="J7:L7"/>
    <mergeCell ref="D8:D9"/>
    <mergeCell ref="E8:E9"/>
    <mergeCell ref="F8:F9"/>
    <mergeCell ref="G8:G9"/>
    <mergeCell ref="H8:H9"/>
    <mergeCell ref="I8:I9"/>
    <mergeCell ref="J8:J9"/>
    <mergeCell ref="K8:K9"/>
    <mergeCell ref="L8:L9"/>
  </mergeCells>
  <pageMargins left="0.25" right="0.25" top="0.75" bottom="0.75" header="0.3" footer="0.3"/>
  <pageSetup paperSize="9" scale="82"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7" tint="0.39997558519241921"/>
    <pageSetUpPr fitToPage="1"/>
  </sheetPr>
  <dimension ref="A1:M30"/>
  <sheetViews>
    <sheetView view="pageBreakPreview" zoomScale="90" zoomScaleNormal="70" zoomScaleSheetLayoutView="90" workbookViewId="0">
      <selection activeCell="A4" sqref="A4:L4"/>
    </sheetView>
  </sheetViews>
  <sheetFormatPr defaultRowHeight="15" x14ac:dyDescent="0.25"/>
  <cols>
    <col min="1" max="1" width="6.33203125" style="1112" customWidth="1"/>
    <col min="2" max="2" width="35.1640625" style="1112" customWidth="1"/>
    <col min="3" max="3" width="9.33203125" style="1112"/>
    <col min="4" max="4" width="14.6640625" style="1112" customWidth="1"/>
    <col min="5" max="5" width="16.1640625" style="1112" customWidth="1"/>
    <col min="6" max="6" width="18.1640625" style="1112" customWidth="1"/>
    <col min="7" max="7" width="17.83203125" style="1112" customWidth="1"/>
    <col min="8" max="8" width="14" style="1112" bestFit="1" customWidth="1"/>
    <col min="9" max="9" width="14.6640625" style="1112" bestFit="1" customWidth="1"/>
    <col min="10" max="10" width="17" style="1112" customWidth="1"/>
    <col min="11" max="11" width="14.5" style="1112" bestFit="1" customWidth="1"/>
    <col min="12" max="12" width="17.83203125" style="1112" customWidth="1"/>
    <col min="13" max="13" width="28.83203125" style="1112" customWidth="1"/>
    <col min="14" max="16384" width="9.33203125" style="1112"/>
  </cols>
  <sheetData>
    <row r="1" spans="1:13" s="1102" customFormat="1" x14ac:dyDescent="0.25"/>
    <row r="2" spans="1:13" s="1102" customFormat="1" ht="15.75" x14ac:dyDescent="0.25">
      <c r="A2" s="2833" t="s">
        <v>339</v>
      </c>
      <c r="B2" s="2833"/>
      <c r="C2" s="2833"/>
      <c r="D2" s="2833"/>
      <c r="E2" s="2833"/>
      <c r="F2" s="2833"/>
      <c r="G2" s="2833"/>
      <c r="H2" s="2833"/>
      <c r="I2" s="2833"/>
      <c r="J2" s="2833"/>
      <c r="K2" s="2833"/>
      <c r="L2" s="2833"/>
    </row>
    <row r="3" spans="1:13" s="1102" customFormat="1" ht="15.75" x14ac:dyDescent="0.25">
      <c r="A3" s="2834"/>
      <c r="B3" s="2834"/>
      <c r="C3" s="2834"/>
      <c r="D3" s="2834"/>
      <c r="E3" s="2834"/>
      <c r="F3" s="2834"/>
      <c r="G3" s="2834"/>
      <c r="H3" s="2834"/>
      <c r="I3" s="2834"/>
      <c r="J3" s="2834"/>
      <c r="K3" s="2834"/>
      <c r="L3" s="2834"/>
    </row>
    <row r="4" spans="1:13" s="1102" customFormat="1" x14ac:dyDescent="0.25">
      <c r="A4" s="2835" t="s">
        <v>1253</v>
      </c>
      <c r="B4" s="2835"/>
      <c r="C4" s="2835"/>
      <c r="D4" s="2835"/>
      <c r="E4" s="2835"/>
      <c r="F4" s="2835"/>
      <c r="G4" s="2835"/>
      <c r="H4" s="2835"/>
      <c r="I4" s="2835"/>
      <c r="J4" s="2835"/>
      <c r="K4" s="2835"/>
      <c r="L4" s="2835"/>
    </row>
    <row r="5" spans="1:13" s="1102" customFormat="1" x14ac:dyDescent="0.25">
      <c r="M5" s="1140">
        <v>43517</v>
      </c>
    </row>
    <row r="6" spans="1:13" ht="30" customHeight="1" x14ac:dyDescent="0.25">
      <c r="A6" s="2664" t="s">
        <v>319</v>
      </c>
      <c r="B6" s="2664" t="s">
        <v>248</v>
      </c>
      <c r="C6" s="2662" t="s">
        <v>249</v>
      </c>
      <c r="D6" s="2664" t="s">
        <v>232</v>
      </c>
      <c r="E6" s="2664"/>
      <c r="F6" s="2662"/>
      <c r="G6" s="2664" t="s">
        <v>233</v>
      </c>
      <c r="H6" s="2664"/>
      <c r="I6" s="2664"/>
      <c r="J6" s="2663" t="s">
        <v>234</v>
      </c>
      <c r="K6" s="2664"/>
      <c r="L6" s="2664"/>
      <c r="M6" s="2831" t="s">
        <v>182</v>
      </c>
    </row>
    <row r="7" spans="1:13" ht="60" x14ac:dyDescent="0.25">
      <c r="A7" s="2664"/>
      <c r="B7" s="2664"/>
      <c r="C7" s="2662"/>
      <c r="D7" s="1141" t="s">
        <v>340</v>
      </c>
      <c r="E7" s="1141" t="s">
        <v>321</v>
      </c>
      <c r="F7" s="1142" t="s">
        <v>341</v>
      </c>
      <c r="G7" s="1141" t="s">
        <v>340</v>
      </c>
      <c r="H7" s="1141" t="s">
        <v>321</v>
      </c>
      <c r="I7" s="1141" t="s">
        <v>342</v>
      </c>
      <c r="J7" s="1143" t="s">
        <v>340</v>
      </c>
      <c r="K7" s="1141" t="s">
        <v>321</v>
      </c>
      <c r="L7" s="1141" t="s">
        <v>343</v>
      </c>
      <c r="M7" s="2832"/>
    </row>
    <row r="8" spans="1:13" x14ac:dyDescent="0.25">
      <c r="A8" s="1141">
        <v>1</v>
      </c>
      <c r="B8" s="1141">
        <v>2</v>
      </c>
      <c r="C8" s="1142">
        <v>3</v>
      </c>
      <c r="D8" s="1141">
        <v>4</v>
      </c>
      <c r="E8" s="1142">
        <v>5</v>
      </c>
      <c r="F8" s="1141">
        <v>6</v>
      </c>
      <c r="G8" s="1142">
        <v>7</v>
      </c>
      <c r="H8" s="1141">
        <v>8</v>
      </c>
      <c r="I8" s="1142">
        <v>9</v>
      </c>
      <c r="J8" s="1141">
        <v>10</v>
      </c>
      <c r="K8" s="1142">
        <v>11</v>
      </c>
      <c r="L8" s="1141">
        <v>12</v>
      </c>
      <c r="M8" s="1142">
        <v>13</v>
      </c>
    </row>
    <row r="9" spans="1:13" ht="51.75" customHeight="1" x14ac:dyDescent="0.25">
      <c r="A9" s="1144"/>
      <c r="B9" s="1077" t="s">
        <v>1379</v>
      </c>
      <c r="C9" s="1145" t="s">
        <v>229</v>
      </c>
      <c r="D9" s="1144">
        <v>12</v>
      </c>
      <c r="E9" s="1098">
        <f>F9/D9/1.18*1000</f>
        <v>15889.8</v>
      </c>
      <c r="F9" s="1146">
        <v>225</v>
      </c>
      <c r="G9" s="1144">
        <v>12</v>
      </c>
      <c r="H9" s="1098">
        <f>I9/G9/1.18*1000</f>
        <v>15889.8</v>
      </c>
      <c r="I9" s="1146">
        <v>225</v>
      </c>
      <c r="J9" s="1144">
        <v>12</v>
      </c>
      <c r="K9" s="1098">
        <f>L9/J9/1.18*1000</f>
        <v>15889.8</v>
      </c>
      <c r="L9" s="1146">
        <v>225</v>
      </c>
      <c r="M9" s="1147"/>
    </row>
    <row r="10" spans="1:13" x14ac:dyDescent="0.25">
      <c r="A10" s="1141"/>
      <c r="B10" s="1148" t="s">
        <v>1380</v>
      </c>
      <c r="C10" s="1142" t="s">
        <v>229</v>
      </c>
      <c r="D10" s="1141">
        <v>12</v>
      </c>
      <c r="E10" s="1098">
        <f>F10/D10/1.18*1000</f>
        <v>3318.5</v>
      </c>
      <c r="F10" s="1146">
        <v>46.99</v>
      </c>
      <c r="G10" s="1141">
        <v>12</v>
      </c>
      <c r="H10" s="1098">
        <f>I10/G10/1.18*1000</f>
        <v>3318.5</v>
      </c>
      <c r="I10" s="1146">
        <v>46.99</v>
      </c>
      <c r="J10" s="1141">
        <v>12</v>
      </c>
      <c r="K10" s="1098">
        <f>L10/J10/1.18*1000</f>
        <v>3318.5</v>
      </c>
      <c r="L10" s="1146">
        <v>46.99</v>
      </c>
      <c r="M10" s="1149"/>
    </row>
    <row r="11" spans="1:13" x14ac:dyDescent="0.25">
      <c r="A11" s="1141"/>
      <c r="B11" s="1148" t="s">
        <v>1381</v>
      </c>
      <c r="C11" s="1142"/>
      <c r="D11" s="1141"/>
      <c r="E11" s="1098"/>
      <c r="F11" s="1146">
        <v>2</v>
      </c>
      <c r="G11" s="1141"/>
      <c r="H11" s="1098"/>
      <c r="I11" s="1146">
        <v>2</v>
      </c>
      <c r="J11" s="1141"/>
      <c r="K11" s="1098"/>
      <c r="L11" s="1146">
        <v>2</v>
      </c>
      <c r="M11" s="1149"/>
    </row>
    <row r="12" spans="1:13" ht="30" x14ac:dyDescent="0.25">
      <c r="A12" s="1141"/>
      <c r="B12" s="1148" t="s">
        <v>1691</v>
      </c>
      <c r="C12" s="1142"/>
      <c r="D12" s="1141">
        <v>12</v>
      </c>
      <c r="E12" s="1098">
        <v>4000</v>
      </c>
      <c r="F12" s="1100">
        <f>D12*E12/1000</f>
        <v>48</v>
      </c>
      <c r="G12" s="1141"/>
      <c r="H12" s="1098"/>
      <c r="I12" s="1100"/>
      <c r="J12" s="1141"/>
      <c r="K12" s="1098"/>
      <c r="L12" s="1100"/>
      <c r="M12" s="1149"/>
    </row>
    <row r="13" spans="1:13" x14ac:dyDescent="0.25">
      <c r="A13" s="1141"/>
      <c r="B13" s="1148"/>
      <c r="C13" s="1142"/>
      <c r="D13" s="1144"/>
      <c r="E13" s="1098"/>
      <c r="F13" s="1100"/>
      <c r="G13" s="1144"/>
      <c r="H13" s="1098"/>
      <c r="I13" s="1100"/>
      <c r="J13" s="1144"/>
      <c r="K13" s="1098"/>
      <c r="L13" s="1100"/>
      <c r="M13" s="1149"/>
    </row>
    <row r="14" spans="1:13" x14ac:dyDescent="0.25">
      <c r="A14" s="1141"/>
      <c r="B14" s="1148"/>
      <c r="C14" s="1142"/>
      <c r="D14" s="1141"/>
      <c r="E14" s="1150"/>
      <c r="F14" s="1151"/>
      <c r="G14" s="1141"/>
      <c r="H14" s="1150"/>
      <c r="I14" s="1151"/>
      <c r="J14" s="1141"/>
      <c r="K14" s="1150"/>
      <c r="L14" s="1151"/>
      <c r="M14" s="1149"/>
    </row>
    <row r="15" spans="1:13" x14ac:dyDescent="0.25">
      <c r="A15" s="1141"/>
      <c r="B15" s="1148"/>
      <c r="C15" s="1142"/>
      <c r="D15" s="1141"/>
      <c r="E15" s="1150"/>
      <c r="F15" s="1151"/>
      <c r="G15" s="1141"/>
      <c r="H15" s="1150"/>
      <c r="I15" s="1151"/>
      <c r="J15" s="1141"/>
      <c r="K15" s="1150"/>
      <c r="L15" s="1151"/>
      <c r="M15" s="1149"/>
    </row>
    <row r="16" spans="1:13" x14ac:dyDescent="0.25">
      <c r="A16" s="1141"/>
      <c r="B16" s="1148"/>
      <c r="C16" s="1142"/>
      <c r="D16" s="1141"/>
      <c r="E16" s="1150"/>
      <c r="F16" s="1151"/>
      <c r="G16" s="1141"/>
      <c r="H16" s="1150"/>
      <c r="I16" s="1151"/>
      <c r="J16" s="1141"/>
      <c r="K16" s="1150"/>
      <c r="L16" s="1151"/>
      <c r="M16" s="1149"/>
    </row>
    <row r="17" spans="1:13" s="1158" customFormat="1" ht="28.5" x14ac:dyDescent="0.25">
      <c r="A17" s="1152"/>
      <c r="B17" s="1153" t="s">
        <v>345</v>
      </c>
      <c r="C17" s="1154"/>
      <c r="D17" s="1152"/>
      <c r="E17" s="1155"/>
      <c r="F17" s="1156">
        <f>F9+F10+F11+F12</f>
        <v>321.99</v>
      </c>
      <c r="G17" s="1152"/>
      <c r="H17" s="1155"/>
      <c r="I17" s="1156">
        <f>I9+I10+I11</f>
        <v>273.99</v>
      </c>
      <c r="J17" s="1152"/>
      <c r="K17" s="1155"/>
      <c r="L17" s="1156">
        <f>L9+L10+L11</f>
        <v>273.99</v>
      </c>
      <c r="M17" s="1157"/>
    </row>
    <row r="18" spans="1:13" x14ac:dyDescent="0.25">
      <c r="B18" s="1112" t="s">
        <v>216</v>
      </c>
    </row>
    <row r="20" spans="1:13" x14ac:dyDescent="0.25">
      <c r="H20" s="1149" t="s">
        <v>1384</v>
      </c>
      <c r="I20" s="1161">
        <v>2020</v>
      </c>
      <c r="J20" s="1161">
        <v>2021</v>
      </c>
      <c r="K20" s="1161">
        <v>2022</v>
      </c>
    </row>
    <row r="21" spans="1:13" x14ac:dyDescent="0.25">
      <c r="H21" s="1149" t="s">
        <v>1310</v>
      </c>
      <c r="I21" s="1162">
        <f>F17</f>
        <v>321.99</v>
      </c>
      <c r="J21" s="1162">
        <f>I17</f>
        <v>273.99</v>
      </c>
      <c r="K21" s="1162">
        <f>L17</f>
        <v>273.99</v>
      </c>
    </row>
    <row r="22" spans="1:13" x14ac:dyDescent="0.25">
      <c r="H22" s="1149" t="s">
        <v>1312</v>
      </c>
      <c r="I22" s="1163">
        <f>('расходы самоокупаемые (01.01.20'!H22+'расходы самоокупаемые (01.01.20'!H23)</f>
        <v>35.950000000000003</v>
      </c>
      <c r="J22" s="1163">
        <f>('расходы самоокупаемые (01.01.20'!I22+'расходы самоокупаемые (01.01.20'!I23)</f>
        <v>35.950000000000003</v>
      </c>
      <c r="K22" s="1163">
        <f>('расходы самоокупаемые (01.01.20'!J22+'расходы самоокупаемые (01.01.20'!J23)</f>
        <v>35.950000000000003</v>
      </c>
    </row>
    <row r="23" spans="1:13" x14ac:dyDescent="0.25">
      <c r="H23" s="1149" t="s">
        <v>97</v>
      </c>
      <c r="I23" s="1162">
        <f>SUM(I21:I22)</f>
        <v>357.94</v>
      </c>
      <c r="J23" s="1162">
        <f t="shared" ref="J23:K23" si="0">SUM(J21:J22)</f>
        <v>309.94</v>
      </c>
      <c r="K23" s="1162">
        <f t="shared" si="0"/>
        <v>309.94</v>
      </c>
    </row>
    <row r="27" spans="1:13" ht="30" x14ac:dyDescent="0.25">
      <c r="B27" s="1159" t="s">
        <v>1382</v>
      </c>
      <c r="C27" s="974"/>
    </row>
    <row r="28" spans="1:13" x14ac:dyDescent="0.25">
      <c r="B28" s="1160"/>
      <c r="C28" s="974"/>
    </row>
    <row r="29" spans="1:13" x14ac:dyDescent="0.25">
      <c r="B29" s="836"/>
      <c r="C29" s="836"/>
    </row>
    <row r="30" spans="1:13" ht="25.5" x14ac:dyDescent="0.25">
      <c r="B30" s="838" t="s">
        <v>1383</v>
      </c>
      <c r="C30" s="838"/>
    </row>
  </sheetData>
  <mergeCells count="10">
    <mergeCell ref="M6:M7"/>
    <mergeCell ref="A2:L2"/>
    <mergeCell ref="A3:L3"/>
    <mergeCell ref="A4:L4"/>
    <mergeCell ref="A6:A7"/>
    <mergeCell ref="B6:B7"/>
    <mergeCell ref="C6:C7"/>
    <mergeCell ref="D6:F6"/>
    <mergeCell ref="G6:I6"/>
    <mergeCell ref="J6:L6"/>
  </mergeCells>
  <pageMargins left="0.70866141732283472" right="0.70866141732283472" top="0.74803149606299213" bottom="0.74803149606299213" header="0.31496062992125984" footer="0.31496062992125984"/>
  <pageSetup paperSize="9" scale="65" fitToHeight="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7" tint="0.39997558519241921"/>
    <pageSetUpPr fitToPage="1"/>
  </sheetPr>
  <dimension ref="A1:N24"/>
  <sheetViews>
    <sheetView view="pageBreakPreview" zoomScaleNormal="100" zoomScaleSheetLayoutView="100" workbookViewId="0">
      <selection activeCell="A6" sqref="A6"/>
    </sheetView>
  </sheetViews>
  <sheetFormatPr defaultRowHeight="12.75" x14ac:dyDescent="0.2"/>
  <cols>
    <col min="1" max="1" width="4" style="310" customWidth="1"/>
    <col min="2" max="2" width="31.83203125" style="307" customWidth="1"/>
    <col min="3" max="3" width="28" style="307" customWidth="1"/>
    <col min="4" max="4" width="10.83203125" style="308" customWidth="1"/>
    <col min="5" max="5" width="11.6640625" style="308" customWidth="1"/>
    <col min="6" max="6" width="8.33203125" style="308" customWidth="1"/>
    <col min="7" max="7" width="14.6640625" style="308" customWidth="1"/>
    <col min="8" max="8" width="24.33203125" style="307" customWidth="1"/>
    <col min="9" max="247" width="9.33203125" style="307"/>
    <col min="248" max="248" width="1.1640625" style="307" customWidth="1"/>
    <col min="249" max="249" width="4" style="307" customWidth="1"/>
    <col min="250" max="250" width="31.83203125" style="307" customWidth="1"/>
    <col min="251" max="251" width="42.1640625" style="307" customWidth="1"/>
    <col min="252" max="252" width="8.1640625" style="307" bestFit="1" customWidth="1"/>
    <col min="253" max="253" width="7.5" style="307" customWidth="1"/>
    <col min="254" max="254" width="7.6640625" style="307" customWidth="1"/>
    <col min="255" max="255" width="15.5" style="307" customWidth="1"/>
    <col min="256" max="257" width="16" style="307" customWidth="1"/>
    <col min="258" max="258" width="19.33203125" style="307" customWidth="1"/>
    <col min="259" max="259" width="13.5" style="307" customWidth="1"/>
    <col min="260" max="260" width="13.6640625" style="307" customWidth="1"/>
    <col min="261" max="263" width="0" style="307" hidden="1" customWidth="1"/>
    <col min="264" max="503" width="9.33203125" style="307"/>
    <col min="504" max="504" width="1.1640625" style="307" customWidth="1"/>
    <col min="505" max="505" width="4" style="307" customWidth="1"/>
    <col min="506" max="506" width="31.83203125" style="307" customWidth="1"/>
    <col min="507" max="507" width="42.1640625" style="307" customWidth="1"/>
    <col min="508" max="508" width="8.1640625" style="307" bestFit="1" customWidth="1"/>
    <col min="509" max="509" width="7.5" style="307" customWidth="1"/>
    <col min="510" max="510" width="7.6640625" style="307" customWidth="1"/>
    <col min="511" max="511" width="15.5" style="307" customWidth="1"/>
    <col min="512" max="513" width="16" style="307" customWidth="1"/>
    <col min="514" max="514" width="19.33203125" style="307" customWidth="1"/>
    <col min="515" max="515" width="13.5" style="307" customWidth="1"/>
    <col min="516" max="516" width="13.6640625" style="307" customWidth="1"/>
    <col min="517" max="519" width="0" style="307" hidden="1" customWidth="1"/>
    <col min="520" max="759" width="9.33203125" style="307"/>
    <col min="760" max="760" width="1.1640625" style="307" customWidth="1"/>
    <col min="761" max="761" width="4" style="307" customWidth="1"/>
    <col min="762" max="762" width="31.83203125" style="307" customWidth="1"/>
    <col min="763" max="763" width="42.1640625" style="307" customWidth="1"/>
    <col min="764" max="764" width="8.1640625" style="307" bestFit="1" customWidth="1"/>
    <col min="765" max="765" width="7.5" style="307" customWidth="1"/>
    <col min="766" max="766" width="7.6640625" style="307" customWidth="1"/>
    <col min="767" max="767" width="15.5" style="307" customWidth="1"/>
    <col min="768" max="769" width="16" style="307" customWidth="1"/>
    <col min="770" max="770" width="19.33203125" style="307" customWidth="1"/>
    <col min="771" max="771" width="13.5" style="307" customWidth="1"/>
    <col min="772" max="772" width="13.6640625" style="307" customWidth="1"/>
    <col min="773" max="775" width="0" style="307" hidden="1" customWidth="1"/>
    <col min="776" max="1015" width="9.33203125" style="307"/>
    <col min="1016" max="1016" width="1.1640625" style="307" customWidth="1"/>
    <col min="1017" max="1017" width="4" style="307" customWidth="1"/>
    <col min="1018" max="1018" width="31.83203125" style="307" customWidth="1"/>
    <col min="1019" max="1019" width="42.1640625" style="307" customWidth="1"/>
    <col min="1020" max="1020" width="8.1640625" style="307" bestFit="1" customWidth="1"/>
    <col min="1021" max="1021" width="7.5" style="307" customWidth="1"/>
    <col min="1022" max="1022" width="7.6640625" style="307" customWidth="1"/>
    <col min="1023" max="1023" width="15.5" style="307" customWidth="1"/>
    <col min="1024" max="1025" width="16" style="307" customWidth="1"/>
    <col min="1026" max="1026" width="19.33203125" style="307" customWidth="1"/>
    <col min="1027" max="1027" width="13.5" style="307" customWidth="1"/>
    <col min="1028" max="1028" width="13.6640625" style="307" customWidth="1"/>
    <col min="1029" max="1031" width="0" style="307" hidden="1" customWidth="1"/>
    <col min="1032" max="1271" width="9.33203125" style="307"/>
    <col min="1272" max="1272" width="1.1640625" style="307" customWidth="1"/>
    <col min="1273" max="1273" width="4" style="307" customWidth="1"/>
    <col min="1274" max="1274" width="31.83203125" style="307" customWidth="1"/>
    <col min="1275" max="1275" width="42.1640625" style="307" customWidth="1"/>
    <col min="1276" max="1276" width="8.1640625" style="307" bestFit="1" customWidth="1"/>
    <col min="1277" max="1277" width="7.5" style="307" customWidth="1"/>
    <col min="1278" max="1278" width="7.6640625" style="307" customWidth="1"/>
    <col min="1279" max="1279" width="15.5" style="307" customWidth="1"/>
    <col min="1280" max="1281" width="16" style="307" customWidth="1"/>
    <col min="1282" max="1282" width="19.33203125" style="307" customWidth="1"/>
    <col min="1283" max="1283" width="13.5" style="307" customWidth="1"/>
    <col min="1284" max="1284" width="13.6640625" style="307" customWidth="1"/>
    <col min="1285" max="1287" width="0" style="307" hidden="1" customWidth="1"/>
    <col min="1288" max="1527" width="9.33203125" style="307"/>
    <col min="1528" max="1528" width="1.1640625" style="307" customWidth="1"/>
    <col min="1529" max="1529" width="4" style="307" customWidth="1"/>
    <col min="1530" max="1530" width="31.83203125" style="307" customWidth="1"/>
    <col min="1531" max="1531" width="42.1640625" style="307" customWidth="1"/>
    <col min="1532" max="1532" width="8.1640625" style="307" bestFit="1" customWidth="1"/>
    <col min="1533" max="1533" width="7.5" style="307" customWidth="1"/>
    <col min="1534" max="1534" width="7.6640625" style="307" customWidth="1"/>
    <col min="1535" max="1535" width="15.5" style="307" customWidth="1"/>
    <col min="1536" max="1537" width="16" style="307" customWidth="1"/>
    <col min="1538" max="1538" width="19.33203125" style="307" customWidth="1"/>
    <col min="1539" max="1539" width="13.5" style="307" customWidth="1"/>
    <col min="1540" max="1540" width="13.6640625" style="307" customWidth="1"/>
    <col min="1541" max="1543" width="0" style="307" hidden="1" customWidth="1"/>
    <col min="1544" max="1783" width="9.33203125" style="307"/>
    <col min="1784" max="1784" width="1.1640625" style="307" customWidth="1"/>
    <col min="1785" max="1785" width="4" style="307" customWidth="1"/>
    <col min="1786" max="1786" width="31.83203125" style="307" customWidth="1"/>
    <col min="1787" max="1787" width="42.1640625" style="307" customWidth="1"/>
    <col min="1788" max="1788" width="8.1640625" style="307" bestFit="1" customWidth="1"/>
    <col min="1789" max="1789" width="7.5" style="307" customWidth="1"/>
    <col min="1790" max="1790" width="7.6640625" style="307" customWidth="1"/>
    <col min="1791" max="1791" width="15.5" style="307" customWidth="1"/>
    <col min="1792" max="1793" width="16" style="307" customWidth="1"/>
    <col min="1794" max="1794" width="19.33203125" style="307" customWidth="1"/>
    <col min="1795" max="1795" width="13.5" style="307" customWidth="1"/>
    <col min="1796" max="1796" width="13.6640625" style="307" customWidth="1"/>
    <col min="1797" max="1799" width="0" style="307" hidden="1" customWidth="1"/>
    <col min="1800" max="2039" width="9.33203125" style="307"/>
    <col min="2040" max="2040" width="1.1640625" style="307" customWidth="1"/>
    <col min="2041" max="2041" width="4" style="307" customWidth="1"/>
    <col min="2042" max="2042" width="31.83203125" style="307" customWidth="1"/>
    <col min="2043" max="2043" width="42.1640625" style="307" customWidth="1"/>
    <col min="2044" max="2044" width="8.1640625" style="307" bestFit="1" customWidth="1"/>
    <col min="2045" max="2045" width="7.5" style="307" customWidth="1"/>
    <col min="2046" max="2046" width="7.6640625" style="307" customWidth="1"/>
    <col min="2047" max="2047" width="15.5" style="307" customWidth="1"/>
    <col min="2048" max="2049" width="16" style="307" customWidth="1"/>
    <col min="2050" max="2050" width="19.33203125" style="307" customWidth="1"/>
    <col min="2051" max="2051" width="13.5" style="307" customWidth="1"/>
    <col min="2052" max="2052" width="13.6640625" style="307" customWidth="1"/>
    <col min="2053" max="2055" width="0" style="307" hidden="1" customWidth="1"/>
    <col min="2056" max="2295" width="9.33203125" style="307"/>
    <col min="2296" max="2296" width="1.1640625" style="307" customWidth="1"/>
    <col min="2297" max="2297" width="4" style="307" customWidth="1"/>
    <col min="2298" max="2298" width="31.83203125" style="307" customWidth="1"/>
    <col min="2299" max="2299" width="42.1640625" style="307" customWidth="1"/>
    <col min="2300" max="2300" width="8.1640625" style="307" bestFit="1" customWidth="1"/>
    <col min="2301" max="2301" width="7.5" style="307" customWidth="1"/>
    <col min="2302" max="2302" width="7.6640625" style="307" customWidth="1"/>
    <col min="2303" max="2303" width="15.5" style="307" customWidth="1"/>
    <col min="2304" max="2305" width="16" style="307" customWidth="1"/>
    <col min="2306" max="2306" width="19.33203125" style="307" customWidth="1"/>
    <col min="2307" max="2307" width="13.5" style="307" customWidth="1"/>
    <col min="2308" max="2308" width="13.6640625" style="307" customWidth="1"/>
    <col min="2309" max="2311" width="0" style="307" hidden="1" customWidth="1"/>
    <col min="2312" max="2551" width="9.33203125" style="307"/>
    <col min="2552" max="2552" width="1.1640625" style="307" customWidth="1"/>
    <col min="2553" max="2553" width="4" style="307" customWidth="1"/>
    <col min="2554" max="2554" width="31.83203125" style="307" customWidth="1"/>
    <col min="2555" max="2555" width="42.1640625" style="307" customWidth="1"/>
    <col min="2556" max="2556" width="8.1640625" style="307" bestFit="1" customWidth="1"/>
    <col min="2557" max="2557" width="7.5" style="307" customWidth="1"/>
    <col min="2558" max="2558" width="7.6640625" style="307" customWidth="1"/>
    <col min="2559" max="2559" width="15.5" style="307" customWidth="1"/>
    <col min="2560" max="2561" width="16" style="307" customWidth="1"/>
    <col min="2562" max="2562" width="19.33203125" style="307" customWidth="1"/>
    <col min="2563" max="2563" width="13.5" style="307" customWidth="1"/>
    <col min="2564" max="2564" width="13.6640625" style="307" customWidth="1"/>
    <col min="2565" max="2567" width="0" style="307" hidden="1" customWidth="1"/>
    <col min="2568" max="2807" width="9.33203125" style="307"/>
    <col min="2808" max="2808" width="1.1640625" style="307" customWidth="1"/>
    <col min="2809" max="2809" width="4" style="307" customWidth="1"/>
    <col min="2810" max="2810" width="31.83203125" style="307" customWidth="1"/>
    <col min="2811" max="2811" width="42.1640625" style="307" customWidth="1"/>
    <col min="2812" max="2812" width="8.1640625" style="307" bestFit="1" customWidth="1"/>
    <col min="2813" max="2813" width="7.5" style="307" customWidth="1"/>
    <col min="2814" max="2814" width="7.6640625" style="307" customWidth="1"/>
    <col min="2815" max="2815" width="15.5" style="307" customWidth="1"/>
    <col min="2816" max="2817" width="16" style="307" customWidth="1"/>
    <col min="2818" max="2818" width="19.33203125" style="307" customWidth="1"/>
    <col min="2819" max="2819" width="13.5" style="307" customWidth="1"/>
    <col min="2820" max="2820" width="13.6640625" style="307" customWidth="1"/>
    <col min="2821" max="2823" width="0" style="307" hidden="1" customWidth="1"/>
    <col min="2824" max="3063" width="9.33203125" style="307"/>
    <col min="3064" max="3064" width="1.1640625" style="307" customWidth="1"/>
    <col min="3065" max="3065" width="4" style="307" customWidth="1"/>
    <col min="3066" max="3066" width="31.83203125" style="307" customWidth="1"/>
    <col min="3067" max="3067" width="42.1640625" style="307" customWidth="1"/>
    <col min="3068" max="3068" width="8.1640625" style="307" bestFit="1" customWidth="1"/>
    <col min="3069" max="3069" width="7.5" style="307" customWidth="1"/>
    <col min="3070" max="3070" width="7.6640625" style="307" customWidth="1"/>
    <col min="3071" max="3071" width="15.5" style="307" customWidth="1"/>
    <col min="3072" max="3073" width="16" style="307" customWidth="1"/>
    <col min="3074" max="3074" width="19.33203125" style="307" customWidth="1"/>
    <col min="3075" max="3075" width="13.5" style="307" customWidth="1"/>
    <col min="3076" max="3076" width="13.6640625" style="307" customWidth="1"/>
    <col min="3077" max="3079" width="0" style="307" hidden="1" customWidth="1"/>
    <col min="3080" max="3319" width="9.33203125" style="307"/>
    <col min="3320" max="3320" width="1.1640625" style="307" customWidth="1"/>
    <col min="3321" max="3321" width="4" style="307" customWidth="1"/>
    <col min="3322" max="3322" width="31.83203125" style="307" customWidth="1"/>
    <col min="3323" max="3323" width="42.1640625" style="307" customWidth="1"/>
    <col min="3324" max="3324" width="8.1640625" style="307" bestFit="1" customWidth="1"/>
    <col min="3325" max="3325" width="7.5" style="307" customWidth="1"/>
    <col min="3326" max="3326" width="7.6640625" style="307" customWidth="1"/>
    <col min="3327" max="3327" width="15.5" style="307" customWidth="1"/>
    <col min="3328" max="3329" width="16" style="307" customWidth="1"/>
    <col min="3330" max="3330" width="19.33203125" style="307" customWidth="1"/>
    <col min="3331" max="3331" width="13.5" style="307" customWidth="1"/>
    <col min="3332" max="3332" width="13.6640625" style="307" customWidth="1"/>
    <col min="3333" max="3335" width="0" style="307" hidden="1" customWidth="1"/>
    <col min="3336" max="3575" width="9.33203125" style="307"/>
    <col min="3576" max="3576" width="1.1640625" style="307" customWidth="1"/>
    <col min="3577" max="3577" width="4" style="307" customWidth="1"/>
    <col min="3578" max="3578" width="31.83203125" style="307" customWidth="1"/>
    <col min="3579" max="3579" width="42.1640625" style="307" customWidth="1"/>
    <col min="3580" max="3580" width="8.1640625" style="307" bestFit="1" customWidth="1"/>
    <col min="3581" max="3581" width="7.5" style="307" customWidth="1"/>
    <col min="3582" max="3582" width="7.6640625" style="307" customWidth="1"/>
    <col min="3583" max="3583" width="15.5" style="307" customWidth="1"/>
    <col min="3584" max="3585" width="16" style="307" customWidth="1"/>
    <col min="3586" max="3586" width="19.33203125" style="307" customWidth="1"/>
    <col min="3587" max="3587" width="13.5" style="307" customWidth="1"/>
    <col min="3588" max="3588" width="13.6640625" style="307" customWidth="1"/>
    <col min="3589" max="3591" width="0" style="307" hidden="1" customWidth="1"/>
    <col min="3592" max="3831" width="9.33203125" style="307"/>
    <col min="3832" max="3832" width="1.1640625" style="307" customWidth="1"/>
    <col min="3833" max="3833" width="4" style="307" customWidth="1"/>
    <col min="3834" max="3834" width="31.83203125" style="307" customWidth="1"/>
    <col min="3835" max="3835" width="42.1640625" style="307" customWidth="1"/>
    <col min="3836" max="3836" width="8.1640625" style="307" bestFit="1" customWidth="1"/>
    <col min="3837" max="3837" width="7.5" style="307" customWidth="1"/>
    <col min="3838" max="3838" width="7.6640625" style="307" customWidth="1"/>
    <col min="3839" max="3839" width="15.5" style="307" customWidth="1"/>
    <col min="3840" max="3841" width="16" style="307" customWidth="1"/>
    <col min="3842" max="3842" width="19.33203125" style="307" customWidth="1"/>
    <col min="3843" max="3843" width="13.5" style="307" customWidth="1"/>
    <col min="3844" max="3844" width="13.6640625" style="307" customWidth="1"/>
    <col min="3845" max="3847" width="0" style="307" hidden="1" customWidth="1"/>
    <col min="3848" max="4087" width="9.33203125" style="307"/>
    <col min="4088" max="4088" width="1.1640625" style="307" customWidth="1"/>
    <col min="4089" max="4089" width="4" style="307" customWidth="1"/>
    <col min="4090" max="4090" width="31.83203125" style="307" customWidth="1"/>
    <col min="4091" max="4091" width="42.1640625" style="307" customWidth="1"/>
    <col min="4092" max="4092" width="8.1640625" style="307" bestFit="1" customWidth="1"/>
    <col min="4093" max="4093" width="7.5" style="307" customWidth="1"/>
    <col min="4094" max="4094" width="7.6640625" style="307" customWidth="1"/>
    <col min="4095" max="4095" width="15.5" style="307" customWidth="1"/>
    <col min="4096" max="4097" width="16" style="307" customWidth="1"/>
    <col min="4098" max="4098" width="19.33203125" style="307" customWidth="1"/>
    <col min="4099" max="4099" width="13.5" style="307" customWidth="1"/>
    <col min="4100" max="4100" width="13.6640625" style="307" customWidth="1"/>
    <col min="4101" max="4103" width="0" style="307" hidden="1" customWidth="1"/>
    <col min="4104" max="4343" width="9.33203125" style="307"/>
    <col min="4344" max="4344" width="1.1640625" style="307" customWidth="1"/>
    <col min="4345" max="4345" width="4" style="307" customWidth="1"/>
    <col min="4346" max="4346" width="31.83203125" style="307" customWidth="1"/>
    <col min="4347" max="4347" width="42.1640625" style="307" customWidth="1"/>
    <col min="4348" max="4348" width="8.1640625" style="307" bestFit="1" customWidth="1"/>
    <col min="4349" max="4349" width="7.5" style="307" customWidth="1"/>
    <col min="4350" max="4350" width="7.6640625" style="307" customWidth="1"/>
    <col min="4351" max="4351" width="15.5" style="307" customWidth="1"/>
    <col min="4352" max="4353" width="16" style="307" customWidth="1"/>
    <col min="4354" max="4354" width="19.33203125" style="307" customWidth="1"/>
    <col min="4355" max="4355" width="13.5" style="307" customWidth="1"/>
    <col min="4356" max="4356" width="13.6640625" style="307" customWidth="1"/>
    <col min="4357" max="4359" width="0" style="307" hidden="1" customWidth="1"/>
    <col min="4360" max="4599" width="9.33203125" style="307"/>
    <col min="4600" max="4600" width="1.1640625" style="307" customWidth="1"/>
    <col min="4601" max="4601" width="4" style="307" customWidth="1"/>
    <col min="4602" max="4602" width="31.83203125" style="307" customWidth="1"/>
    <col min="4603" max="4603" width="42.1640625" style="307" customWidth="1"/>
    <col min="4604" max="4604" width="8.1640625" style="307" bestFit="1" customWidth="1"/>
    <col min="4605" max="4605" width="7.5" style="307" customWidth="1"/>
    <col min="4606" max="4606" width="7.6640625" style="307" customWidth="1"/>
    <col min="4607" max="4607" width="15.5" style="307" customWidth="1"/>
    <col min="4608" max="4609" width="16" style="307" customWidth="1"/>
    <col min="4610" max="4610" width="19.33203125" style="307" customWidth="1"/>
    <col min="4611" max="4611" width="13.5" style="307" customWidth="1"/>
    <col min="4612" max="4612" width="13.6640625" style="307" customWidth="1"/>
    <col min="4613" max="4615" width="0" style="307" hidden="1" customWidth="1"/>
    <col min="4616" max="4855" width="9.33203125" style="307"/>
    <col min="4856" max="4856" width="1.1640625" style="307" customWidth="1"/>
    <col min="4857" max="4857" width="4" style="307" customWidth="1"/>
    <col min="4858" max="4858" width="31.83203125" style="307" customWidth="1"/>
    <col min="4859" max="4859" width="42.1640625" style="307" customWidth="1"/>
    <col min="4860" max="4860" width="8.1640625" style="307" bestFit="1" customWidth="1"/>
    <col min="4861" max="4861" width="7.5" style="307" customWidth="1"/>
    <col min="4862" max="4862" width="7.6640625" style="307" customWidth="1"/>
    <col min="4863" max="4863" width="15.5" style="307" customWidth="1"/>
    <col min="4864" max="4865" width="16" style="307" customWidth="1"/>
    <col min="4866" max="4866" width="19.33203125" style="307" customWidth="1"/>
    <col min="4867" max="4867" width="13.5" style="307" customWidth="1"/>
    <col min="4868" max="4868" width="13.6640625" style="307" customWidth="1"/>
    <col min="4869" max="4871" width="0" style="307" hidden="1" customWidth="1"/>
    <col min="4872" max="5111" width="9.33203125" style="307"/>
    <col min="5112" max="5112" width="1.1640625" style="307" customWidth="1"/>
    <col min="5113" max="5113" width="4" style="307" customWidth="1"/>
    <col min="5114" max="5114" width="31.83203125" style="307" customWidth="1"/>
    <col min="5115" max="5115" width="42.1640625" style="307" customWidth="1"/>
    <col min="5116" max="5116" width="8.1640625" style="307" bestFit="1" customWidth="1"/>
    <col min="5117" max="5117" width="7.5" style="307" customWidth="1"/>
    <col min="5118" max="5118" width="7.6640625" style="307" customWidth="1"/>
    <col min="5119" max="5119" width="15.5" style="307" customWidth="1"/>
    <col min="5120" max="5121" width="16" style="307" customWidth="1"/>
    <col min="5122" max="5122" width="19.33203125" style="307" customWidth="1"/>
    <col min="5123" max="5123" width="13.5" style="307" customWidth="1"/>
    <col min="5124" max="5124" width="13.6640625" style="307" customWidth="1"/>
    <col min="5125" max="5127" width="0" style="307" hidden="1" customWidth="1"/>
    <col min="5128" max="5367" width="9.33203125" style="307"/>
    <col min="5368" max="5368" width="1.1640625" style="307" customWidth="1"/>
    <col min="5369" max="5369" width="4" style="307" customWidth="1"/>
    <col min="5370" max="5370" width="31.83203125" style="307" customWidth="1"/>
    <col min="5371" max="5371" width="42.1640625" style="307" customWidth="1"/>
    <col min="5372" max="5372" width="8.1640625" style="307" bestFit="1" customWidth="1"/>
    <col min="5373" max="5373" width="7.5" style="307" customWidth="1"/>
    <col min="5374" max="5374" width="7.6640625" style="307" customWidth="1"/>
    <col min="5375" max="5375" width="15.5" style="307" customWidth="1"/>
    <col min="5376" max="5377" width="16" style="307" customWidth="1"/>
    <col min="5378" max="5378" width="19.33203125" style="307" customWidth="1"/>
    <col min="5379" max="5379" width="13.5" style="307" customWidth="1"/>
    <col min="5380" max="5380" width="13.6640625" style="307" customWidth="1"/>
    <col min="5381" max="5383" width="0" style="307" hidden="1" customWidth="1"/>
    <col min="5384" max="5623" width="9.33203125" style="307"/>
    <col min="5624" max="5624" width="1.1640625" style="307" customWidth="1"/>
    <col min="5625" max="5625" width="4" style="307" customWidth="1"/>
    <col min="5626" max="5626" width="31.83203125" style="307" customWidth="1"/>
    <col min="5627" max="5627" width="42.1640625" style="307" customWidth="1"/>
    <col min="5628" max="5628" width="8.1640625" style="307" bestFit="1" customWidth="1"/>
    <col min="5629" max="5629" width="7.5" style="307" customWidth="1"/>
    <col min="5630" max="5630" width="7.6640625" style="307" customWidth="1"/>
    <col min="5631" max="5631" width="15.5" style="307" customWidth="1"/>
    <col min="5632" max="5633" width="16" style="307" customWidth="1"/>
    <col min="5634" max="5634" width="19.33203125" style="307" customWidth="1"/>
    <col min="5635" max="5635" width="13.5" style="307" customWidth="1"/>
    <col min="5636" max="5636" width="13.6640625" style="307" customWidth="1"/>
    <col min="5637" max="5639" width="0" style="307" hidden="1" customWidth="1"/>
    <col min="5640" max="5879" width="9.33203125" style="307"/>
    <col min="5880" max="5880" width="1.1640625" style="307" customWidth="1"/>
    <col min="5881" max="5881" width="4" style="307" customWidth="1"/>
    <col min="5882" max="5882" width="31.83203125" style="307" customWidth="1"/>
    <col min="5883" max="5883" width="42.1640625" style="307" customWidth="1"/>
    <col min="5884" max="5884" width="8.1640625" style="307" bestFit="1" customWidth="1"/>
    <col min="5885" max="5885" width="7.5" style="307" customWidth="1"/>
    <col min="5886" max="5886" width="7.6640625" style="307" customWidth="1"/>
    <col min="5887" max="5887" width="15.5" style="307" customWidth="1"/>
    <col min="5888" max="5889" width="16" style="307" customWidth="1"/>
    <col min="5890" max="5890" width="19.33203125" style="307" customWidth="1"/>
    <col min="5891" max="5891" width="13.5" style="307" customWidth="1"/>
    <col min="5892" max="5892" width="13.6640625" style="307" customWidth="1"/>
    <col min="5893" max="5895" width="0" style="307" hidden="1" customWidth="1"/>
    <col min="5896" max="6135" width="9.33203125" style="307"/>
    <col min="6136" max="6136" width="1.1640625" style="307" customWidth="1"/>
    <col min="6137" max="6137" width="4" style="307" customWidth="1"/>
    <col min="6138" max="6138" width="31.83203125" style="307" customWidth="1"/>
    <col min="6139" max="6139" width="42.1640625" style="307" customWidth="1"/>
    <col min="6140" max="6140" width="8.1640625" style="307" bestFit="1" customWidth="1"/>
    <col min="6141" max="6141" width="7.5" style="307" customWidth="1"/>
    <col min="6142" max="6142" width="7.6640625" style="307" customWidth="1"/>
    <col min="6143" max="6143" width="15.5" style="307" customWidth="1"/>
    <col min="6144" max="6145" width="16" style="307" customWidth="1"/>
    <col min="6146" max="6146" width="19.33203125" style="307" customWidth="1"/>
    <col min="6147" max="6147" width="13.5" style="307" customWidth="1"/>
    <col min="6148" max="6148" width="13.6640625" style="307" customWidth="1"/>
    <col min="6149" max="6151" width="0" style="307" hidden="1" customWidth="1"/>
    <col min="6152" max="6391" width="9.33203125" style="307"/>
    <col min="6392" max="6392" width="1.1640625" style="307" customWidth="1"/>
    <col min="6393" max="6393" width="4" style="307" customWidth="1"/>
    <col min="6394" max="6394" width="31.83203125" style="307" customWidth="1"/>
    <col min="6395" max="6395" width="42.1640625" style="307" customWidth="1"/>
    <col min="6396" max="6396" width="8.1640625" style="307" bestFit="1" customWidth="1"/>
    <col min="6397" max="6397" width="7.5" style="307" customWidth="1"/>
    <col min="6398" max="6398" width="7.6640625" style="307" customWidth="1"/>
    <col min="6399" max="6399" width="15.5" style="307" customWidth="1"/>
    <col min="6400" max="6401" width="16" style="307" customWidth="1"/>
    <col min="6402" max="6402" width="19.33203125" style="307" customWidth="1"/>
    <col min="6403" max="6403" width="13.5" style="307" customWidth="1"/>
    <col min="6404" max="6404" width="13.6640625" style="307" customWidth="1"/>
    <col min="6405" max="6407" width="0" style="307" hidden="1" customWidth="1"/>
    <col min="6408" max="6647" width="9.33203125" style="307"/>
    <col min="6648" max="6648" width="1.1640625" style="307" customWidth="1"/>
    <col min="6649" max="6649" width="4" style="307" customWidth="1"/>
    <col min="6650" max="6650" width="31.83203125" style="307" customWidth="1"/>
    <col min="6651" max="6651" width="42.1640625" style="307" customWidth="1"/>
    <col min="6652" max="6652" width="8.1640625" style="307" bestFit="1" customWidth="1"/>
    <col min="6653" max="6653" width="7.5" style="307" customWidth="1"/>
    <col min="6654" max="6654" width="7.6640625" style="307" customWidth="1"/>
    <col min="6655" max="6655" width="15.5" style="307" customWidth="1"/>
    <col min="6656" max="6657" width="16" style="307" customWidth="1"/>
    <col min="6658" max="6658" width="19.33203125" style="307" customWidth="1"/>
    <col min="6659" max="6659" width="13.5" style="307" customWidth="1"/>
    <col min="6660" max="6660" width="13.6640625" style="307" customWidth="1"/>
    <col min="6661" max="6663" width="0" style="307" hidden="1" customWidth="1"/>
    <col min="6664" max="6903" width="9.33203125" style="307"/>
    <col min="6904" max="6904" width="1.1640625" style="307" customWidth="1"/>
    <col min="6905" max="6905" width="4" style="307" customWidth="1"/>
    <col min="6906" max="6906" width="31.83203125" style="307" customWidth="1"/>
    <col min="6907" max="6907" width="42.1640625" style="307" customWidth="1"/>
    <col min="6908" max="6908" width="8.1640625" style="307" bestFit="1" customWidth="1"/>
    <col min="6909" max="6909" width="7.5" style="307" customWidth="1"/>
    <col min="6910" max="6910" width="7.6640625" style="307" customWidth="1"/>
    <col min="6911" max="6911" width="15.5" style="307" customWidth="1"/>
    <col min="6912" max="6913" width="16" style="307" customWidth="1"/>
    <col min="6914" max="6914" width="19.33203125" style="307" customWidth="1"/>
    <col min="6915" max="6915" width="13.5" style="307" customWidth="1"/>
    <col min="6916" max="6916" width="13.6640625" style="307" customWidth="1"/>
    <col min="6917" max="6919" width="0" style="307" hidden="1" customWidth="1"/>
    <col min="6920" max="7159" width="9.33203125" style="307"/>
    <col min="7160" max="7160" width="1.1640625" style="307" customWidth="1"/>
    <col min="7161" max="7161" width="4" style="307" customWidth="1"/>
    <col min="7162" max="7162" width="31.83203125" style="307" customWidth="1"/>
    <col min="7163" max="7163" width="42.1640625" style="307" customWidth="1"/>
    <col min="7164" max="7164" width="8.1640625" style="307" bestFit="1" customWidth="1"/>
    <col min="7165" max="7165" width="7.5" style="307" customWidth="1"/>
    <col min="7166" max="7166" width="7.6640625" style="307" customWidth="1"/>
    <col min="7167" max="7167" width="15.5" style="307" customWidth="1"/>
    <col min="7168" max="7169" width="16" style="307" customWidth="1"/>
    <col min="7170" max="7170" width="19.33203125" style="307" customWidth="1"/>
    <col min="7171" max="7171" width="13.5" style="307" customWidth="1"/>
    <col min="7172" max="7172" width="13.6640625" style="307" customWidth="1"/>
    <col min="7173" max="7175" width="0" style="307" hidden="1" customWidth="1"/>
    <col min="7176" max="7415" width="9.33203125" style="307"/>
    <col min="7416" max="7416" width="1.1640625" style="307" customWidth="1"/>
    <col min="7417" max="7417" width="4" style="307" customWidth="1"/>
    <col min="7418" max="7418" width="31.83203125" style="307" customWidth="1"/>
    <col min="7419" max="7419" width="42.1640625" style="307" customWidth="1"/>
    <col min="7420" max="7420" width="8.1640625" style="307" bestFit="1" customWidth="1"/>
    <col min="7421" max="7421" width="7.5" style="307" customWidth="1"/>
    <col min="7422" max="7422" width="7.6640625" style="307" customWidth="1"/>
    <col min="7423" max="7423" width="15.5" style="307" customWidth="1"/>
    <col min="7424" max="7425" width="16" style="307" customWidth="1"/>
    <col min="7426" max="7426" width="19.33203125" style="307" customWidth="1"/>
    <col min="7427" max="7427" width="13.5" style="307" customWidth="1"/>
    <col min="7428" max="7428" width="13.6640625" style="307" customWidth="1"/>
    <col min="7429" max="7431" width="0" style="307" hidden="1" customWidth="1"/>
    <col min="7432" max="7671" width="9.33203125" style="307"/>
    <col min="7672" max="7672" width="1.1640625" style="307" customWidth="1"/>
    <col min="7673" max="7673" width="4" style="307" customWidth="1"/>
    <col min="7674" max="7674" width="31.83203125" style="307" customWidth="1"/>
    <col min="7675" max="7675" width="42.1640625" style="307" customWidth="1"/>
    <col min="7676" max="7676" width="8.1640625" style="307" bestFit="1" customWidth="1"/>
    <col min="7677" max="7677" width="7.5" style="307" customWidth="1"/>
    <col min="7678" max="7678" width="7.6640625" style="307" customWidth="1"/>
    <col min="7679" max="7679" width="15.5" style="307" customWidth="1"/>
    <col min="7680" max="7681" width="16" style="307" customWidth="1"/>
    <col min="7682" max="7682" width="19.33203125" style="307" customWidth="1"/>
    <col min="7683" max="7683" width="13.5" style="307" customWidth="1"/>
    <col min="7684" max="7684" width="13.6640625" style="307" customWidth="1"/>
    <col min="7685" max="7687" width="0" style="307" hidden="1" customWidth="1"/>
    <col min="7688" max="7927" width="9.33203125" style="307"/>
    <col min="7928" max="7928" width="1.1640625" style="307" customWidth="1"/>
    <col min="7929" max="7929" width="4" style="307" customWidth="1"/>
    <col min="7930" max="7930" width="31.83203125" style="307" customWidth="1"/>
    <col min="7931" max="7931" width="42.1640625" style="307" customWidth="1"/>
    <col min="7932" max="7932" width="8.1640625" style="307" bestFit="1" customWidth="1"/>
    <col min="7933" max="7933" width="7.5" style="307" customWidth="1"/>
    <col min="7934" max="7934" width="7.6640625" style="307" customWidth="1"/>
    <col min="7935" max="7935" width="15.5" style="307" customWidth="1"/>
    <col min="7936" max="7937" width="16" style="307" customWidth="1"/>
    <col min="7938" max="7938" width="19.33203125" style="307" customWidth="1"/>
    <col min="7939" max="7939" width="13.5" style="307" customWidth="1"/>
    <col min="7940" max="7940" width="13.6640625" style="307" customWidth="1"/>
    <col min="7941" max="7943" width="0" style="307" hidden="1" customWidth="1"/>
    <col min="7944" max="8183" width="9.33203125" style="307"/>
    <col min="8184" max="8184" width="1.1640625" style="307" customWidth="1"/>
    <col min="8185" max="8185" width="4" style="307" customWidth="1"/>
    <col min="8186" max="8186" width="31.83203125" style="307" customWidth="1"/>
    <col min="8187" max="8187" width="42.1640625" style="307" customWidth="1"/>
    <col min="8188" max="8188" width="8.1640625" style="307" bestFit="1" customWidth="1"/>
    <col min="8189" max="8189" width="7.5" style="307" customWidth="1"/>
    <col min="8190" max="8190" width="7.6640625" style="307" customWidth="1"/>
    <col min="8191" max="8191" width="15.5" style="307" customWidth="1"/>
    <col min="8192" max="8193" width="16" style="307" customWidth="1"/>
    <col min="8194" max="8194" width="19.33203125" style="307" customWidth="1"/>
    <col min="8195" max="8195" width="13.5" style="307" customWidth="1"/>
    <col min="8196" max="8196" width="13.6640625" style="307" customWidth="1"/>
    <col min="8197" max="8199" width="0" style="307" hidden="1" customWidth="1"/>
    <col min="8200" max="8439" width="9.33203125" style="307"/>
    <col min="8440" max="8440" width="1.1640625" style="307" customWidth="1"/>
    <col min="8441" max="8441" width="4" style="307" customWidth="1"/>
    <col min="8442" max="8442" width="31.83203125" style="307" customWidth="1"/>
    <col min="8443" max="8443" width="42.1640625" style="307" customWidth="1"/>
    <col min="8444" max="8444" width="8.1640625" style="307" bestFit="1" customWidth="1"/>
    <col min="8445" max="8445" width="7.5" style="307" customWidth="1"/>
    <col min="8446" max="8446" width="7.6640625" style="307" customWidth="1"/>
    <col min="8447" max="8447" width="15.5" style="307" customWidth="1"/>
    <col min="8448" max="8449" width="16" style="307" customWidth="1"/>
    <col min="8450" max="8450" width="19.33203125" style="307" customWidth="1"/>
    <col min="8451" max="8451" width="13.5" style="307" customWidth="1"/>
    <col min="8452" max="8452" width="13.6640625" style="307" customWidth="1"/>
    <col min="8453" max="8455" width="0" style="307" hidden="1" customWidth="1"/>
    <col min="8456" max="8695" width="9.33203125" style="307"/>
    <col min="8696" max="8696" width="1.1640625" style="307" customWidth="1"/>
    <col min="8697" max="8697" width="4" style="307" customWidth="1"/>
    <col min="8698" max="8698" width="31.83203125" style="307" customWidth="1"/>
    <col min="8699" max="8699" width="42.1640625" style="307" customWidth="1"/>
    <col min="8700" max="8700" width="8.1640625" style="307" bestFit="1" customWidth="1"/>
    <col min="8701" max="8701" width="7.5" style="307" customWidth="1"/>
    <col min="8702" max="8702" width="7.6640625" style="307" customWidth="1"/>
    <col min="8703" max="8703" width="15.5" style="307" customWidth="1"/>
    <col min="8704" max="8705" width="16" style="307" customWidth="1"/>
    <col min="8706" max="8706" width="19.33203125" style="307" customWidth="1"/>
    <col min="8707" max="8707" width="13.5" style="307" customWidth="1"/>
    <col min="8708" max="8708" width="13.6640625" style="307" customWidth="1"/>
    <col min="8709" max="8711" width="0" style="307" hidden="1" customWidth="1"/>
    <col min="8712" max="8951" width="9.33203125" style="307"/>
    <col min="8952" max="8952" width="1.1640625" style="307" customWidth="1"/>
    <col min="8953" max="8953" width="4" style="307" customWidth="1"/>
    <col min="8954" max="8954" width="31.83203125" style="307" customWidth="1"/>
    <col min="8955" max="8955" width="42.1640625" style="307" customWidth="1"/>
    <col min="8956" max="8956" width="8.1640625" style="307" bestFit="1" customWidth="1"/>
    <col min="8957" max="8957" width="7.5" style="307" customWidth="1"/>
    <col min="8958" max="8958" width="7.6640625" style="307" customWidth="1"/>
    <col min="8959" max="8959" width="15.5" style="307" customWidth="1"/>
    <col min="8960" max="8961" width="16" style="307" customWidth="1"/>
    <col min="8962" max="8962" width="19.33203125" style="307" customWidth="1"/>
    <col min="8963" max="8963" width="13.5" style="307" customWidth="1"/>
    <col min="8964" max="8964" width="13.6640625" style="307" customWidth="1"/>
    <col min="8965" max="8967" width="0" style="307" hidden="1" customWidth="1"/>
    <col min="8968" max="9207" width="9.33203125" style="307"/>
    <col min="9208" max="9208" width="1.1640625" style="307" customWidth="1"/>
    <col min="9209" max="9209" width="4" style="307" customWidth="1"/>
    <col min="9210" max="9210" width="31.83203125" style="307" customWidth="1"/>
    <col min="9211" max="9211" width="42.1640625" style="307" customWidth="1"/>
    <col min="9212" max="9212" width="8.1640625" style="307" bestFit="1" customWidth="1"/>
    <col min="9213" max="9213" width="7.5" style="307" customWidth="1"/>
    <col min="9214" max="9214" width="7.6640625" style="307" customWidth="1"/>
    <col min="9215" max="9215" width="15.5" style="307" customWidth="1"/>
    <col min="9216" max="9217" width="16" style="307" customWidth="1"/>
    <col min="9218" max="9218" width="19.33203125" style="307" customWidth="1"/>
    <col min="9219" max="9219" width="13.5" style="307" customWidth="1"/>
    <col min="9220" max="9220" width="13.6640625" style="307" customWidth="1"/>
    <col min="9221" max="9223" width="0" style="307" hidden="1" customWidth="1"/>
    <col min="9224" max="9463" width="9.33203125" style="307"/>
    <col min="9464" max="9464" width="1.1640625" style="307" customWidth="1"/>
    <col min="9465" max="9465" width="4" style="307" customWidth="1"/>
    <col min="9466" max="9466" width="31.83203125" style="307" customWidth="1"/>
    <col min="9467" max="9467" width="42.1640625" style="307" customWidth="1"/>
    <col min="9468" max="9468" width="8.1640625" style="307" bestFit="1" customWidth="1"/>
    <col min="9469" max="9469" width="7.5" style="307" customWidth="1"/>
    <col min="9470" max="9470" width="7.6640625" style="307" customWidth="1"/>
    <col min="9471" max="9471" width="15.5" style="307" customWidth="1"/>
    <col min="9472" max="9473" width="16" style="307" customWidth="1"/>
    <col min="9474" max="9474" width="19.33203125" style="307" customWidth="1"/>
    <col min="9475" max="9475" width="13.5" style="307" customWidth="1"/>
    <col min="9476" max="9476" width="13.6640625" style="307" customWidth="1"/>
    <col min="9477" max="9479" width="0" style="307" hidden="1" customWidth="1"/>
    <col min="9480" max="9719" width="9.33203125" style="307"/>
    <col min="9720" max="9720" width="1.1640625" style="307" customWidth="1"/>
    <col min="9721" max="9721" width="4" style="307" customWidth="1"/>
    <col min="9722" max="9722" width="31.83203125" style="307" customWidth="1"/>
    <col min="9723" max="9723" width="42.1640625" style="307" customWidth="1"/>
    <col min="9724" max="9724" width="8.1640625" style="307" bestFit="1" customWidth="1"/>
    <col min="9725" max="9725" width="7.5" style="307" customWidth="1"/>
    <col min="9726" max="9726" width="7.6640625" style="307" customWidth="1"/>
    <col min="9727" max="9727" width="15.5" style="307" customWidth="1"/>
    <col min="9728" max="9729" width="16" style="307" customWidth="1"/>
    <col min="9730" max="9730" width="19.33203125" style="307" customWidth="1"/>
    <col min="9731" max="9731" width="13.5" style="307" customWidth="1"/>
    <col min="9732" max="9732" width="13.6640625" style="307" customWidth="1"/>
    <col min="9733" max="9735" width="0" style="307" hidden="1" customWidth="1"/>
    <col min="9736" max="9975" width="9.33203125" style="307"/>
    <col min="9976" max="9976" width="1.1640625" style="307" customWidth="1"/>
    <col min="9977" max="9977" width="4" style="307" customWidth="1"/>
    <col min="9978" max="9978" width="31.83203125" style="307" customWidth="1"/>
    <col min="9979" max="9979" width="42.1640625" style="307" customWidth="1"/>
    <col min="9980" max="9980" width="8.1640625" style="307" bestFit="1" customWidth="1"/>
    <col min="9981" max="9981" width="7.5" style="307" customWidth="1"/>
    <col min="9982" max="9982" width="7.6640625" style="307" customWidth="1"/>
    <col min="9983" max="9983" width="15.5" style="307" customWidth="1"/>
    <col min="9984" max="9985" width="16" style="307" customWidth="1"/>
    <col min="9986" max="9986" width="19.33203125" style="307" customWidth="1"/>
    <col min="9987" max="9987" width="13.5" style="307" customWidth="1"/>
    <col min="9988" max="9988" width="13.6640625" style="307" customWidth="1"/>
    <col min="9989" max="9991" width="0" style="307" hidden="1" customWidth="1"/>
    <col min="9992" max="10231" width="9.33203125" style="307"/>
    <col min="10232" max="10232" width="1.1640625" style="307" customWidth="1"/>
    <col min="10233" max="10233" width="4" style="307" customWidth="1"/>
    <col min="10234" max="10234" width="31.83203125" style="307" customWidth="1"/>
    <col min="10235" max="10235" width="42.1640625" style="307" customWidth="1"/>
    <col min="10236" max="10236" width="8.1640625" style="307" bestFit="1" customWidth="1"/>
    <col min="10237" max="10237" width="7.5" style="307" customWidth="1"/>
    <col min="10238" max="10238" width="7.6640625" style="307" customWidth="1"/>
    <col min="10239" max="10239" width="15.5" style="307" customWidth="1"/>
    <col min="10240" max="10241" width="16" style="307" customWidth="1"/>
    <col min="10242" max="10242" width="19.33203125" style="307" customWidth="1"/>
    <col min="10243" max="10243" width="13.5" style="307" customWidth="1"/>
    <col min="10244" max="10244" width="13.6640625" style="307" customWidth="1"/>
    <col min="10245" max="10247" width="0" style="307" hidden="1" customWidth="1"/>
    <col min="10248" max="10487" width="9.33203125" style="307"/>
    <col min="10488" max="10488" width="1.1640625" style="307" customWidth="1"/>
    <col min="10489" max="10489" width="4" style="307" customWidth="1"/>
    <col min="10490" max="10490" width="31.83203125" style="307" customWidth="1"/>
    <col min="10491" max="10491" width="42.1640625" style="307" customWidth="1"/>
    <col min="10492" max="10492" width="8.1640625" style="307" bestFit="1" customWidth="1"/>
    <col min="10493" max="10493" width="7.5" style="307" customWidth="1"/>
    <col min="10494" max="10494" width="7.6640625" style="307" customWidth="1"/>
    <col min="10495" max="10495" width="15.5" style="307" customWidth="1"/>
    <col min="10496" max="10497" width="16" style="307" customWidth="1"/>
    <col min="10498" max="10498" width="19.33203125" style="307" customWidth="1"/>
    <col min="10499" max="10499" width="13.5" style="307" customWidth="1"/>
    <col min="10500" max="10500" width="13.6640625" style="307" customWidth="1"/>
    <col min="10501" max="10503" width="0" style="307" hidden="1" customWidth="1"/>
    <col min="10504" max="10743" width="9.33203125" style="307"/>
    <col min="10744" max="10744" width="1.1640625" style="307" customWidth="1"/>
    <col min="10745" max="10745" width="4" style="307" customWidth="1"/>
    <col min="10746" max="10746" width="31.83203125" style="307" customWidth="1"/>
    <col min="10747" max="10747" width="42.1640625" style="307" customWidth="1"/>
    <col min="10748" max="10748" width="8.1640625" style="307" bestFit="1" customWidth="1"/>
    <col min="10749" max="10749" width="7.5" style="307" customWidth="1"/>
    <col min="10750" max="10750" width="7.6640625" style="307" customWidth="1"/>
    <col min="10751" max="10751" width="15.5" style="307" customWidth="1"/>
    <col min="10752" max="10753" width="16" style="307" customWidth="1"/>
    <col min="10754" max="10754" width="19.33203125" style="307" customWidth="1"/>
    <col min="10755" max="10755" width="13.5" style="307" customWidth="1"/>
    <col min="10756" max="10756" width="13.6640625" style="307" customWidth="1"/>
    <col min="10757" max="10759" width="0" style="307" hidden="1" customWidth="1"/>
    <col min="10760" max="10999" width="9.33203125" style="307"/>
    <col min="11000" max="11000" width="1.1640625" style="307" customWidth="1"/>
    <col min="11001" max="11001" width="4" style="307" customWidth="1"/>
    <col min="11002" max="11002" width="31.83203125" style="307" customWidth="1"/>
    <col min="11003" max="11003" width="42.1640625" style="307" customWidth="1"/>
    <col min="11004" max="11004" width="8.1640625" style="307" bestFit="1" customWidth="1"/>
    <col min="11005" max="11005" width="7.5" style="307" customWidth="1"/>
    <col min="11006" max="11006" width="7.6640625" style="307" customWidth="1"/>
    <col min="11007" max="11007" width="15.5" style="307" customWidth="1"/>
    <col min="11008" max="11009" width="16" style="307" customWidth="1"/>
    <col min="11010" max="11010" width="19.33203125" style="307" customWidth="1"/>
    <col min="11011" max="11011" width="13.5" style="307" customWidth="1"/>
    <col min="11012" max="11012" width="13.6640625" style="307" customWidth="1"/>
    <col min="11013" max="11015" width="0" style="307" hidden="1" customWidth="1"/>
    <col min="11016" max="11255" width="9.33203125" style="307"/>
    <col min="11256" max="11256" width="1.1640625" style="307" customWidth="1"/>
    <col min="11257" max="11257" width="4" style="307" customWidth="1"/>
    <col min="11258" max="11258" width="31.83203125" style="307" customWidth="1"/>
    <col min="11259" max="11259" width="42.1640625" style="307" customWidth="1"/>
    <col min="11260" max="11260" width="8.1640625" style="307" bestFit="1" customWidth="1"/>
    <col min="11261" max="11261" width="7.5" style="307" customWidth="1"/>
    <col min="11262" max="11262" width="7.6640625" style="307" customWidth="1"/>
    <col min="11263" max="11263" width="15.5" style="307" customWidth="1"/>
    <col min="11264" max="11265" width="16" style="307" customWidth="1"/>
    <col min="11266" max="11266" width="19.33203125" style="307" customWidth="1"/>
    <col min="11267" max="11267" width="13.5" style="307" customWidth="1"/>
    <col min="11268" max="11268" width="13.6640625" style="307" customWidth="1"/>
    <col min="11269" max="11271" width="0" style="307" hidden="1" customWidth="1"/>
    <col min="11272" max="11511" width="9.33203125" style="307"/>
    <col min="11512" max="11512" width="1.1640625" style="307" customWidth="1"/>
    <col min="11513" max="11513" width="4" style="307" customWidth="1"/>
    <col min="11514" max="11514" width="31.83203125" style="307" customWidth="1"/>
    <col min="11515" max="11515" width="42.1640625" style="307" customWidth="1"/>
    <col min="11516" max="11516" width="8.1640625" style="307" bestFit="1" customWidth="1"/>
    <col min="11517" max="11517" width="7.5" style="307" customWidth="1"/>
    <col min="11518" max="11518" width="7.6640625" style="307" customWidth="1"/>
    <col min="11519" max="11519" width="15.5" style="307" customWidth="1"/>
    <col min="11520" max="11521" width="16" style="307" customWidth="1"/>
    <col min="11522" max="11522" width="19.33203125" style="307" customWidth="1"/>
    <col min="11523" max="11523" width="13.5" style="307" customWidth="1"/>
    <col min="11524" max="11524" width="13.6640625" style="307" customWidth="1"/>
    <col min="11525" max="11527" width="0" style="307" hidden="1" customWidth="1"/>
    <col min="11528" max="11767" width="9.33203125" style="307"/>
    <col min="11768" max="11768" width="1.1640625" style="307" customWidth="1"/>
    <col min="11769" max="11769" width="4" style="307" customWidth="1"/>
    <col min="11770" max="11770" width="31.83203125" style="307" customWidth="1"/>
    <col min="11771" max="11771" width="42.1640625" style="307" customWidth="1"/>
    <col min="11772" max="11772" width="8.1640625" style="307" bestFit="1" customWidth="1"/>
    <col min="11773" max="11773" width="7.5" style="307" customWidth="1"/>
    <col min="11774" max="11774" width="7.6640625" style="307" customWidth="1"/>
    <col min="11775" max="11775" width="15.5" style="307" customWidth="1"/>
    <col min="11776" max="11777" width="16" style="307" customWidth="1"/>
    <col min="11778" max="11778" width="19.33203125" style="307" customWidth="1"/>
    <col min="11779" max="11779" width="13.5" style="307" customWidth="1"/>
    <col min="11780" max="11780" width="13.6640625" style="307" customWidth="1"/>
    <col min="11781" max="11783" width="0" style="307" hidden="1" customWidth="1"/>
    <col min="11784" max="12023" width="9.33203125" style="307"/>
    <col min="12024" max="12024" width="1.1640625" style="307" customWidth="1"/>
    <col min="12025" max="12025" width="4" style="307" customWidth="1"/>
    <col min="12026" max="12026" width="31.83203125" style="307" customWidth="1"/>
    <col min="12027" max="12027" width="42.1640625" style="307" customWidth="1"/>
    <col min="12028" max="12028" width="8.1640625" style="307" bestFit="1" customWidth="1"/>
    <col min="12029" max="12029" width="7.5" style="307" customWidth="1"/>
    <col min="12030" max="12030" width="7.6640625" style="307" customWidth="1"/>
    <col min="12031" max="12031" width="15.5" style="307" customWidth="1"/>
    <col min="12032" max="12033" width="16" style="307" customWidth="1"/>
    <col min="12034" max="12034" width="19.33203125" style="307" customWidth="1"/>
    <col min="12035" max="12035" width="13.5" style="307" customWidth="1"/>
    <col min="12036" max="12036" width="13.6640625" style="307" customWidth="1"/>
    <col min="12037" max="12039" width="0" style="307" hidden="1" customWidth="1"/>
    <col min="12040" max="12279" width="9.33203125" style="307"/>
    <col min="12280" max="12280" width="1.1640625" style="307" customWidth="1"/>
    <col min="12281" max="12281" width="4" style="307" customWidth="1"/>
    <col min="12282" max="12282" width="31.83203125" style="307" customWidth="1"/>
    <col min="12283" max="12283" width="42.1640625" style="307" customWidth="1"/>
    <col min="12284" max="12284" width="8.1640625" style="307" bestFit="1" customWidth="1"/>
    <col min="12285" max="12285" width="7.5" style="307" customWidth="1"/>
    <col min="12286" max="12286" width="7.6640625" style="307" customWidth="1"/>
    <col min="12287" max="12287" width="15.5" style="307" customWidth="1"/>
    <col min="12288" max="12289" width="16" style="307" customWidth="1"/>
    <col min="12290" max="12290" width="19.33203125" style="307" customWidth="1"/>
    <col min="12291" max="12291" width="13.5" style="307" customWidth="1"/>
    <col min="12292" max="12292" width="13.6640625" style="307" customWidth="1"/>
    <col min="12293" max="12295" width="0" style="307" hidden="1" customWidth="1"/>
    <col min="12296" max="12535" width="9.33203125" style="307"/>
    <col min="12536" max="12536" width="1.1640625" style="307" customWidth="1"/>
    <col min="12537" max="12537" width="4" style="307" customWidth="1"/>
    <col min="12538" max="12538" width="31.83203125" style="307" customWidth="1"/>
    <col min="12539" max="12539" width="42.1640625" style="307" customWidth="1"/>
    <col min="12540" max="12540" width="8.1640625" style="307" bestFit="1" customWidth="1"/>
    <col min="12541" max="12541" width="7.5" style="307" customWidth="1"/>
    <col min="12542" max="12542" width="7.6640625" style="307" customWidth="1"/>
    <col min="12543" max="12543" width="15.5" style="307" customWidth="1"/>
    <col min="12544" max="12545" width="16" style="307" customWidth="1"/>
    <col min="12546" max="12546" width="19.33203125" style="307" customWidth="1"/>
    <col min="12547" max="12547" width="13.5" style="307" customWidth="1"/>
    <col min="12548" max="12548" width="13.6640625" style="307" customWidth="1"/>
    <col min="12549" max="12551" width="0" style="307" hidden="1" customWidth="1"/>
    <col min="12552" max="12791" width="9.33203125" style="307"/>
    <col min="12792" max="12792" width="1.1640625" style="307" customWidth="1"/>
    <col min="12793" max="12793" width="4" style="307" customWidth="1"/>
    <col min="12794" max="12794" width="31.83203125" style="307" customWidth="1"/>
    <col min="12795" max="12795" width="42.1640625" style="307" customWidth="1"/>
    <col min="12796" max="12796" width="8.1640625" style="307" bestFit="1" customWidth="1"/>
    <col min="12797" max="12797" width="7.5" style="307" customWidth="1"/>
    <col min="12798" max="12798" width="7.6640625" style="307" customWidth="1"/>
    <col min="12799" max="12799" width="15.5" style="307" customWidth="1"/>
    <col min="12800" max="12801" width="16" style="307" customWidth="1"/>
    <col min="12802" max="12802" width="19.33203125" style="307" customWidth="1"/>
    <col min="12803" max="12803" width="13.5" style="307" customWidth="1"/>
    <col min="12804" max="12804" width="13.6640625" style="307" customWidth="1"/>
    <col min="12805" max="12807" width="0" style="307" hidden="1" customWidth="1"/>
    <col min="12808" max="13047" width="9.33203125" style="307"/>
    <col min="13048" max="13048" width="1.1640625" style="307" customWidth="1"/>
    <col min="13049" max="13049" width="4" style="307" customWidth="1"/>
    <col min="13050" max="13050" width="31.83203125" style="307" customWidth="1"/>
    <col min="13051" max="13051" width="42.1640625" style="307" customWidth="1"/>
    <col min="13052" max="13052" width="8.1640625" style="307" bestFit="1" customWidth="1"/>
    <col min="13053" max="13053" width="7.5" style="307" customWidth="1"/>
    <col min="13054" max="13054" width="7.6640625" style="307" customWidth="1"/>
    <col min="13055" max="13055" width="15.5" style="307" customWidth="1"/>
    <col min="13056" max="13057" width="16" style="307" customWidth="1"/>
    <col min="13058" max="13058" width="19.33203125" style="307" customWidth="1"/>
    <col min="13059" max="13059" width="13.5" style="307" customWidth="1"/>
    <col min="13060" max="13060" width="13.6640625" style="307" customWidth="1"/>
    <col min="13061" max="13063" width="0" style="307" hidden="1" customWidth="1"/>
    <col min="13064" max="13303" width="9.33203125" style="307"/>
    <col min="13304" max="13304" width="1.1640625" style="307" customWidth="1"/>
    <col min="13305" max="13305" width="4" style="307" customWidth="1"/>
    <col min="13306" max="13306" width="31.83203125" style="307" customWidth="1"/>
    <col min="13307" max="13307" width="42.1640625" style="307" customWidth="1"/>
    <col min="13308" max="13308" width="8.1640625" style="307" bestFit="1" customWidth="1"/>
    <col min="13309" max="13309" width="7.5" style="307" customWidth="1"/>
    <col min="13310" max="13310" width="7.6640625" style="307" customWidth="1"/>
    <col min="13311" max="13311" width="15.5" style="307" customWidth="1"/>
    <col min="13312" max="13313" width="16" style="307" customWidth="1"/>
    <col min="13314" max="13314" width="19.33203125" style="307" customWidth="1"/>
    <col min="13315" max="13315" width="13.5" style="307" customWidth="1"/>
    <col min="13316" max="13316" width="13.6640625" style="307" customWidth="1"/>
    <col min="13317" max="13319" width="0" style="307" hidden="1" customWidth="1"/>
    <col min="13320" max="13559" width="9.33203125" style="307"/>
    <col min="13560" max="13560" width="1.1640625" style="307" customWidth="1"/>
    <col min="13561" max="13561" width="4" style="307" customWidth="1"/>
    <col min="13562" max="13562" width="31.83203125" style="307" customWidth="1"/>
    <col min="13563" max="13563" width="42.1640625" style="307" customWidth="1"/>
    <col min="13564" max="13564" width="8.1640625" style="307" bestFit="1" customWidth="1"/>
    <col min="13565" max="13565" width="7.5" style="307" customWidth="1"/>
    <col min="13566" max="13566" width="7.6640625" style="307" customWidth="1"/>
    <col min="13567" max="13567" width="15.5" style="307" customWidth="1"/>
    <col min="13568" max="13569" width="16" style="307" customWidth="1"/>
    <col min="13570" max="13570" width="19.33203125" style="307" customWidth="1"/>
    <col min="13571" max="13571" width="13.5" style="307" customWidth="1"/>
    <col min="13572" max="13572" width="13.6640625" style="307" customWidth="1"/>
    <col min="13573" max="13575" width="0" style="307" hidden="1" customWidth="1"/>
    <col min="13576" max="13815" width="9.33203125" style="307"/>
    <col min="13816" max="13816" width="1.1640625" style="307" customWidth="1"/>
    <col min="13817" max="13817" width="4" style="307" customWidth="1"/>
    <col min="13818" max="13818" width="31.83203125" style="307" customWidth="1"/>
    <col min="13819" max="13819" width="42.1640625" style="307" customWidth="1"/>
    <col min="13820" max="13820" width="8.1640625" style="307" bestFit="1" customWidth="1"/>
    <col min="13821" max="13821" width="7.5" style="307" customWidth="1"/>
    <col min="13822" max="13822" width="7.6640625" style="307" customWidth="1"/>
    <col min="13823" max="13823" width="15.5" style="307" customWidth="1"/>
    <col min="13824" max="13825" width="16" style="307" customWidth="1"/>
    <col min="13826" max="13826" width="19.33203125" style="307" customWidth="1"/>
    <col min="13827" max="13827" width="13.5" style="307" customWidth="1"/>
    <col min="13828" max="13828" width="13.6640625" style="307" customWidth="1"/>
    <col min="13829" max="13831" width="0" style="307" hidden="1" customWidth="1"/>
    <col min="13832" max="14071" width="9.33203125" style="307"/>
    <col min="14072" max="14072" width="1.1640625" style="307" customWidth="1"/>
    <col min="14073" max="14073" width="4" style="307" customWidth="1"/>
    <col min="14074" max="14074" width="31.83203125" style="307" customWidth="1"/>
    <col min="14075" max="14075" width="42.1640625" style="307" customWidth="1"/>
    <col min="14076" max="14076" width="8.1640625" style="307" bestFit="1" customWidth="1"/>
    <col min="14077" max="14077" width="7.5" style="307" customWidth="1"/>
    <col min="14078" max="14078" width="7.6640625" style="307" customWidth="1"/>
    <col min="14079" max="14079" width="15.5" style="307" customWidth="1"/>
    <col min="14080" max="14081" width="16" style="307" customWidth="1"/>
    <col min="14082" max="14082" width="19.33203125" style="307" customWidth="1"/>
    <col min="14083" max="14083" width="13.5" style="307" customWidth="1"/>
    <col min="14084" max="14084" width="13.6640625" style="307" customWidth="1"/>
    <col min="14085" max="14087" width="0" style="307" hidden="1" customWidth="1"/>
    <col min="14088" max="14327" width="9.33203125" style="307"/>
    <col min="14328" max="14328" width="1.1640625" style="307" customWidth="1"/>
    <col min="14329" max="14329" width="4" style="307" customWidth="1"/>
    <col min="14330" max="14330" width="31.83203125" style="307" customWidth="1"/>
    <col min="14331" max="14331" width="42.1640625" style="307" customWidth="1"/>
    <col min="14332" max="14332" width="8.1640625" style="307" bestFit="1" customWidth="1"/>
    <col min="14333" max="14333" width="7.5" style="307" customWidth="1"/>
    <col min="14334" max="14334" width="7.6640625" style="307" customWidth="1"/>
    <col min="14335" max="14335" width="15.5" style="307" customWidth="1"/>
    <col min="14336" max="14337" width="16" style="307" customWidth="1"/>
    <col min="14338" max="14338" width="19.33203125" style="307" customWidth="1"/>
    <col min="14339" max="14339" width="13.5" style="307" customWidth="1"/>
    <col min="14340" max="14340" width="13.6640625" style="307" customWidth="1"/>
    <col min="14341" max="14343" width="0" style="307" hidden="1" customWidth="1"/>
    <col min="14344" max="14583" width="9.33203125" style="307"/>
    <col min="14584" max="14584" width="1.1640625" style="307" customWidth="1"/>
    <col min="14585" max="14585" width="4" style="307" customWidth="1"/>
    <col min="14586" max="14586" width="31.83203125" style="307" customWidth="1"/>
    <col min="14587" max="14587" width="42.1640625" style="307" customWidth="1"/>
    <col min="14588" max="14588" width="8.1640625" style="307" bestFit="1" customWidth="1"/>
    <col min="14589" max="14589" width="7.5" style="307" customWidth="1"/>
    <col min="14590" max="14590" width="7.6640625" style="307" customWidth="1"/>
    <col min="14591" max="14591" width="15.5" style="307" customWidth="1"/>
    <col min="14592" max="14593" width="16" style="307" customWidth="1"/>
    <col min="14594" max="14594" width="19.33203125" style="307" customWidth="1"/>
    <col min="14595" max="14595" width="13.5" style="307" customWidth="1"/>
    <col min="14596" max="14596" width="13.6640625" style="307" customWidth="1"/>
    <col min="14597" max="14599" width="0" style="307" hidden="1" customWidth="1"/>
    <col min="14600" max="14839" width="9.33203125" style="307"/>
    <col min="14840" max="14840" width="1.1640625" style="307" customWidth="1"/>
    <col min="14841" max="14841" width="4" style="307" customWidth="1"/>
    <col min="14842" max="14842" width="31.83203125" style="307" customWidth="1"/>
    <col min="14843" max="14843" width="42.1640625" style="307" customWidth="1"/>
    <col min="14844" max="14844" width="8.1640625" style="307" bestFit="1" customWidth="1"/>
    <col min="14845" max="14845" width="7.5" style="307" customWidth="1"/>
    <col min="14846" max="14846" width="7.6640625" style="307" customWidth="1"/>
    <col min="14847" max="14847" width="15.5" style="307" customWidth="1"/>
    <col min="14848" max="14849" width="16" style="307" customWidth="1"/>
    <col min="14850" max="14850" width="19.33203125" style="307" customWidth="1"/>
    <col min="14851" max="14851" width="13.5" style="307" customWidth="1"/>
    <col min="14852" max="14852" width="13.6640625" style="307" customWidth="1"/>
    <col min="14853" max="14855" width="0" style="307" hidden="1" customWidth="1"/>
    <col min="14856" max="15095" width="9.33203125" style="307"/>
    <col min="15096" max="15096" width="1.1640625" style="307" customWidth="1"/>
    <col min="15097" max="15097" width="4" style="307" customWidth="1"/>
    <col min="15098" max="15098" width="31.83203125" style="307" customWidth="1"/>
    <col min="15099" max="15099" width="42.1640625" style="307" customWidth="1"/>
    <col min="15100" max="15100" width="8.1640625" style="307" bestFit="1" customWidth="1"/>
    <col min="15101" max="15101" width="7.5" style="307" customWidth="1"/>
    <col min="15102" max="15102" width="7.6640625" style="307" customWidth="1"/>
    <col min="15103" max="15103" width="15.5" style="307" customWidth="1"/>
    <col min="15104" max="15105" width="16" style="307" customWidth="1"/>
    <col min="15106" max="15106" width="19.33203125" style="307" customWidth="1"/>
    <col min="15107" max="15107" width="13.5" style="307" customWidth="1"/>
    <col min="15108" max="15108" width="13.6640625" style="307" customWidth="1"/>
    <col min="15109" max="15111" width="0" style="307" hidden="1" customWidth="1"/>
    <col min="15112" max="15351" width="9.33203125" style="307"/>
    <col min="15352" max="15352" width="1.1640625" style="307" customWidth="1"/>
    <col min="15353" max="15353" width="4" style="307" customWidth="1"/>
    <col min="15354" max="15354" width="31.83203125" style="307" customWidth="1"/>
    <col min="15355" max="15355" width="42.1640625" style="307" customWidth="1"/>
    <col min="15356" max="15356" width="8.1640625" style="307" bestFit="1" customWidth="1"/>
    <col min="15357" max="15357" width="7.5" style="307" customWidth="1"/>
    <col min="15358" max="15358" width="7.6640625" style="307" customWidth="1"/>
    <col min="15359" max="15359" width="15.5" style="307" customWidth="1"/>
    <col min="15360" max="15361" width="16" style="307" customWidth="1"/>
    <col min="15362" max="15362" width="19.33203125" style="307" customWidth="1"/>
    <col min="15363" max="15363" width="13.5" style="307" customWidth="1"/>
    <col min="15364" max="15364" width="13.6640625" style="307" customWidth="1"/>
    <col min="15365" max="15367" width="0" style="307" hidden="1" customWidth="1"/>
    <col min="15368" max="15607" width="9.33203125" style="307"/>
    <col min="15608" max="15608" width="1.1640625" style="307" customWidth="1"/>
    <col min="15609" max="15609" width="4" style="307" customWidth="1"/>
    <col min="15610" max="15610" width="31.83203125" style="307" customWidth="1"/>
    <col min="15611" max="15611" width="42.1640625" style="307" customWidth="1"/>
    <col min="15612" max="15612" width="8.1640625" style="307" bestFit="1" customWidth="1"/>
    <col min="15613" max="15613" width="7.5" style="307" customWidth="1"/>
    <col min="15614" max="15614" width="7.6640625" style="307" customWidth="1"/>
    <col min="15615" max="15615" width="15.5" style="307" customWidth="1"/>
    <col min="15616" max="15617" width="16" style="307" customWidth="1"/>
    <col min="15618" max="15618" width="19.33203125" style="307" customWidth="1"/>
    <col min="15619" max="15619" width="13.5" style="307" customWidth="1"/>
    <col min="15620" max="15620" width="13.6640625" style="307" customWidth="1"/>
    <col min="15621" max="15623" width="0" style="307" hidden="1" customWidth="1"/>
    <col min="15624" max="15863" width="9.33203125" style="307"/>
    <col min="15864" max="15864" width="1.1640625" style="307" customWidth="1"/>
    <col min="15865" max="15865" width="4" style="307" customWidth="1"/>
    <col min="15866" max="15866" width="31.83203125" style="307" customWidth="1"/>
    <col min="15867" max="15867" width="42.1640625" style="307" customWidth="1"/>
    <col min="15868" max="15868" width="8.1640625" style="307" bestFit="1" customWidth="1"/>
    <col min="15869" max="15869" width="7.5" style="307" customWidth="1"/>
    <col min="15870" max="15870" width="7.6640625" style="307" customWidth="1"/>
    <col min="15871" max="15871" width="15.5" style="307" customWidth="1"/>
    <col min="15872" max="15873" width="16" style="307" customWidth="1"/>
    <col min="15874" max="15874" width="19.33203125" style="307" customWidth="1"/>
    <col min="15875" max="15875" width="13.5" style="307" customWidth="1"/>
    <col min="15876" max="15876" width="13.6640625" style="307" customWidth="1"/>
    <col min="15877" max="15879" width="0" style="307" hidden="1" customWidth="1"/>
    <col min="15880" max="16119" width="9.33203125" style="307"/>
    <col min="16120" max="16120" width="1.1640625" style="307" customWidth="1"/>
    <col min="16121" max="16121" width="4" style="307" customWidth="1"/>
    <col min="16122" max="16122" width="31.83203125" style="307" customWidth="1"/>
    <col min="16123" max="16123" width="42.1640625" style="307" customWidth="1"/>
    <col min="16124" max="16124" width="8.1640625" style="307" bestFit="1" customWidth="1"/>
    <col min="16125" max="16125" width="7.5" style="307" customWidth="1"/>
    <col min="16126" max="16126" width="7.6640625" style="307" customWidth="1"/>
    <col min="16127" max="16127" width="15.5" style="307" customWidth="1"/>
    <col min="16128" max="16129" width="16" style="307" customWidth="1"/>
    <col min="16130" max="16130" width="19.33203125" style="307" customWidth="1"/>
    <col min="16131" max="16131" width="13.5" style="307" customWidth="1"/>
    <col min="16132" max="16132" width="13.6640625" style="307" customWidth="1"/>
    <col min="16133" max="16135" width="0" style="307" hidden="1" customWidth="1"/>
    <col min="16136" max="16384" width="9.33203125" style="307"/>
  </cols>
  <sheetData>
    <row r="1" spans="1:10" ht="15" x14ac:dyDescent="0.25">
      <c r="H1" s="1164"/>
    </row>
    <row r="2" spans="1:10" x14ac:dyDescent="0.2">
      <c r="A2" s="687" t="s">
        <v>346</v>
      </c>
      <c r="C2" s="688"/>
      <c r="D2" s="689"/>
      <c r="E2" s="689"/>
      <c r="F2" s="689"/>
      <c r="G2" s="689"/>
    </row>
    <row r="3" spans="1:10" ht="15" customHeight="1" x14ac:dyDescent="0.2">
      <c r="A3" s="2837" t="s">
        <v>1173</v>
      </c>
      <c r="B3" s="2837"/>
      <c r="C3" s="2837"/>
      <c r="D3" s="2837"/>
      <c r="E3" s="2837"/>
      <c r="F3" s="2837"/>
      <c r="G3" s="2837"/>
      <c r="H3" s="2837"/>
    </row>
    <row r="4" spans="1:10" ht="15" customHeight="1" x14ac:dyDescent="0.2">
      <c r="A4" s="2837" t="s">
        <v>1174</v>
      </c>
      <c r="B4" s="2837"/>
      <c r="C4" s="2837"/>
      <c r="D4" s="2837"/>
      <c r="E4" s="2837"/>
      <c r="F4" s="2837"/>
      <c r="G4" s="2837"/>
      <c r="H4" s="2837"/>
    </row>
    <row r="5" spans="1:10" ht="15" customHeight="1" x14ac:dyDescent="0.2">
      <c r="A5" s="2838">
        <v>43829</v>
      </c>
      <c r="B5" s="2838"/>
      <c r="C5" s="2838"/>
      <c r="D5" s="2838"/>
      <c r="E5" s="2838"/>
      <c r="F5" s="2838"/>
      <c r="G5" s="2838"/>
      <c r="H5" s="2838"/>
      <c r="I5" s="2838"/>
      <c r="J5" s="2838"/>
    </row>
    <row r="6" spans="1:10" x14ac:dyDescent="0.2">
      <c r="J6" s="1165" t="s">
        <v>1385</v>
      </c>
    </row>
    <row r="7" spans="1:10" ht="36.75" customHeight="1" x14ac:dyDescent="0.2">
      <c r="A7" s="2839" t="s">
        <v>347</v>
      </c>
      <c r="B7" s="2839" t="s">
        <v>348</v>
      </c>
      <c r="C7" s="2841" t="s">
        <v>248</v>
      </c>
      <c r="D7" s="2842" t="s">
        <v>349</v>
      </c>
      <c r="E7" s="2842" t="s">
        <v>350</v>
      </c>
      <c r="F7" s="2842" t="s">
        <v>351</v>
      </c>
      <c r="G7" s="2842" t="s">
        <v>1386</v>
      </c>
      <c r="H7" s="2843" t="s">
        <v>182</v>
      </c>
      <c r="I7" s="2843" t="s">
        <v>1387</v>
      </c>
      <c r="J7" s="2843" t="s">
        <v>1388</v>
      </c>
    </row>
    <row r="8" spans="1:10" ht="30" customHeight="1" x14ac:dyDescent="0.2">
      <c r="A8" s="2840"/>
      <c r="B8" s="2840"/>
      <c r="C8" s="2841"/>
      <c r="D8" s="2842"/>
      <c r="E8" s="2842"/>
      <c r="F8" s="2842"/>
      <c r="G8" s="2842"/>
      <c r="H8" s="2844"/>
      <c r="I8" s="2844"/>
      <c r="J8" s="2844"/>
    </row>
    <row r="9" spans="1:10" x14ac:dyDescent="0.2">
      <c r="A9" s="776">
        <v>1</v>
      </c>
      <c r="B9" s="776">
        <v>2</v>
      </c>
      <c r="C9" s="776">
        <v>3</v>
      </c>
      <c r="D9" s="777">
        <v>4</v>
      </c>
      <c r="E9" s="777">
        <v>5</v>
      </c>
      <c r="F9" s="668">
        <v>6</v>
      </c>
      <c r="G9" s="777">
        <v>7</v>
      </c>
      <c r="H9" s="690">
        <v>8</v>
      </c>
      <c r="I9" s="690">
        <v>9</v>
      </c>
      <c r="J9" s="690">
        <v>10</v>
      </c>
    </row>
    <row r="10" spans="1:10" s="308" customFormat="1" ht="25.5" x14ac:dyDescent="0.2">
      <c r="A10" s="1166">
        <v>2</v>
      </c>
      <c r="B10" s="1167" t="s">
        <v>1256</v>
      </c>
      <c r="C10" s="1167" t="s">
        <v>1389</v>
      </c>
      <c r="D10" s="1168">
        <v>1</v>
      </c>
      <c r="E10" s="1168">
        <v>65302.9</v>
      </c>
      <c r="F10" s="1169">
        <v>17697.099999999999</v>
      </c>
      <c r="G10" s="1168">
        <f>SUM(E10:F10)/1000</f>
        <v>83</v>
      </c>
      <c r="H10" s="1170"/>
      <c r="I10" s="1168">
        <f>SUM(G10:H10)</f>
        <v>83</v>
      </c>
      <c r="J10" s="1168">
        <f>SUM(H10:I10)</f>
        <v>83</v>
      </c>
    </row>
    <row r="11" spans="1:10" s="309" customFormat="1" x14ac:dyDescent="0.2">
      <c r="A11" s="692"/>
      <c r="B11" s="693" t="s">
        <v>244</v>
      </c>
      <c r="C11" s="693"/>
      <c r="D11" s="694"/>
      <c r="E11" s="694"/>
      <c r="F11" s="695"/>
      <c r="G11" s="695">
        <f>SUM(G10:G10)</f>
        <v>83</v>
      </c>
      <c r="H11" s="1171"/>
      <c r="I11" s="695">
        <f>SUM(I10:I10)</f>
        <v>83</v>
      </c>
      <c r="J11" s="695">
        <f>SUM(J10:J10)</f>
        <v>83</v>
      </c>
    </row>
    <row r="12" spans="1:10" x14ac:dyDescent="0.2">
      <c r="B12" s="307" t="s">
        <v>352</v>
      </c>
      <c r="D12" s="311"/>
      <c r="E12" s="311"/>
      <c r="F12" s="311"/>
      <c r="G12" s="311"/>
    </row>
    <row r="13" spans="1:10" x14ac:dyDescent="0.2">
      <c r="F13" s="307"/>
    </row>
    <row r="14" spans="1:10" x14ac:dyDescent="0.2">
      <c r="D14" s="1181" t="s">
        <v>1392</v>
      </c>
      <c r="E14" s="1166">
        <v>2020</v>
      </c>
      <c r="F14" s="690">
        <v>2021</v>
      </c>
      <c r="G14" s="1166">
        <v>2022</v>
      </c>
    </row>
    <row r="15" spans="1:10" x14ac:dyDescent="0.2">
      <c r="D15" s="1181" t="s">
        <v>1310</v>
      </c>
      <c r="E15" s="1182">
        <f>G11</f>
        <v>83</v>
      </c>
      <c r="F15" s="1183">
        <f>I11</f>
        <v>83</v>
      </c>
      <c r="G15" s="1183">
        <f>J11</f>
        <v>83</v>
      </c>
    </row>
    <row r="16" spans="1:10" x14ac:dyDescent="0.2">
      <c r="D16" s="1181" t="s">
        <v>1312</v>
      </c>
      <c r="E16" s="1182">
        <f>'расходы самоокупаемые (01.01.20'!H21</f>
        <v>112.75</v>
      </c>
      <c r="F16" s="1182">
        <f>'расходы самоокупаемые (01.01.20'!I21</f>
        <v>112.75</v>
      </c>
      <c r="G16" s="1182">
        <f>'расходы самоокупаемые (01.01.20'!J21</f>
        <v>112.75</v>
      </c>
    </row>
    <row r="17" spans="1:14" x14ac:dyDescent="0.2">
      <c r="D17" s="1181" t="s">
        <v>97</v>
      </c>
      <c r="E17" s="1182">
        <f>SUM(E15:E16)</f>
        <v>195.75</v>
      </c>
      <c r="F17" s="1182">
        <f t="shared" ref="F17:G17" si="0">SUM(F15:F16)</f>
        <v>195.75</v>
      </c>
      <c r="G17" s="1182">
        <f t="shared" si="0"/>
        <v>195.75</v>
      </c>
    </row>
    <row r="18" spans="1:14" x14ac:dyDescent="0.2">
      <c r="F18" s="307"/>
    </row>
    <row r="19" spans="1:14" x14ac:dyDescent="0.2">
      <c r="F19" s="307"/>
    </row>
    <row r="20" spans="1:14" x14ac:dyDescent="0.2">
      <c r="F20" s="307"/>
    </row>
    <row r="21" spans="1:14" s="1112" customFormat="1" ht="18.75" x14ac:dyDescent="0.3">
      <c r="A21" s="1172" t="s">
        <v>14</v>
      </c>
      <c r="B21" s="1159"/>
      <c r="C21" s="1173"/>
      <c r="D21" s="1174"/>
      <c r="E21" s="1174"/>
      <c r="F21" s="2845" t="s">
        <v>1390</v>
      </c>
      <c r="G21" s="2845"/>
      <c r="H21" s="1174"/>
      <c r="I21" s="1174"/>
    </row>
    <row r="22" spans="1:14" s="1112" customFormat="1" ht="15" x14ac:dyDescent="0.25">
      <c r="A22" s="1160"/>
      <c r="B22" s="1160"/>
      <c r="C22" s="1175" t="s">
        <v>217</v>
      </c>
      <c r="D22" s="1176"/>
      <c r="E22" s="1175"/>
      <c r="F22" s="2846" t="s">
        <v>211</v>
      </c>
      <c r="G22" s="2846"/>
      <c r="H22" s="1176"/>
      <c r="I22" s="1176"/>
    </row>
    <row r="23" spans="1:14" s="1112" customFormat="1" ht="15" x14ac:dyDescent="0.25">
      <c r="A23" s="836"/>
      <c r="B23" s="836"/>
      <c r="C23" s="836"/>
      <c r="D23" s="836"/>
      <c r="E23" s="836"/>
      <c r="F23" s="836"/>
      <c r="G23" s="1177"/>
      <c r="H23" s="1177"/>
      <c r="I23" s="1177"/>
      <c r="L23" s="1178"/>
      <c r="M23" s="1177"/>
      <c r="N23" s="1177"/>
    </row>
    <row r="24" spans="1:14" s="1112" customFormat="1" ht="28.5" customHeight="1" x14ac:dyDescent="0.25">
      <c r="A24" s="2836" t="s">
        <v>1391</v>
      </c>
      <c r="B24" s="2836"/>
      <c r="C24" s="838"/>
      <c r="D24" s="838"/>
      <c r="E24" s="836"/>
      <c r="F24" s="836"/>
      <c r="G24" s="836"/>
      <c r="H24" s="836"/>
      <c r="I24" s="1179"/>
      <c r="L24" s="1180"/>
      <c r="M24" s="1180"/>
      <c r="N24" s="1180"/>
    </row>
  </sheetData>
  <mergeCells count="16">
    <mergeCell ref="A24:B24"/>
    <mergeCell ref="A3:H3"/>
    <mergeCell ref="A4:H4"/>
    <mergeCell ref="A5:J5"/>
    <mergeCell ref="A7:A8"/>
    <mergeCell ref="B7:B8"/>
    <mergeCell ref="C7:C8"/>
    <mergeCell ref="D7:D8"/>
    <mergeCell ref="E7:E8"/>
    <mergeCell ref="F7:F8"/>
    <mergeCell ref="G7:G8"/>
    <mergeCell ref="H7:H8"/>
    <mergeCell ref="I7:I8"/>
    <mergeCell ref="J7:J8"/>
    <mergeCell ref="F21:G21"/>
    <mergeCell ref="F22:G22"/>
  </mergeCells>
  <pageMargins left="0.35433070866141736" right="0.15748031496062992" top="0.47244094488188981" bottom="0.15748031496062992" header="0.43307086614173229" footer="0.15748031496062992"/>
  <pageSetup paperSize="9"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7" tint="0.39997558519241921"/>
    <pageSetUpPr fitToPage="1"/>
  </sheetPr>
  <dimension ref="A1:TS24"/>
  <sheetViews>
    <sheetView showZeros="0" view="pageBreakPreview" zoomScale="80" zoomScaleNormal="60" zoomScaleSheetLayoutView="80" workbookViewId="0">
      <pane ySplit="9" topLeftCell="A10" activePane="bottomLeft" state="frozen"/>
      <selection activeCell="H22" sqref="H22:H23"/>
      <selection pane="bottomLeft" activeCell="T5" sqref="T5:T8"/>
    </sheetView>
  </sheetViews>
  <sheetFormatPr defaultColWidth="10.6640625" defaultRowHeight="15.75" x14ac:dyDescent="0.25"/>
  <cols>
    <col min="1" max="1" width="7.33203125" style="1192" customWidth="1"/>
    <col min="2" max="2" width="42" style="1218" customWidth="1"/>
    <col min="3" max="3" width="18" style="1218" hidden="1" customWidth="1"/>
    <col min="4" max="6" width="18.5" style="1219" hidden="1" customWidth="1"/>
    <col min="7" max="7" width="18.5" style="1184" hidden="1" customWidth="1"/>
    <col min="8" max="8" width="18.33203125" style="1220" hidden="1" customWidth="1"/>
    <col min="9" max="9" width="16.6640625" style="1221" hidden="1" customWidth="1"/>
    <col min="10" max="10" width="19.5" style="1222" hidden="1" customWidth="1"/>
    <col min="11" max="11" width="17" style="1222" hidden="1" customWidth="1"/>
    <col min="12" max="14" width="19.5" style="1222" hidden="1" customWidth="1"/>
    <col min="15" max="17" width="19.5" style="1222" customWidth="1"/>
    <col min="18" max="18" width="15.33203125" style="1222" customWidth="1"/>
    <col min="19" max="19" width="17" style="1222" customWidth="1"/>
    <col min="20" max="20" width="40.83203125" style="1218" customWidth="1"/>
    <col min="21" max="22" width="10.6640625" style="1192"/>
    <col min="23" max="23" width="7.33203125" style="1192" customWidth="1"/>
    <col min="24" max="27" width="10.6640625" style="1192" hidden="1" customWidth="1"/>
    <col min="28" max="245" width="10.6640625" style="1192"/>
    <col min="246" max="246" width="7.33203125" style="1192" customWidth="1"/>
    <col min="247" max="247" width="14.1640625" style="1192" customWidth="1"/>
    <col min="248" max="248" width="40.83203125" style="1192" customWidth="1"/>
    <col min="249" max="249" width="10.1640625" style="1192" customWidth="1"/>
    <col min="250" max="250" width="24.1640625" style="1192" customWidth="1"/>
    <col min="251" max="252" width="13.1640625" style="1192" customWidth="1"/>
    <col min="253" max="253" width="14.5" style="1192" customWidth="1"/>
    <col min="254" max="254" width="10.1640625" style="1192" customWidth="1"/>
    <col min="255" max="255" width="13.1640625" style="1192" customWidth="1"/>
    <col min="256" max="256" width="14.5" style="1192" customWidth="1"/>
    <col min="257" max="257" width="13.1640625" style="1192" customWidth="1"/>
    <col min="258" max="258" width="12.6640625" style="1192" customWidth="1"/>
    <col min="259" max="259" width="10" style="1192" bestFit="1" customWidth="1"/>
    <col min="260" max="260" width="23.1640625" style="1192" bestFit="1" customWidth="1"/>
    <col min="261" max="262" width="11.5" style="1192" bestFit="1" customWidth="1"/>
    <col min="263" max="263" width="12.33203125" style="1192" bestFit="1" customWidth="1"/>
    <col min="264" max="264" width="15.83203125" style="1192" bestFit="1" customWidth="1"/>
    <col min="265" max="265" width="13" style="1192" bestFit="1" customWidth="1"/>
    <col min="266" max="266" width="14.33203125" style="1192" bestFit="1" customWidth="1"/>
    <col min="267" max="268" width="10.6640625" style="1192" hidden="1" customWidth="1"/>
    <col min="269" max="269" width="17.83203125" style="1192" bestFit="1" customWidth="1"/>
    <col min="270" max="272" width="10.6640625" style="1192" hidden="1" customWidth="1"/>
    <col min="273" max="278" width="10.6640625" style="1192"/>
    <col min="279" max="279" width="7.33203125" style="1192" customWidth="1"/>
    <col min="280" max="283" width="10.6640625" style="1192" hidden="1" customWidth="1"/>
    <col min="284" max="501" width="10.6640625" style="1192"/>
    <col min="502" max="502" width="7.33203125" style="1192" customWidth="1"/>
    <col min="503" max="503" width="14.1640625" style="1192" customWidth="1"/>
    <col min="504" max="504" width="40.83203125" style="1192" customWidth="1"/>
    <col min="505" max="505" width="10.1640625" style="1192" customWidth="1"/>
    <col min="506" max="506" width="24.1640625" style="1192" customWidth="1"/>
    <col min="507" max="508" width="13.1640625" style="1192" customWidth="1"/>
    <col min="509" max="509" width="14.5" style="1192" customWidth="1"/>
    <col min="510" max="510" width="10.1640625" style="1192" customWidth="1"/>
    <col min="511" max="511" width="13.1640625" style="1192" customWidth="1"/>
    <col min="512" max="512" width="14.5" style="1192" customWidth="1"/>
    <col min="513" max="513" width="13.1640625" style="1192" customWidth="1"/>
    <col min="514" max="514" width="12.6640625" style="1192" customWidth="1"/>
    <col min="515" max="515" width="10" style="1192" bestFit="1" customWidth="1"/>
    <col min="516" max="516" width="23.1640625" style="1192" bestFit="1" customWidth="1"/>
    <col min="517" max="518" width="11.5" style="1192" bestFit="1" customWidth="1"/>
    <col min="519" max="519" width="12.33203125" style="1192" bestFit="1" customWidth="1"/>
    <col min="520" max="520" width="15.83203125" style="1192" bestFit="1" customWidth="1"/>
    <col min="521" max="521" width="13" style="1192" bestFit="1" customWidth="1"/>
    <col min="522" max="522" width="14.33203125" style="1192" bestFit="1" customWidth="1"/>
    <col min="523" max="524" width="10.6640625" style="1192" hidden="1" customWidth="1"/>
    <col min="525" max="525" width="17.83203125" style="1192" bestFit="1" customWidth="1"/>
    <col min="526" max="528" width="10.6640625" style="1192" hidden="1" customWidth="1"/>
    <col min="529" max="534" width="10.6640625" style="1192"/>
    <col min="535" max="535" width="7.33203125" style="1192" customWidth="1"/>
    <col min="536" max="539" width="10.6640625" style="1192" hidden="1" customWidth="1"/>
    <col min="540" max="16384" width="10.6640625" style="1192"/>
  </cols>
  <sheetData>
    <row r="1" spans="1:22" s="1184" customFormat="1" ht="41.25" customHeight="1" x14ac:dyDescent="0.25">
      <c r="A1" s="2851" t="s">
        <v>353</v>
      </c>
      <c r="B1" s="2851"/>
      <c r="C1" s="2851"/>
      <c r="D1" s="2851"/>
      <c r="E1" s="2851"/>
      <c r="F1" s="2851"/>
      <c r="G1" s="2851"/>
      <c r="H1" s="2851"/>
      <c r="I1" s="2851"/>
      <c r="J1" s="2851"/>
      <c r="K1" s="2851"/>
      <c r="L1" s="2851"/>
      <c r="M1" s="2851"/>
      <c r="N1" s="2851"/>
      <c r="O1" s="2851"/>
      <c r="P1" s="2851"/>
      <c r="Q1" s="2851"/>
      <c r="R1" s="2851"/>
      <c r="S1" s="2851"/>
      <c r="T1" s="2851"/>
    </row>
    <row r="2" spans="1:22" s="1184" customFormat="1" x14ac:dyDescent="0.25">
      <c r="B2" s="1185"/>
      <c r="C2" s="1185"/>
      <c r="D2" s="1186"/>
      <c r="E2" s="1186"/>
      <c r="F2" s="1186"/>
      <c r="G2" s="1187"/>
      <c r="H2" s="1188"/>
      <c r="I2" s="1189"/>
      <c r="J2" s="1190"/>
      <c r="K2" s="1190"/>
      <c r="L2" s="1190"/>
      <c r="M2" s="1190"/>
      <c r="N2" s="1190"/>
      <c r="O2" s="1190"/>
      <c r="P2" s="1190"/>
      <c r="Q2" s="1190"/>
      <c r="R2" s="1190"/>
      <c r="S2" s="1190"/>
      <c r="T2" s="1185"/>
    </row>
    <row r="3" spans="1:22" s="1184" customFormat="1" x14ac:dyDescent="0.25">
      <c r="A3" s="2546" t="s">
        <v>1256</v>
      </c>
      <c r="B3" s="2546"/>
      <c r="C3" s="2546"/>
      <c r="D3" s="2546"/>
      <c r="E3" s="2546"/>
      <c r="F3" s="2546"/>
      <c r="G3" s="2546"/>
      <c r="H3" s="2546"/>
      <c r="I3" s="2546"/>
      <c r="J3" s="2546"/>
      <c r="K3" s="2546"/>
      <c r="L3" s="2546"/>
      <c r="M3" s="2546"/>
      <c r="N3" s="2546"/>
      <c r="O3" s="2546"/>
      <c r="P3" s="2546"/>
      <c r="Q3" s="2546"/>
      <c r="R3" s="2546"/>
      <c r="S3" s="2546"/>
      <c r="T3" s="2546"/>
    </row>
    <row r="4" spans="1:22" s="1184" customFormat="1" x14ac:dyDescent="0.25">
      <c r="B4" s="1185"/>
      <c r="C4" s="1185"/>
      <c r="D4" s="1186"/>
      <c r="E4" s="1186"/>
      <c r="F4" s="1186"/>
      <c r="G4" s="1187"/>
      <c r="H4" s="1188"/>
      <c r="I4" s="1189"/>
      <c r="J4" s="1190"/>
      <c r="K4" s="1190"/>
      <c r="L4" s="1190"/>
      <c r="M4" s="1190"/>
      <c r="N4" s="1190"/>
      <c r="O4" s="1190"/>
      <c r="P4" s="1190"/>
      <c r="Q4" s="1190"/>
      <c r="R4" s="1190"/>
      <c r="S4" s="1190"/>
      <c r="T4" s="1191">
        <v>43913</v>
      </c>
    </row>
    <row r="5" spans="1:22" ht="15.75" customHeight="1" x14ac:dyDescent="0.25">
      <c r="A5" s="2560" t="s">
        <v>78</v>
      </c>
      <c r="B5" s="2560" t="s">
        <v>354</v>
      </c>
      <c r="C5" s="2852" t="s">
        <v>882</v>
      </c>
      <c r="D5" s="2852"/>
      <c r="E5" s="2852"/>
      <c r="F5" s="2852"/>
      <c r="G5" s="2557" t="s">
        <v>370</v>
      </c>
      <c r="H5" s="2557"/>
      <c r="I5" s="2557"/>
      <c r="J5" s="2557"/>
      <c r="K5" s="2557"/>
      <c r="L5" s="2557"/>
      <c r="M5" s="2557"/>
      <c r="N5" s="2557"/>
      <c r="O5" s="2557" t="s">
        <v>232</v>
      </c>
      <c r="P5" s="2557"/>
      <c r="Q5" s="2557"/>
      <c r="R5" s="2853" t="s">
        <v>355</v>
      </c>
      <c r="S5" s="2853" t="s">
        <v>356</v>
      </c>
      <c r="T5" s="2856" t="s">
        <v>182</v>
      </c>
    </row>
    <row r="6" spans="1:22" ht="15.75" customHeight="1" x14ac:dyDescent="0.25">
      <c r="A6" s="2560"/>
      <c r="B6" s="2560"/>
      <c r="C6" s="2857" t="s">
        <v>754</v>
      </c>
      <c r="D6" s="2858"/>
      <c r="E6" s="2858"/>
      <c r="F6" s="2858"/>
      <c r="G6" s="2557" t="s">
        <v>1176</v>
      </c>
      <c r="H6" s="2557"/>
      <c r="I6" s="2557"/>
      <c r="J6" s="2557"/>
      <c r="K6" s="2557" t="s">
        <v>482</v>
      </c>
      <c r="L6" s="2557"/>
      <c r="M6" s="2557"/>
      <c r="N6" s="2557"/>
      <c r="O6" s="2557" t="s">
        <v>357</v>
      </c>
      <c r="P6" s="2557"/>
      <c r="Q6" s="2557"/>
      <c r="R6" s="2854"/>
      <c r="S6" s="2854"/>
      <c r="T6" s="2856"/>
    </row>
    <row r="7" spans="1:22" ht="94.5" customHeight="1" x14ac:dyDescent="0.25">
      <c r="A7" s="2560"/>
      <c r="B7" s="2560"/>
      <c r="C7" s="2859" t="s">
        <v>358</v>
      </c>
      <c r="D7" s="2860" t="s">
        <v>795</v>
      </c>
      <c r="E7" s="2559" t="s">
        <v>796</v>
      </c>
      <c r="F7" s="2559"/>
      <c r="G7" s="2560" t="s">
        <v>358</v>
      </c>
      <c r="H7" s="2847" t="s">
        <v>795</v>
      </c>
      <c r="I7" s="2559" t="s">
        <v>796</v>
      </c>
      <c r="J7" s="2559"/>
      <c r="K7" s="2560" t="s">
        <v>358</v>
      </c>
      <c r="L7" s="2847" t="s">
        <v>795</v>
      </c>
      <c r="M7" s="2559" t="s">
        <v>796</v>
      </c>
      <c r="N7" s="2559"/>
      <c r="O7" s="2560" t="s">
        <v>358</v>
      </c>
      <c r="P7" s="2847" t="s">
        <v>359</v>
      </c>
      <c r="Q7" s="2849" t="s">
        <v>360</v>
      </c>
      <c r="R7" s="2854"/>
      <c r="S7" s="2854"/>
      <c r="T7" s="2856"/>
      <c r="V7" s="1193"/>
    </row>
    <row r="8" spans="1:22" ht="30" x14ac:dyDescent="0.25">
      <c r="A8" s="2560"/>
      <c r="B8" s="2560"/>
      <c r="C8" s="2859"/>
      <c r="D8" s="2860"/>
      <c r="E8" s="696" t="s">
        <v>802</v>
      </c>
      <c r="F8" s="697" t="s">
        <v>801</v>
      </c>
      <c r="G8" s="2560"/>
      <c r="H8" s="2847"/>
      <c r="I8" s="1194" t="s">
        <v>802</v>
      </c>
      <c r="J8" s="1195" t="s">
        <v>801</v>
      </c>
      <c r="K8" s="2560"/>
      <c r="L8" s="2847"/>
      <c r="M8" s="1194" t="s">
        <v>802</v>
      </c>
      <c r="N8" s="1195" t="s">
        <v>801</v>
      </c>
      <c r="O8" s="2560"/>
      <c r="P8" s="2847"/>
      <c r="Q8" s="2850"/>
      <c r="R8" s="2855"/>
      <c r="S8" s="2855"/>
      <c r="T8" s="2856"/>
    </row>
    <row r="9" spans="1:22" s="1199" customFormat="1" ht="16.5" x14ac:dyDescent="0.25">
      <c r="A9" s="1196">
        <v>1</v>
      </c>
      <c r="B9" s="1196">
        <v>3</v>
      </c>
      <c r="C9" s="1196">
        <v>4</v>
      </c>
      <c r="D9" s="1196">
        <v>5</v>
      </c>
      <c r="E9" s="1196">
        <v>6</v>
      </c>
      <c r="F9" s="1196">
        <v>7</v>
      </c>
      <c r="G9" s="1196">
        <v>8</v>
      </c>
      <c r="H9" s="1196">
        <v>9</v>
      </c>
      <c r="I9" s="1197">
        <v>10</v>
      </c>
      <c r="J9" s="1196">
        <v>11</v>
      </c>
      <c r="K9" s="1196">
        <v>12</v>
      </c>
      <c r="L9" s="1196">
        <v>13</v>
      </c>
      <c r="M9" s="1196">
        <v>14</v>
      </c>
      <c r="N9" s="1196">
        <v>15</v>
      </c>
      <c r="O9" s="1196">
        <v>4</v>
      </c>
      <c r="P9" s="1196">
        <v>5</v>
      </c>
      <c r="Q9" s="1196">
        <v>6</v>
      </c>
      <c r="R9" s="1196">
        <v>7</v>
      </c>
      <c r="S9" s="1196">
        <v>8</v>
      </c>
      <c r="T9" s="1198">
        <v>9</v>
      </c>
    </row>
    <row r="10" spans="1:22" s="1209" customFormat="1" ht="33.75" customHeight="1" x14ac:dyDescent="0.25">
      <c r="A10" s="1200">
        <v>1</v>
      </c>
      <c r="B10" s="1201" t="s">
        <v>393</v>
      </c>
      <c r="C10" s="1201"/>
      <c r="D10" s="1202"/>
      <c r="E10" s="1202">
        <v>181.4</v>
      </c>
      <c r="F10" s="1202"/>
      <c r="G10" s="1203"/>
      <c r="H10" s="1204"/>
      <c r="I10" s="1205">
        <v>200</v>
      </c>
      <c r="J10" s="1206"/>
      <c r="K10" s="1203"/>
      <c r="L10" s="1204"/>
      <c r="M10" s="1204">
        <v>200</v>
      </c>
      <c r="N10" s="1206"/>
      <c r="O10" s="1206">
        <v>19</v>
      </c>
      <c r="P10" s="1206">
        <f>(Q10/O10)*1000</f>
        <v>2000</v>
      </c>
      <c r="Q10" s="1206">
        <f>38000/1000</f>
        <v>38</v>
      </c>
      <c r="R10" s="1207">
        <v>38</v>
      </c>
      <c r="S10" s="1207">
        <v>38</v>
      </c>
      <c r="T10" s="1208"/>
    </row>
    <row r="11" spans="1:22" s="1209" customFormat="1" ht="33.75" customHeight="1" x14ac:dyDescent="0.25">
      <c r="A11" s="1200">
        <v>2</v>
      </c>
      <c r="B11" s="1201" t="s">
        <v>1393</v>
      </c>
      <c r="C11" s="1201"/>
      <c r="D11" s="1202"/>
      <c r="E11" s="1202"/>
      <c r="F11" s="1202"/>
      <c r="G11" s="1203"/>
      <c r="H11" s="1204"/>
      <c r="I11" s="1205"/>
      <c r="J11" s="1206"/>
      <c r="K11" s="1203"/>
      <c r="L11" s="1204"/>
      <c r="M11" s="1204"/>
      <c r="N11" s="1206"/>
      <c r="O11" s="1206">
        <v>100</v>
      </c>
      <c r="P11" s="1206">
        <f>(Q11/O11)*1000</f>
        <v>60</v>
      </c>
      <c r="Q11" s="1206">
        <f>6000/1000</f>
        <v>6</v>
      </c>
      <c r="R11" s="1207">
        <v>6</v>
      </c>
      <c r="S11" s="1207">
        <v>6</v>
      </c>
      <c r="T11" s="1208"/>
    </row>
    <row r="12" spans="1:22" s="1209" customFormat="1" ht="33.75" customHeight="1" x14ac:dyDescent="0.25">
      <c r="A12" s="1200">
        <v>3</v>
      </c>
      <c r="B12" s="1201" t="s">
        <v>401</v>
      </c>
      <c r="C12" s="1201"/>
      <c r="D12" s="1202"/>
      <c r="E12" s="1202"/>
      <c r="F12" s="1202"/>
      <c r="G12" s="1203"/>
      <c r="H12" s="1204"/>
      <c r="I12" s="1205"/>
      <c r="J12" s="1206"/>
      <c r="K12" s="1203"/>
      <c r="L12" s="1204"/>
      <c r="M12" s="1204"/>
      <c r="N12" s="1206"/>
      <c r="O12" s="1206">
        <v>100</v>
      </c>
      <c r="P12" s="1206">
        <f t="shared" ref="P12:P15" si="0">(Q12/O12)*1000</f>
        <v>90</v>
      </c>
      <c r="Q12" s="1206">
        <f>9000/1000</f>
        <v>9</v>
      </c>
      <c r="R12" s="1207">
        <f t="shared" ref="R12:S12" si="1">9000/1000</f>
        <v>9</v>
      </c>
      <c r="S12" s="1207">
        <f t="shared" si="1"/>
        <v>9</v>
      </c>
      <c r="T12" s="1208"/>
    </row>
    <row r="13" spans="1:22" s="1209" customFormat="1" ht="33.75" customHeight="1" x14ac:dyDescent="0.25">
      <c r="A13" s="1200">
        <v>4</v>
      </c>
      <c r="B13" s="1201" t="s">
        <v>1394</v>
      </c>
      <c r="C13" s="1201"/>
      <c r="D13" s="1202"/>
      <c r="E13" s="1202"/>
      <c r="F13" s="1202"/>
      <c r="G13" s="1203"/>
      <c r="H13" s="1204"/>
      <c r="I13" s="1205"/>
      <c r="J13" s="1206"/>
      <c r="K13" s="1203"/>
      <c r="L13" s="1204"/>
      <c r="M13" s="1204"/>
      <c r="N13" s="1206"/>
      <c r="O13" s="1206">
        <v>200</v>
      </c>
      <c r="P13" s="1206">
        <f t="shared" si="0"/>
        <v>127.5</v>
      </c>
      <c r="Q13" s="1206">
        <f>25500/1000</f>
        <v>25.5</v>
      </c>
      <c r="R13" s="1207">
        <f t="shared" ref="R13:S13" si="2">25500/1000</f>
        <v>25.5</v>
      </c>
      <c r="S13" s="1207">
        <f t="shared" si="2"/>
        <v>25.5</v>
      </c>
      <c r="T13" s="1208"/>
    </row>
    <row r="14" spans="1:22" s="1209" customFormat="1" ht="33.75" customHeight="1" x14ac:dyDescent="0.25">
      <c r="A14" s="1200">
        <v>5</v>
      </c>
      <c r="B14" s="1201" t="s">
        <v>1395</v>
      </c>
      <c r="C14" s="1201"/>
      <c r="D14" s="1202"/>
      <c r="E14" s="1202"/>
      <c r="F14" s="1202"/>
      <c r="G14" s="1203"/>
      <c r="H14" s="1204"/>
      <c r="I14" s="1205"/>
      <c r="J14" s="1206"/>
      <c r="K14" s="1203"/>
      <c r="L14" s="1204"/>
      <c r="M14" s="1204"/>
      <c r="N14" s="1206"/>
      <c r="O14" s="1206">
        <v>4</v>
      </c>
      <c r="P14" s="1206">
        <f t="shared" si="0"/>
        <v>475</v>
      </c>
      <c r="Q14" s="1206">
        <f>1900/1000</f>
        <v>1.9</v>
      </c>
      <c r="R14" s="1207">
        <f t="shared" ref="R14:S14" si="3">1900/1000</f>
        <v>1.9</v>
      </c>
      <c r="S14" s="1207">
        <f t="shared" si="3"/>
        <v>1.9</v>
      </c>
      <c r="T14" s="1208"/>
    </row>
    <row r="15" spans="1:22" s="1209" customFormat="1" ht="33.75" customHeight="1" x14ac:dyDescent="0.25">
      <c r="A15" s="1200">
        <v>6</v>
      </c>
      <c r="B15" s="1201" t="s">
        <v>1396</v>
      </c>
      <c r="C15" s="1201"/>
      <c r="D15" s="1202"/>
      <c r="E15" s="1202"/>
      <c r="F15" s="1202"/>
      <c r="G15" s="1203"/>
      <c r="H15" s="1204"/>
      <c r="I15" s="1205"/>
      <c r="J15" s="1206"/>
      <c r="K15" s="1203"/>
      <c r="L15" s="1204"/>
      <c r="M15" s="1204"/>
      <c r="N15" s="1206"/>
      <c r="O15" s="1206">
        <v>200</v>
      </c>
      <c r="P15" s="1206">
        <f t="shared" si="0"/>
        <v>191.5</v>
      </c>
      <c r="Q15" s="1206">
        <f>38300/1000</f>
        <v>38.299999999999997</v>
      </c>
      <c r="R15" s="1207">
        <f t="shared" ref="R15:S15" si="4">38300/1000</f>
        <v>38.299999999999997</v>
      </c>
      <c r="S15" s="1207">
        <f t="shared" si="4"/>
        <v>38.299999999999997</v>
      </c>
      <c r="T15" s="1208"/>
    </row>
    <row r="16" spans="1:22" s="1209" customFormat="1" ht="33.75" customHeight="1" x14ac:dyDescent="0.25">
      <c r="A16" s="1200">
        <v>7</v>
      </c>
      <c r="B16" s="1201" t="s">
        <v>1715</v>
      </c>
      <c r="C16" s="1201"/>
      <c r="D16" s="1202"/>
      <c r="E16" s="1202"/>
      <c r="F16" s="1202"/>
      <c r="G16" s="1203"/>
      <c r="H16" s="1204"/>
      <c r="I16" s="1205"/>
      <c r="J16" s="1206"/>
      <c r="K16" s="1203"/>
      <c r="L16" s="1204"/>
      <c r="M16" s="1204"/>
      <c r="N16" s="1206"/>
      <c r="O16" s="1206">
        <v>37</v>
      </c>
      <c r="P16" s="1206">
        <v>500</v>
      </c>
      <c r="Q16" s="1206">
        <f>O16*P16/1000</f>
        <v>18.5</v>
      </c>
      <c r="R16" s="1207"/>
      <c r="S16" s="1207"/>
      <c r="T16" s="1208"/>
    </row>
    <row r="17" spans="1:20" s="1209" customFormat="1" ht="50.25" customHeight="1" x14ac:dyDescent="0.25">
      <c r="A17" s="1200">
        <v>8</v>
      </c>
      <c r="B17" s="1201" t="s">
        <v>1397</v>
      </c>
      <c r="C17" s="1201"/>
      <c r="D17" s="1202"/>
      <c r="E17" s="1202"/>
      <c r="F17" s="1202"/>
      <c r="G17" s="1203"/>
      <c r="H17" s="1204"/>
      <c r="I17" s="1205"/>
      <c r="J17" s="1206"/>
      <c r="K17" s="1203"/>
      <c r="L17" s="1204"/>
      <c r="M17" s="1204"/>
      <c r="N17" s="1206"/>
      <c r="O17" s="1206">
        <v>1</v>
      </c>
      <c r="P17" s="1206">
        <f>(Q17/O17)*1000</f>
        <v>20000</v>
      </c>
      <c r="Q17" s="1206">
        <f>20000/1000</f>
        <v>20</v>
      </c>
      <c r="R17" s="1207">
        <f t="shared" ref="R17:S17" si="5">20000/1000</f>
        <v>20</v>
      </c>
      <c r="S17" s="1207">
        <f t="shared" si="5"/>
        <v>20</v>
      </c>
      <c r="T17" s="1208"/>
    </row>
    <row r="18" spans="1:20" s="1217" customFormat="1" ht="30" customHeight="1" x14ac:dyDescent="0.25">
      <c r="A18" s="1210"/>
      <c r="B18" s="1211" t="s">
        <v>479</v>
      </c>
      <c r="C18" s="1211"/>
      <c r="D18" s="1212"/>
      <c r="E18" s="1212"/>
      <c r="F18" s="1212"/>
      <c r="G18" s="1210"/>
      <c r="H18" s="1213"/>
      <c r="I18" s="1213"/>
      <c r="J18" s="1214"/>
      <c r="K18" s="1210"/>
      <c r="L18" s="1213"/>
      <c r="M18" s="1213"/>
      <c r="N18" s="1214"/>
      <c r="O18" s="1214"/>
      <c r="P18" s="1214"/>
      <c r="Q18" s="1214">
        <f>SUM(Q10:Q17)</f>
        <v>157.19999999999999</v>
      </c>
      <c r="R18" s="1215">
        <f t="shared" ref="R18:S18" si="6">SUM(R10:R17)</f>
        <v>138.69999999999999</v>
      </c>
      <c r="S18" s="1215">
        <f t="shared" si="6"/>
        <v>138.69999999999999</v>
      </c>
      <c r="T18" s="1216"/>
    </row>
    <row r="19" spans="1:20" x14ac:dyDescent="0.25">
      <c r="A19" s="2848" t="s">
        <v>216</v>
      </c>
      <c r="B19" s="2848"/>
      <c r="C19" s="2848"/>
      <c r="D19" s="2848"/>
      <c r="E19" s="2848"/>
      <c r="F19" s="2848"/>
      <c r="G19" s="2848"/>
      <c r="H19" s="2848"/>
      <c r="I19" s="2848"/>
      <c r="J19" s="2848"/>
      <c r="K19" s="2848"/>
      <c r="L19" s="2848"/>
      <c r="M19" s="2848"/>
      <c r="N19" s="2848"/>
      <c r="O19" s="2848"/>
      <c r="P19" s="2848"/>
      <c r="Q19" s="2848"/>
      <c r="R19" s="2848"/>
      <c r="S19" s="2848"/>
    </row>
    <row r="22" spans="1:20" x14ac:dyDescent="0.25">
      <c r="A22" s="1192" t="s">
        <v>1398</v>
      </c>
    </row>
    <row r="24" spans="1:20" x14ac:dyDescent="0.25">
      <c r="A24" s="1192" t="s">
        <v>1399</v>
      </c>
    </row>
  </sheetData>
  <mergeCells count="27">
    <mergeCell ref="A1:T1"/>
    <mergeCell ref="A3:T3"/>
    <mergeCell ref="A5:A8"/>
    <mergeCell ref="B5:B8"/>
    <mergeCell ref="C5:F5"/>
    <mergeCell ref="G5:N5"/>
    <mergeCell ref="O5:Q5"/>
    <mergeCell ref="R5:R8"/>
    <mergeCell ref="S5:S8"/>
    <mergeCell ref="T5:T8"/>
    <mergeCell ref="C6:F6"/>
    <mergeCell ref="G6:J6"/>
    <mergeCell ref="K6:N6"/>
    <mergeCell ref="O6:Q6"/>
    <mergeCell ref="C7:C8"/>
    <mergeCell ref="D7:D8"/>
    <mergeCell ref="E7:F7"/>
    <mergeCell ref="G7:G8"/>
    <mergeCell ref="H7:H8"/>
    <mergeCell ref="I7:J7"/>
    <mergeCell ref="A19:S19"/>
    <mergeCell ref="K7:K8"/>
    <mergeCell ref="L7:L8"/>
    <mergeCell ref="M7:N7"/>
    <mergeCell ref="O7:O8"/>
    <mergeCell ref="P7:P8"/>
    <mergeCell ref="Q7:Q8"/>
  </mergeCells>
  <pageMargins left="0.70866141732283472" right="0.70866141732283472" top="0.74803149606299213" bottom="0.74803149606299213" header="0.31496062992125984" footer="0.31496062992125984"/>
  <pageSetup paperSize="9" scale="81" fitToHeight="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7" tint="0.39997558519241921"/>
  </sheetPr>
  <dimension ref="A1:N91"/>
  <sheetViews>
    <sheetView view="pageBreakPreview" zoomScale="70" zoomScaleNormal="80" zoomScaleSheetLayoutView="70" workbookViewId="0">
      <pane ySplit="11" topLeftCell="A70" activePane="bottomLeft" state="frozen"/>
      <selection pane="bottomLeft" activeCell="K96" sqref="K96:K98"/>
    </sheetView>
  </sheetViews>
  <sheetFormatPr defaultRowHeight="15.75" x14ac:dyDescent="0.25"/>
  <cols>
    <col min="1" max="1" width="74.6640625" style="1180" customWidth="1"/>
    <col min="2" max="2" width="9" style="1180" hidden="1" customWidth="1"/>
    <col min="3" max="3" width="12.6640625" style="1180" hidden="1" customWidth="1"/>
    <col min="4" max="4" width="15.33203125" style="1180" hidden="1" customWidth="1"/>
    <col min="5" max="5" width="9" style="1180" hidden="1" customWidth="1"/>
    <col min="6" max="6" width="14.33203125" style="1180" hidden="1" customWidth="1"/>
    <col min="7" max="7" width="9" style="1180" hidden="1" customWidth="1"/>
    <col min="8" max="8" width="14.83203125" style="1180" hidden="1" customWidth="1"/>
    <col min="9" max="9" width="9" style="1180" bestFit="1" customWidth="1"/>
    <col min="10" max="10" width="14.83203125" style="1180" customWidth="1"/>
    <col min="11" max="11" width="16.6640625" style="1180" customWidth="1"/>
    <col min="12" max="12" width="15.6640625" style="1180" customWidth="1"/>
    <col min="13" max="13" width="16.5" style="1180" customWidth="1"/>
    <col min="14" max="14" width="44" style="1180" customWidth="1"/>
    <col min="15" max="237" width="9.33203125" style="1180"/>
    <col min="238" max="238" width="74.6640625" style="1180" customWidth="1"/>
    <col min="239" max="239" width="9" style="1180" bestFit="1" customWidth="1"/>
    <col min="240" max="240" width="12.6640625" style="1180" customWidth="1"/>
    <col min="241" max="241" width="15.33203125" style="1180" customWidth="1"/>
    <col min="242" max="242" width="9" style="1180" bestFit="1" customWidth="1"/>
    <col min="243" max="243" width="14.33203125" style="1180" customWidth="1"/>
    <col min="244" max="244" width="9" style="1180" bestFit="1" customWidth="1"/>
    <col min="245" max="245" width="14.83203125" style="1180" customWidth="1"/>
    <col min="246" max="246" width="9" style="1180" bestFit="1" customWidth="1"/>
    <col min="247" max="248" width="15.33203125" style="1180" customWidth="1"/>
    <col min="249" max="249" width="9" style="1180" bestFit="1" customWidth="1"/>
    <col min="250" max="250" width="14.83203125" style="1180" customWidth="1"/>
    <col min="251" max="251" width="9" style="1180" bestFit="1" customWidth="1"/>
    <col min="252" max="252" width="14.83203125" style="1180" customWidth="1"/>
    <col min="253" max="254" width="16.5" style="1180" customWidth="1"/>
    <col min="255" max="256" width="16.33203125" style="1180" customWidth="1"/>
    <col min="257" max="257" width="8" style="1180" customWidth="1"/>
    <col min="258" max="258" width="19.1640625" style="1180" customWidth="1"/>
    <col min="259" max="259" width="9" style="1180" bestFit="1" customWidth="1"/>
    <col min="260" max="260" width="14.83203125" style="1180" customWidth="1"/>
    <col min="261" max="261" width="16.6640625" style="1180" customWidth="1"/>
    <col min="262" max="262" width="14.83203125" style="1180" customWidth="1"/>
    <col min="263" max="263" width="9" style="1180" bestFit="1" customWidth="1"/>
    <col min="264" max="265" width="14.83203125" style="1180" customWidth="1"/>
    <col min="266" max="266" width="18.1640625" style="1180" customWidth="1"/>
    <col min="267" max="267" width="15.6640625" style="1180" customWidth="1"/>
    <col min="268" max="268" width="16.5" style="1180" customWidth="1"/>
    <col min="269" max="269" width="16.1640625" style="1180" bestFit="1" customWidth="1"/>
    <col min="270" max="493" width="9.33203125" style="1180"/>
    <col min="494" max="494" width="74.6640625" style="1180" customWidth="1"/>
    <col min="495" max="495" width="9" style="1180" bestFit="1" customWidth="1"/>
    <col min="496" max="496" width="12.6640625" style="1180" customWidth="1"/>
    <col min="497" max="497" width="15.33203125" style="1180" customWidth="1"/>
    <col min="498" max="498" width="9" style="1180" bestFit="1" customWidth="1"/>
    <col min="499" max="499" width="14.33203125" style="1180" customWidth="1"/>
    <col min="500" max="500" width="9" style="1180" bestFit="1" customWidth="1"/>
    <col min="501" max="501" width="14.83203125" style="1180" customWidth="1"/>
    <col min="502" max="502" width="9" style="1180" bestFit="1" customWidth="1"/>
    <col min="503" max="504" width="15.33203125" style="1180" customWidth="1"/>
    <col min="505" max="505" width="9" style="1180" bestFit="1" customWidth="1"/>
    <col min="506" max="506" width="14.83203125" style="1180" customWidth="1"/>
    <col min="507" max="507" width="9" style="1180" bestFit="1" customWidth="1"/>
    <col min="508" max="508" width="14.83203125" style="1180" customWidth="1"/>
    <col min="509" max="510" width="16.5" style="1180" customWidth="1"/>
    <col min="511" max="512" width="16.33203125" style="1180" customWidth="1"/>
    <col min="513" max="513" width="8" style="1180" customWidth="1"/>
    <col min="514" max="514" width="19.1640625" style="1180" customWidth="1"/>
    <col min="515" max="515" width="9" style="1180" bestFit="1" customWidth="1"/>
    <col min="516" max="516" width="14.83203125" style="1180" customWidth="1"/>
    <col min="517" max="517" width="16.6640625" style="1180" customWidth="1"/>
    <col min="518" max="518" width="14.83203125" style="1180" customWidth="1"/>
    <col min="519" max="519" width="9" style="1180" bestFit="1" customWidth="1"/>
    <col min="520" max="521" width="14.83203125" style="1180" customWidth="1"/>
    <col min="522" max="522" width="18.1640625" style="1180" customWidth="1"/>
    <col min="523" max="523" width="15.6640625" style="1180" customWidth="1"/>
    <col min="524" max="524" width="16.5" style="1180" customWidth="1"/>
    <col min="525" max="525" width="16.1640625" style="1180" bestFit="1" customWidth="1"/>
    <col min="526" max="749" width="9.33203125" style="1180"/>
    <col min="750" max="750" width="74.6640625" style="1180" customWidth="1"/>
    <col min="751" max="751" width="9" style="1180" bestFit="1" customWidth="1"/>
    <col min="752" max="752" width="12.6640625" style="1180" customWidth="1"/>
    <col min="753" max="753" width="15.33203125" style="1180" customWidth="1"/>
    <col min="754" max="754" width="9" style="1180" bestFit="1" customWidth="1"/>
    <col min="755" max="755" width="14.33203125" style="1180" customWidth="1"/>
    <col min="756" max="756" width="9" style="1180" bestFit="1" customWidth="1"/>
    <col min="757" max="757" width="14.83203125" style="1180" customWidth="1"/>
    <col min="758" max="758" width="9" style="1180" bestFit="1" customWidth="1"/>
    <col min="759" max="760" width="15.33203125" style="1180" customWidth="1"/>
    <col min="761" max="761" width="9" style="1180" bestFit="1" customWidth="1"/>
    <col min="762" max="762" width="14.83203125" style="1180" customWidth="1"/>
    <col min="763" max="763" width="9" style="1180" bestFit="1" customWidth="1"/>
    <col min="764" max="764" width="14.83203125" style="1180" customWidth="1"/>
    <col min="765" max="766" width="16.5" style="1180" customWidth="1"/>
    <col min="767" max="768" width="16.33203125" style="1180" customWidth="1"/>
    <col min="769" max="769" width="8" style="1180" customWidth="1"/>
    <col min="770" max="770" width="19.1640625" style="1180" customWidth="1"/>
    <col min="771" max="771" width="9" style="1180" bestFit="1" customWidth="1"/>
    <col min="772" max="772" width="14.83203125" style="1180" customWidth="1"/>
    <col min="773" max="773" width="16.6640625" style="1180" customWidth="1"/>
    <col min="774" max="774" width="14.83203125" style="1180" customWidth="1"/>
    <col min="775" max="775" width="9" style="1180" bestFit="1" customWidth="1"/>
    <col min="776" max="777" width="14.83203125" style="1180" customWidth="1"/>
    <col min="778" max="778" width="18.1640625" style="1180" customWidth="1"/>
    <col min="779" max="779" width="15.6640625" style="1180" customWidth="1"/>
    <col min="780" max="780" width="16.5" style="1180" customWidth="1"/>
    <col min="781" max="781" width="16.1640625" style="1180" bestFit="1" customWidth="1"/>
    <col min="782" max="1005" width="9.33203125" style="1180"/>
    <col min="1006" max="1006" width="74.6640625" style="1180" customWidth="1"/>
    <col min="1007" max="1007" width="9" style="1180" bestFit="1" customWidth="1"/>
    <col min="1008" max="1008" width="12.6640625" style="1180" customWidth="1"/>
    <col min="1009" max="1009" width="15.33203125" style="1180" customWidth="1"/>
    <col min="1010" max="1010" width="9" style="1180" bestFit="1" customWidth="1"/>
    <col min="1011" max="1011" width="14.33203125" style="1180" customWidth="1"/>
    <col min="1012" max="1012" width="9" style="1180" bestFit="1" customWidth="1"/>
    <col min="1013" max="1013" width="14.83203125" style="1180" customWidth="1"/>
    <col min="1014" max="1014" width="9" style="1180" bestFit="1" customWidth="1"/>
    <col min="1015" max="1016" width="15.33203125" style="1180" customWidth="1"/>
    <col min="1017" max="1017" width="9" style="1180" bestFit="1" customWidth="1"/>
    <col min="1018" max="1018" width="14.83203125" style="1180" customWidth="1"/>
    <col min="1019" max="1019" width="9" style="1180" bestFit="1" customWidth="1"/>
    <col min="1020" max="1020" width="14.83203125" style="1180" customWidth="1"/>
    <col min="1021" max="1022" width="16.5" style="1180" customWidth="1"/>
    <col min="1023" max="1024" width="16.33203125" style="1180" customWidth="1"/>
    <col min="1025" max="1025" width="8" style="1180" customWidth="1"/>
    <col min="1026" max="1026" width="19.1640625" style="1180" customWidth="1"/>
    <col min="1027" max="1027" width="9" style="1180" bestFit="1" customWidth="1"/>
    <col min="1028" max="1028" width="14.83203125" style="1180" customWidth="1"/>
    <col min="1029" max="1029" width="16.6640625" style="1180" customWidth="1"/>
    <col min="1030" max="1030" width="14.83203125" style="1180" customWidth="1"/>
    <col min="1031" max="1031" width="9" style="1180" bestFit="1" customWidth="1"/>
    <col min="1032" max="1033" width="14.83203125" style="1180" customWidth="1"/>
    <col min="1034" max="1034" width="18.1640625" style="1180" customWidth="1"/>
    <col min="1035" max="1035" width="15.6640625" style="1180" customWidth="1"/>
    <col min="1036" max="1036" width="16.5" style="1180" customWidth="1"/>
    <col min="1037" max="1037" width="16.1640625" style="1180" bestFit="1" customWidth="1"/>
    <col min="1038" max="1261" width="9.33203125" style="1180"/>
    <col min="1262" max="1262" width="74.6640625" style="1180" customWidth="1"/>
    <col min="1263" max="1263" width="9" style="1180" bestFit="1" customWidth="1"/>
    <col min="1264" max="1264" width="12.6640625" style="1180" customWidth="1"/>
    <col min="1265" max="1265" width="15.33203125" style="1180" customWidth="1"/>
    <col min="1266" max="1266" width="9" style="1180" bestFit="1" customWidth="1"/>
    <col min="1267" max="1267" width="14.33203125" style="1180" customWidth="1"/>
    <col min="1268" max="1268" width="9" style="1180" bestFit="1" customWidth="1"/>
    <col min="1269" max="1269" width="14.83203125" style="1180" customWidth="1"/>
    <col min="1270" max="1270" width="9" style="1180" bestFit="1" customWidth="1"/>
    <col min="1271" max="1272" width="15.33203125" style="1180" customWidth="1"/>
    <col min="1273" max="1273" width="9" style="1180" bestFit="1" customWidth="1"/>
    <col min="1274" max="1274" width="14.83203125" style="1180" customWidth="1"/>
    <col min="1275" max="1275" width="9" style="1180" bestFit="1" customWidth="1"/>
    <col min="1276" max="1276" width="14.83203125" style="1180" customWidth="1"/>
    <col min="1277" max="1278" width="16.5" style="1180" customWidth="1"/>
    <col min="1279" max="1280" width="16.33203125" style="1180" customWidth="1"/>
    <col min="1281" max="1281" width="8" style="1180" customWidth="1"/>
    <col min="1282" max="1282" width="19.1640625" style="1180" customWidth="1"/>
    <col min="1283" max="1283" width="9" style="1180" bestFit="1" customWidth="1"/>
    <col min="1284" max="1284" width="14.83203125" style="1180" customWidth="1"/>
    <col min="1285" max="1285" width="16.6640625" style="1180" customWidth="1"/>
    <col min="1286" max="1286" width="14.83203125" style="1180" customWidth="1"/>
    <col min="1287" max="1287" width="9" style="1180" bestFit="1" customWidth="1"/>
    <col min="1288" max="1289" width="14.83203125" style="1180" customWidth="1"/>
    <col min="1290" max="1290" width="18.1640625" style="1180" customWidth="1"/>
    <col min="1291" max="1291" width="15.6640625" style="1180" customWidth="1"/>
    <col min="1292" max="1292" width="16.5" style="1180" customWidth="1"/>
    <col min="1293" max="1293" width="16.1640625" style="1180" bestFit="1" customWidth="1"/>
    <col min="1294" max="1517" width="9.33203125" style="1180"/>
    <col min="1518" max="1518" width="74.6640625" style="1180" customWidth="1"/>
    <col min="1519" max="1519" width="9" style="1180" bestFit="1" customWidth="1"/>
    <col min="1520" max="1520" width="12.6640625" style="1180" customWidth="1"/>
    <col min="1521" max="1521" width="15.33203125" style="1180" customWidth="1"/>
    <col min="1522" max="1522" width="9" style="1180" bestFit="1" customWidth="1"/>
    <col min="1523" max="1523" width="14.33203125" style="1180" customWidth="1"/>
    <col min="1524" max="1524" width="9" style="1180" bestFit="1" customWidth="1"/>
    <col min="1525" max="1525" width="14.83203125" style="1180" customWidth="1"/>
    <col min="1526" max="1526" width="9" style="1180" bestFit="1" customWidth="1"/>
    <col min="1527" max="1528" width="15.33203125" style="1180" customWidth="1"/>
    <col min="1529" max="1529" width="9" style="1180" bestFit="1" customWidth="1"/>
    <col min="1530" max="1530" width="14.83203125" style="1180" customWidth="1"/>
    <col min="1531" max="1531" width="9" style="1180" bestFit="1" customWidth="1"/>
    <col min="1532" max="1532" width="14.83203125" style="1180" customWidth="1"/>
    <col min="1533" max="1534" width="16.5" style="1180" customWidth="1"/>
    <col min="1535" max="1536" width="16.33203125" style="1180" customWidth="1"/>
    <col min="1537" max="1537" width="8" style="1180" customWidth="1"/>
    <col min="1538" max="1538" width="19.1640625" style="1180" customWidth="1"/>
    <col min="1539" max="1539" width="9" style="1180" bestFit="1" customWidth="1"/>
    <col min="1540" max="1540" width="14.83203125" style="1180" customWidth="1"/>
    <col min="1541" max="1541" width="16.6640625" style="1180" customWidth="1"/>
    <col min="1542" max="1542" width="14.83203125" style="1180" customWidth="1"/>
    <col min="1543" max="1543" width="9" style="1180" bestFit="1" customWidth="1"/>
    <col min="1544" max="1545" width="14.83203125" style="1180" customWidth="1"/>
    <col min="1546" max="1546" width="18.1640625" style="1180" customWidth="1"/>
    <col min="1547" max="1547" width="15.6640625" style="1180" customWidth="1"/>
    <col min="1548" max="1548" width="16.5" style="1180" customWidth="1"/>
    <col min="1549" max="1549" width="16.1640625" style="1180" bestFit="1" customWidth="1"/>
    <col min="1550" max="1773" width="9.33203125" style="1180"/>
    <col min="1774" max="1774" width="74.6640625" style="1180" customWidth="1"/>
    <col min="1775" max="1775" width="9" style="1180" bestFit="1" customWidth="1"/>
    <col min="1776" max="1776" width="12.6640625" style="1180" customWidth="1"/>
    <col min="1777" max="1777" width="15.33203125" style="1180" customWidth="1"/>
    <col min="1778" max="1778" width="9" style="1180" bestFit="1" customWidth="1"/>
    <col min="1779" max="1779" width="14.33203125" style="1180" customWidth="1"/>
    <col min="1780" max="1780" width="9" style="1180" bestFit="1" customWidth="1"/>
    <col min="1781" max="1781" width="14.83203125" style="1180" customWidth="1"/>
    <col min="1782" max="1782" width="9" style="1180" bestFit="1" customWidth="1"/>
    <col min="1783" max="1784" width="15.33203125" style="1180" customWidth="1"/>
    <col min="1785" max="1785" width="9" style="1180" bestFit="1" customWidth="1"/>
    <col min="1786" max="1786" width="14.83203125" style="1180" customWidth="1"/>
    <col min="1787" max="1787" width="9" style="1180" bestFit="1" customWidth="1"/>
    <col min="1788" max="1788" width="14.83203125" style="1180" customWidth="1"/>
    <col min="1789" max="1790" width="16.5" style="1180" customWidth="1"/>
    <col min="1791" max="1792" width="16.33203125" style="1180" customWidth="1"/>
    <col min="1793" max="1793" width="8" style="1180" customWidth="1"/>
    <col min="1794" max="1794" width="19.1640625" style="1180" customWidth="1"/>
    <col min="1795" max="1795" width="9" style="1180" bestFit="1" customWidth="1"/>
    <col min="1796" max="1796" width="14.83203125" style="1180" customWidth="1"/>
    <col min="1797" max="1797" width="16.6640625" style="1180" customWidth="1"/>
    <col min="1798" max="1798" width="14.83203125" style="1180" customWidth="1"/>
    <col min="1799" max="1799" width="9" style="1180" bestFit="1" customWidth="1"/>
    <col min="1800" max="1801" width="14.83203125" style="1180" customWidth="1"/>
    <col min="1802" max="1802" width="18.1640625" style="1180" customWidth="1"/>
    <col min="1803" max="1803" width="15.6640625" style="1180" customWidth="1"/>
    <col min="1804" max="1804" width="16.5" style="1180" customWidth="1"/>
    <col min="1805" max="1805" width="16.1640625" style="1180" bestFit="1" customWidth="1"/>
    <col min="1806" max="2029" width="9.33203125" style="1180"/>
    <col min="2030" max="2030" width="74.6640625" style="1180" customWidth="1"/>
    <col min="2031" max="2031" width="9" style="1180" bestFit="1" customWidth="1"/>
    <col min="2032" max="2032" width="12.6640625" style="1180" customWidth="1"/>
    <col min="2033" max="2033" width="15.33203125" style="1180" customWidth="1"/>
    <col min="2034" max="2034" width="9" style="1180" bestFit="1" customWidth="1"/>
    <col min="2035" max="2035" width="14.33203125" style="1180" customWidth="1"/>
    <col min="2036" max="2036" width="9" style="1180" bestFit="1" customWidth="1"/>
    <col min="2037" max="2037" width="14.83203125" style="1180" customWidth="1"/>
    <col min="2038" max="2038" width="9" style="1180" bestFit="1" customWidth="1"/>
    <col min="2039" max="2040" width="15.33203125" style="1180" customWidth="1"/>
    <col min="2041" max="2041" width="9" style="1180" bestFit="1" customWidth="1"/>
    <col min="2042" max="2042" width="14.83203125" style="1180" customWidth="1"/>
    <col min="2043" max="2043" width="9" style="1180" bestFit="1" customWidth="1"/>
    <col min="2044" max="2044" width="14.83203125" style="1180" customWidth="1"/>
    <col min="2045" max="2046" width="16.5" style="1180" customWidth="1"/>
    <col min="2047" max="2048" width="16.33203125" style="1180" customWidth="1"/>
    <col min="2049" max="2049" width="8" style="1180" customWidth="1"/>
    <col min="2050" max="2050" width="19.1640625" style="1180" customWidth="1"/>
    <col min="2051" max="2051" width="9" style="1180" bestFit="1" customWidth="1"/>
    <col min="2052" max="2052" width="14.83203125" style="1180" customWidth="1"/>
    <col min="2053" max="2053" width="16.6640625" style="1180" customWidth="1"/>
    <col min="2054" max="2054" width="14.83203125" style="1180" customWidth="1"/>
    <col min="2055" max="2055" width="9" style="1180" bestFit="1" customWidth="1"/>
    <col min="2056" max="2057" width="14.83203125" style="1180" customWidth="1"/>
    <col min="2058" max="2058" width="18.1640625" style="1180" customWidth="1"/>
    <col min="2059" max="2059" width="15.6640625" style="1180" customWidth="1"/>
    <col min="2060" max="2060" width="16.5" style="1180" customWidth="1"/>
    <col min="2061" max="2061" width="16.1640625" style="1180" bestFit="1" customWidth="1"/>
    <col min="2062" max="2285" width="9.33203125" style="1180"/>
    <col min="2286" max="2286" width="74.6640625" style="1180" customWidth="1"/>
    <col min="2287" max="2287" width="9" style="1180" bestFit="1" customWidth="1"/>
    <col min="2288" max="2288" width="12.6640625" style="1180" customWidth="1"/>
    <col min="2289" max="2289" width="15.33203125" style="1180" customWidth="1"/>
    <col min="2290" max="2290" width="9" style="1180" bestFit="1" customWidth="1"/>
    <col min="2291" max="2291" width="14.33203125" style="1180" customWidth="1"/>
    <col min="2292" max="2292" width="9" style="1180" bestFit="1" customWidth="1"/>
    <col min="2293" max="2293" width="14.83203125" style="1180" customWidth="1"/>
    <col min="2294" max="2294" width="9" style="1180" bestFit="1" customWidth="1"/>
    <col min="2295" max="2296" width="15.33203125" style="1180" customWidth="1"/>
    <col min="2297" max="2297" width="9" style="1180" bestFit="1" customWidth="1"/>
    <col min="2298" max="2298" width="14.83203125" style="1180" customWidth="1"/>
    <col min="2299" max="2299" width="9" style="1180" bestFit="1" customWidth="1"/>
    <col min="2300" max="2300" width="14.83203125" style="1180" customWidth="1"/>
    <col min="2301" max="2302" width="16.5" style="1180" customWidth="1"/>
    <col min="2303" max="2304" width="16.33203125" style="1180" customWidth="1"/>
    <col min="2305" max="2305" width="8" style="1180" customWidth="1"/>
    <col min="2306" max="2306" width="19.1640625" style="1180" customWidth="1"/>
    <col min="2307" max="2307" width="9" style="1180" bestFit="1" customWidth="1"/>
    <col min="2308" max="2308" width="14.83203125" style="1180" customWidth="1"/>
    <col min="2309" max="2309" width="16.6640625" style="1180" customWidth="1"/>
    <col min="2310" max="2310" width="14.83203125" style="1180" customWidth="1"/>
    <col min="2311" max="2311" width="9" style="1180" bestFit="1" customWidth="1"/>
    <col min="2312" max="2313" width="14.83203125" style="1180" customWidth="1"/>
    <col min="2314" max="2314" width="18.1640625" style="1180" customWidth="1"/>
    <col min="2315" max="2315" width="15.6640625" style="1180" customWidth="1"/>
    <col min="2316" max="2316" width="16.5" style="1180" customWidth="1"/>
    <col min="2317" max="2317" width="16.1640625" style="1180" bestFit="1" customWidth="1"/>
    <col min="2318" max="2541" width="9.33203125" style="1180"/>
    <col min="2542" max="2542" width="74.6640625" style="1180" customWidth="1"/>
    <col min="2543" max="2543" width="9" style="1180" bestFit="1" customWidth="1"/>
    <col min="2544" max="2544" width="12.6640625" style="1180" customWidth="1"/>
    <col min="2545" max="2545" width="15.33203125" style="1180" customWidth="1"/>
    <col min="2546" max="2546" width="9" style="1180" bestFit="1" customWidth="1"/>
    <col min="2547" max="2547" width="14.33203125" style="1180" customWidth="1"/>
    <col min="2548" max="2548" width="9" style="1180" bestFit="1" customWidth="1"/>
    <col min="2549" max="2549" width="14.83203125" style="1180" customWidth="1"/>
    <col min="2550" max="2550" width="9" style="1180" bestFit="1" customWidth="1"/>
    <col min="2551" max="2552" width="15.33203125" style="1180" customWidth="1"/>
    <col min="2553" max="2553" width="9" style="1180" bestFit="1" customWidth="1"/>
    <col min="2554" max="2554" width="14.83203125" style="1180" customWidth="1"/>
    <col min="2555" max="2555" width="9" style="1180" bestFit="1" customWidth="1"/>
    <col min="2556" max="2556" width="14.83203125" style="1180" customWidth="1"/>
    <col min="2557" max="2558" width="16.5" style="1180" customWidth="1"/>
    <col min="2559" max="2560" width="16.33203125" style="1180" customWidth="1"/>
    <col min="2561" max="2561" width="8" style="1180" customWidth="1"/>
    <col min="2562" max="2562" width="19.1640625" style="1180" customWidth="1"/>
    <col min="2563" max="2563" width="9" style="1180" bestFit="1" customWidth="1"/>
    <col min="2564" max="2564" width="14.83203125" style="1180" customWidth="1"/>
    <col min="2565" max="2565" width="16.6640625" style="1180" customWidth="1"/>
    <col min="2566" max="2566" width="14.83203125" style="1180" customWidth="1"/>
    <col min="2567" max="2567" width="9" style="1180" bestFit="1" customWidth="1"/>
    <col min="2568" max="2569" width="14.83203125" style="1180" customWidth="1"/>
    <col min="2570" max="2570" width="18.1640625" style="1180" customWidth="1"/>
    <col min="2571" max="2571" width="15.6640625" style="1180" customWidth="1"/>
    <col min="2572" max="2572" width="16.5" style="1180" customWidth="1"/>
    <col min="2573" max="2573" width="16.1640625" style="1180" bestFit="1" customWidth="1"/>
    <col min="2574" max="2797" width="9.33203125" style="1180"/>
    <col min="2798" max="2798" width="74.6640625" style="1180" customWidth="1"/>
    <col min="2799" max="2799" width="9" style="1180" bestFit="1" customWidth="1"/>
    <col min="2800" max="2800" width="12.6640625" style="1180" customWidth="1"/>
    <col min="2801" max="2801" width="15.33203125" style="1180" customWidth="1"/>
    <col min="2802" max="2802" width="9" style="1180" bestFit="1" customWidth="1"/>
    <col min="2803" max="2803" width="14.33203125" style="1180" customWidth="1"/>
    <col min="2804" max="2804" width="9" style="1180" bestFit="1" customWidth="1"/>
    <col min="2805" max="2805" width="14.83203125" style="1180" customWidth="1"/>
    <col min="2806" max="2806" width="9" style="1180" bestFit="1" customWidth="1"/>
    <col min="2807" max="2808" width="15.33203125" style="1180" customWidth="1"/>
    <col min="2809" max="2809" width="9" style="1180" bestFit="1" customWidth="1"/>
    <col min="2810" max="2810" width="14.83203125" style="1180" customWidth="1"/>
    <col min="2811" max="2811" width="9" style="1180" bestFit="1" customWidth="1"/>
    <col min="2812" max="2812" width="14.83203125" style="1180" customWidth="1"/>
    <col min="2813" max="2814" width="16.5" style="1180" customWidth="1"/>
    <col min="2815" max="2816" width="16.33203125" style="1180" customWidth="1"/>
    <col min="2817" max="2817" width="8" style="1180" customWidth="1"/>
    <col min="2818" max="2818" width="19.1640625" style="1180" customWidth="1"/>
    <col min="2819" max="2819" width="9" style="1180" bestFit="1" customWidth="1"/>
    <col min="2820" max="2820" width="14.83203125" style="1180" customWidth="1"/>
    <col min="2821" max="2821" width="16.6640625" style="1180" customWidth="1"/>
    <col min="2822" max="2822" width="14.83203125" style="1180" customWidth="1"/>
    <col min="2823" max="2823" width="9" style="1180" bestFit="1" customWidth="1"/>
    <col min="2824" max="2825" width="14.83203125" style="1180" customWidth="1"/>
    <col min="2826" max="2826" width="18.1640625" style="1180" customWidth="1"/>
    <col min="2827" max="2827" width="15.6640625" style="1180" customWidth="1"/>
    <col min="2828" max="2828" width="16.5" style="1180" customWidth="1"/>
    <col min="2829" max="2829" width="16.1640625" style="1180" bestFit="1" customWidth="1"/>
    <col min="2830" max="3053" width="9.33203125" style="1180"/>
    <col min="3054" max="3054" width="74.6640625" style="1180" customWidth="1"/>
    <col min="3055" max="3055" width="9" style="1180" bestFit="1" customWidth="1"/>
    <col min="3056" max="3056" width="12.6640625" style="1180" customWidth="1"/>
    <col min="3057" max="3057" width="15.33203125" style="1180" customWidth="1"/>
    <col min="3058" max="3058" width="9" style="1180" bestFit="1" customWidth="1"/>
    <col min="3059" max="3059" width="14.33203125" style="1180" customWidth="1"/>
    <col min="3060" max="3060" width="9" style="1180" bestFit="1" customWidth="1"/>
    <col min="3061" max="3061" width="14.83203125" style="1180" customWidth="1"/>
    <col min="3062" max="3062" width="9" style="1180" bestFit="1" customWidth="1"/>
    <col min="3063" max="3064" width="15.33203125" style="1180" customWidth="1"/>
    <col min="3065" max="3065" width="9" style="1180" bestFit="1" customWidth="1"/>
    <col min="3066" max="3066" width="14.83203125" style="1180" customWidth="1"/>
    <col min="3067" max="3067" width="9" style="1180" bestFit="1" customWidth="1"/>
    <col min="3068" max="3068" width="14.83203125" style="1180" customWidth="1"/>
    <col min="3069" max="3070" width="16.5" style="1180" customWidth="1"/>
    <col min="3071" max="3072" width="16.33203125" style="1180" customWidth="1"/>
    <col min="3073" max="3073" width="8" style="1180" customWidth="1"/>
    <col min="3074" max="3074" width="19.1640625" style="1180" customWidth="1"/>
    <col min="3075" max="3075" width="9" style="1180" bestFit="1" customWidth="1"/>
    <col min="3076" max="3076" width="14.83203125" style="1180" customWidth="1"/>
    <col min="3077" max="3077" width="16.6640625" style="1180" customWidth="1"/>
    <col min="3078" max="3078" width="14.83203125" style="1180" customWidth="1"/>
    <col min="3079" max="3079" width="9" style="1180" bestFit="1" customWidth="1"/>
    <col min="3080" max="3081" width="14.83203125" style="1180" customWidth="1"/>
    <col min="3082" max="3082" width="18.1640625" style="1180" customWidth="1"/>
    <col min="3083" max="3083" width="15.6640625" style="1180" customWidth="1"/>
    <col min="3084" max="3084" width="16.5" style="1180" customWidth="1"/>
    <col min="3085" max="3085" width="16.1640625" style="1180" bestFit="1" customWidth="1"/>
    <col min="3086" max="3309" width="9.33203125" style="1180"/>
    <col min="3310" max="3310" width="74.6640625" style="1180" customWidth="1"/>
    <col min="3311" max="3311" width="9" style="1180" bestFit="1" customWidth="1"/>
    <col min="3312" max="3312" width="12.6640625" style="1180" customWidth="1"/>
    <col min="3313" max="3313" width="15.33203125" style="1180" customWidth="1"/>
    <col min="3314" max="3314" width="9" style="1180" bestFit="1" customWidth="1"/>
    <col min="3315" max="3315" width="14.33203125" style="1180" customWidth="1"/>
    <col min="3316" max="3316" width="9" style="1180" bestFit="1" customWidth="1"/>
    <col min="3317" max="3317" width="14.83203125" style="1180" customWidth="1"/>
    <col min="3318" max="3318" width="9" style="1180" bestFit="1" customWidth="1"/>
    <col min="3319" max="3320" width="15.33203125" style="1180" customWidth="1"/>
    <col min="3321" max="3321" width="9" style="1180" bestFit="1" customWidth="1"/>
    <col min="3322" max="3322" width="14.83203125" style="1180" customWidth="1"/>
    <col min="3323" max="3323" width="9" style="1180" bestFit="1" customWidth="1"/>
    <col min="3324" max="3324" width="14.83203125" style="1180" customWidth="1"/>
    <col min="3325" max="3326" width="16.5" style="1180" customWidth="1"/>
    <col min="3327" max="3328" width="16.33203125" style="1180" customWidth="1"/>
    <col min="3329" max="3329" width="8" style="1180" customWidth="1"/>
    <col min="3330" max="3330" width="19.1640625" style="1180" customWidth="1"/>
    <col min="3331" max="3331" width="9" style="1180" bestFit="1" customWidth="1"/>
    <col min="3332" max="3332" width="14.83203125" style="1180" customWidth="1"/>
    <col min="3333" max="3333" width="16.6640625" style="1180" customWidth="1"/>
    <col min="3334" max="3334" width="14.83203125" style="1180" customWidth="1"/>
    <col min="3335" max="3335" width="9" style="1180" bestFit="1" customWidth="1"/>
    <col min="3336" max="3337" width="14.83203125" style="1180" customWidth="1"/>
    <col min="3338" max="3338" width="18.1640625" style="1180" customWidth="1"/>
    <col min="3339" max="3339" width="15.6640625" style="1180" customWidth="1"/>
    <col min="3340" max="3340" width="16.5" style="1180" customWidth="1"/>
    <col min="3341" max="3341" width="16.1640625" style="1180" bestFit="1" customWidth="1"/>
    <col min="3342" max="3565" width="9.33203125" style="1180"/>
    <col min="3566" max="3566" width="74.6640625" style="1180" customWidth="1"/>
    <col min="3567" max="3567" width="9" style="1180" bestFit="1" customWidth="1"/>
    <col min="3568" max="3568" width="12.6640625" style="1180" customWidth="1"/>
    <col min="3569" max="3569" width="15.33203125" style="1180" customWidth="1"/>
    <col min="3570" max="3570" width="9" style="1180" bestFit="1" customWidth="1"/>
    <col min="3571" max="3571" width="14.33203125" style="1180" customWidth="1"/>
    <col min="3572" max="3572" width="9" style="1180" bestFit="1" customWidth="1"/>
    <col min="3573" max="3573" width="14.83203125" style="1180" customWidth="1"/>
    <col min="3574" max="3574" width="9" style="1180" bestFit="1" customWidth="1"/>
    <col min="3575" max="3576" width="15.33203125" style="1180" customWidth="1"/>
    <col min="3577" max="3577" width="9" style="1180" bestFit="1" customWidth="1"/>
    <col min="3578" max="3578" width="14.83203125" style="1180" customWidth="1"/>
    <col min="3579" max="3579" width="9" style="1180" bestFit="1" customWidth="1"/>
    <col min="3580" max="3580" width="14.83203125" style="1180" customWidth="1"/>
    <col min="3581" max="3582" width="16.5" style="1180" customWidth="1"/>
    <col min="3583" max="3584" width="16.33203125" style="1180" customWidth="1"/>
    <col min="3585" max="3585" width="8" style="1180" customWidth="1"/>
    <col min="3586" max="3586" width="19.1640625" style="1180" customWidth="1"/>
    <col min="3587" max="3587" width="9" style="1180" bestFit="1" customWidth="1"/>
    <col min="3588" max="3588" width="14.83203125" style="1180" customWidth="1"/>
    <col min="3589" max="3589" width="16.6640625" style="1180" customWidth="1"/>
    <col min="3590" max="3590" width="14.83203125" style="1180" customWidth="1"/>
    <col min="3591" max="3591" width="9" style="1180" bestFit="1" customWidth="1"/>
    <col min="3592" max="3593" width="14.83203125" style="1180" customWidth="1"/>
    <col min="3594" max="3594" width="18.1640625" style="1180" customWidth="1"/>
    <col min="3595" max="3595" width="15.6640625" style="1180" customWidth="1"/>
    <col min="3596" max="3596" width="16.5" style="1180" customWidth="1"/>
    <col min="3597" max="3597" width="16.1640625" style="1180" bestFit="1" customWidth="1"/>
    <col min="3598" max="3821" width="9.33203125" style="1180"/>
    <col min="3822" max="3822" width="74.6640625" style="1180" customWidth="1"/>
    <col min="3823" max="3823" width="9" style="1180" bestFit="1" customWidth="1"/>
    <col min="3824" max="3824" width="12.6640625" style="1180" customWidth="1"/>
    <col min="3825" max="3825" width="15.33203125" style="1180" customWidth="1"/>
    <col min="3826" max="3826" width="9" style="1180" bestFit="1" customWidth="1"/>
    <col min="3827" max="3827" width="14.33203125" style="1180" customWidth="1"/>
    <col min="3828" max="3828" width="9" style="1180" bestFit="1" customWidth="1"/>
    <col min="3829" max="3829" width="14.83203125" style="1180" customWidth="1"/>
    <col min="3830" max="3830" width="9" style="1180" bestFit="1" customWidth="1"/>
    <col min="3831" max="3832" width="15.33203125" style="1180" customWidth="1"/>
    <col min="3833" max="3833" width="9" style="1180" bestFit="1" customWidth="1"/>
    <col min="3834" max="3834" width="14.83203125" style="1180" customWidth="1"/>
    <col min="3835" max="3835" width="9" style="1180" bestFit="1" customWidth="1"/>
    <col min="3836" max="3836" width="14.83203125" style="1180" customWidth="1"/>
    <col min="3837" max="3838" width="16.5" style="1180" customWidth="1"/>
    <col min="3839" max="3840" width="16.33203125" style="1180" customWidth="1"/>
    <col min="3841" max="3841" width="8" style="1180" customWidth="1"/>
    <col min="3842" max="3842" width="19.1640625" style="1180" customWidth="1"/>
    <col min="3843" max="3843" width="9" style="1180" bestFit="1" customWidth="1"/>
    <col min="3844" max="3844" width="14.83203125" style="1180" customWidth="1"/>
    <col min="3845" max="3845" width="16.6640625" style="1180" customWidth="1"/>
    <col min="3846" max="3846" width="14.83203125" style="1180" customWidth="1"/>
    <col min="3847" max="3847" width="9" style="1180" bestFit="1" customWidth="1"/>
    <col min="3848" max="3849" width="14.83203125" style="1180" customWidth="1"/>
    <col min="3850" max="3850" width="18.1640625" style="1180" customWidth="1"/>
    <col min="3851" max="3851" width="15.6640625" style="1180" customWidth="1"/>
    <col min="3852" max="3852" width="16.5" style="1180" customWidth="1"/>
    <col min="3853" max="3853" width="16.1640625" style="1180" bestFit="1" customWidth="1"/>
    <col min="3854" max="4077" width="9.33203125" style="1180"/>
    <col min="4078" max="4078" width="74.6640625" style="1180" customWidth="1"/>
    <col min="4079" max="4079" width="9" style="1180" bestFit="1" customWidth="1"/>
    <col min="4080" max="4080" width="12.6640625" style="1180" customWidth="1"/>
    <col min="4081" max="4081" width="15.33203125" style="1180" customWidth="1"/>
    <col min="4082" max="4082" width="9" style="1180" bestFit="1" customWidth="1"/>
    <col min="4083" max="4083" width="14.33203125" style="1180" customWidth="1"/>
    <col min="4084" max="4084" width="9" style="1180" bestFit="1" customWidth="1"/>
    <col min="4085" max="4085" width="14.83203125" style="1180" customWidth="1"/>
    <col min="4086" max="4086" width="9" style="1180" bestFit="1" customWidth="1"/>
    <col min="4087" max="4088" width="15.33203125" style="1180" customWidth="1"/>
    <col min="4089" max="4089" width="9" style="1180" bestFit="1" customWidth="1"/>
    <col min="4090" max="4090" width="14.83203125" style="1180" customWidth="1"/>
    <col min="4091" max="4091" width="9" style="1180" bestFit="1" customWidth="1"/>
    <col min="4092" max="4092" width="14.83203125" style="1180" customWidth="1"/>
    <col min="4093" max="4094" width="16.5" style="1180" customWidth="1"/>
    <col min="4095" max="4096" width="16.33203125" style="1180" customWidth="1"/>
    <col min="4097" max="4097" width="8" style="1180" customWidth="1"/>
    <col min="4098" max="4098" width="19.1640625" style="1180" customWidth="1"/>
    <col min="4099" max="4099" width="9" style="1180" bestFit="1" customWidth="1"/>
    <col min="4100" max="4100" width="14.83203125" style="1180" customWidth="1"/>
    <col min="4101" max="4101" width="16.6640625" style="1180" customWidth="1"/>
    <col min="4102" max="4102" width="14.83203125" style="1180" customWidth="1"/>
    <col min="4103" max="4103" width="9" style="1180" bestFit="1" customWidth="1"/>
    <col min="4104" max="4105" width="14.83203125" style="1180" customWidth="1"/>
    <col min="4106" max="4106" width="18.1640625" style="1180" customWidth="1"/>
    <col min="4107" max="4107" width="15.6640625" style="1180" customWidth="1"/>
    <col min="4108" max="4108" width="16.5" style="1180" customWidth="1"/>
    <col min="4109" max="4109" width="16.1640625" style="1180" bestFit="1" customWidth="1"/>
    <col min="4110" max="4333" width="9.33203125" style="1180"/>
    <col min="4334" max="4334" width="74.6640625" style="1180" customWidth="1"/>
    <col min="4335" max="4335" width="9" style="1180" bestFit="1" customWidth="1"/>
    <col min="4336" max="4336" width="12.6640625" style="1180" customWidth="1"/>
    <col min="4337" max="4337" width="15.33203125" style="1180" customWidth="1"/>
    <col min="4338" max="4338" width="9" style="1180" bestFit="1" customWidth="1"/>
    <col min="4339" max="4339" width="14.33203125" style="1180" customWidth="1"/>
    <col min="4340" max="4340" width="9" style="1180" bestFit="1" customWidth="1"/>
    <col min="4341" max="4341" width="14.83203125" style="1180" customWidth="1"/>
    <col min="4342" max="4342" width="9" style="1180" bestFit="1" customWidth="1"/>
    <col min="4343" max="4344" width="15.33203125" style="1180" customWidth="1"/>
    <col min="4345" max="4345" width="9" style="1180" bestFit="1" customWidth="1"/>
    <col min="4346" max="4346" width="14.83203125" style="1180" customWidth="1"/>
    <col min="4347" max="4347" width="9" style="1180" bestFit="1" customWidth="1"/>
    <col min="4348" max="4348" width="14.83203125" style="1180" customWidth="1"/>
    <col min="4349" max="4350" width="16.5" style="1180" customWidth="1"/>
    <col min="4351" max="4352" width="16.33203125" style="1180" customWidth="1"/>
    <col min="4353" max="4353" width="8" style="1180" customWidth="1"/>
    <col min="4354" max="4354" width="19.1640625" style="1180" customWidth="1"/>
    <col min="4355" max="4355" width="9" style="1180" bestFit="1" customWidth="1"/>
    <col min="4356" max="4356" width="14.83203125" style="1180" customWidth="1"/>
    <col min="4357" max="4357" width="16.6640625" style="1180" customWidth="1"/>
    <col min="4358" max="4358" width="14.83203125" style="1180" customWidth="1"/>
    <col min="4359" max="4359" width="9" style="1180" bestFit="1" customWidth="1"/>
    <col min="4360" max="4361" width="14.83203125" style="1180" customWidth="1"/>
    <col min="4362" max="4362" width="18.1640625" style="1180" customWidth="1"/>
    <col min="4363" max="4363" width="15.6640625" style="1180" customWidth="1"/>
    <col min="4364" max="4364" width="16.5" style="1180" customWidth="1"/>
    <col min="4365" max="4365" width="16.1640625" style="1180" bestFit="1" customWidth="1"/>
    <col min="4366" max="4589" width="9.33203125" style="1180"/>
    <col min="4590" max="4590" width="74.6640625" style="1180" customWidth="1"/>
    <col min="4591" max="4591" width="9" style="1180" bestFit="1" customWidth="1"/>
    <col min="4592" max="4592" width="12.6640625" style="1180" customWidth="1"/>
    <col min="4593" max="4593" width="15.33203125" style="1180" customWidth="1"/>
    <col min="4594" max="4594" width="9" style="1180" bestFit="1" customWidth="1"/>
    <col min="4595" max="4595" width="14.33203125" style="1180" customWidth="1"/>
    <col min="4596" max="4596" width="9" style="1180" bestFit="1" customWidth="1"/>
    <col min="4597" max="4597" width="14.83203125" style="1180" customWidth="1"/>
    <col min="4598" max="4598" width="9" style="1180" bestFit="1" customWidth="1"/>
    <col min="4599" max="4600" width="15.33203125" style="1180" customWidth="1"/>
    <col min="4601" max="4601" width="9" style="1180" bestFit="1" customWidth="1"/>
    <col min="4602" max="4602" width="14.83203125" style="1180" customWidth="1"/>
    <col min="4603" max="4603" width="9" style="1180" bestFit="1" customWidth="1"/>
    <col min="4604" max="4604" width="14.83203125" style="1180" customWidth="1"/>
    <col min="4605" max="4606" width="16.5" style="1180" customWidth="1"/>
    <col min="4607" max="4608" width="16.33203125" style="1180" customWidth="1"/>
    <col min="4609" max="4609" width="8" style="1180" customWidth="1"/>
    <col min="4610" max="4610" width="19.1640625" style="1180" customWidth="1"/>
    <col min="4611" max="4611" width="9" style="1180" bestFit="1" customWidth="1"/>
    <col min="4612" max="4612" width="14.83203125" style="1180" customWidth="1"/>
    <col min="4613" max="4613" width="16.6640625" style="1180" customWidth="1"/>
    <col min="4614" max="4614" width="14.83203125" style="1180" customWidth="1"/>
    <col min="4615" max="4615" width="9" style="1180" bestFit="1" customWidth="1"/>
    <col min="4616" max="4617" width="14.83203125" style="1180" customWidth="1"/>
    <col min="4618" max="4618" width="18.1640625" style="1180" customWidth="1"/>
    <col min="4619" max="4619" width="15.6640625" style="1180" customWidth="1"/>
    <col min="4620" max="4620" width="16.5" style="1180" customWidth="1"/>
    <col min="4621" max="4621" width="16.1640625" style="1180" bestFit="1" customWidth="1"/>
    <col min="4622" max="4845" width="9.33203125" style="1180"/>
    <col min="4846" max="4846" width="74.6640625" style="1180" customWidth="1"/>
    <col min="4847" max="4847" width="9" style="1180" bestFit="1" customWidth="1"/>
    <col min="4848" max="4848" width="12.6640625" style="1180" customWidth="1"/>
    <col min="4849" max="4849" width="15.33203125" style="1180" customWidth="1"/>
    <col min="4850" max="4850" width="9" style="1180" bestFit="1" customWidth="1"/>
    <col min="4851" max="4851" width="14.33203125" style="1180" customWidth="1"/>
    <col min="4852" max="4852" width="9" style="1180" bestFit="1" customWidth="1"/>
    <col min="4853" max="4853" width="14.83203125" style="1180" customWidth="1"/>
    <col min="4854" max="4854" width="9" style="1180" bestFit="1" customWidth="1"/>
    <col min="4855" max="4856" width="15.33203125" style="1180" customWidth="1"/>
    <col min="4857" max="4857" width="9" style="1180" bestFit="1" customWidth="1"/>
    <col min="4858" max="4858" width="14.83203125" style="1180" customWidth="1"/>
    <col min="4859" max="4859" width="9" style="1180" bestFit="1" customWidth="1"/>
    <col min="4860" max="4860" width="14.83203125" style="1180" customWidth="1"/>
    <col min="4861" max="4862" width="16.5" style="1180" customWidth="1"/>
    <col min="4863" max="4864" width="16.33203125" style="1180" customWidth="1"/>
    <col min="4865" max="4865" width="8" style="1180" customWidth="1"/>
    <col min="4866" max="4866" width="19.1640625" style="1180" customWidth="1"/>
    <col min="4867" max="4867" width="9" style="1180" bestFit="1" customWidth="1"/>
    <col min="4868" max="4868" width="14.83203125" style="1180" customWidth="1"/>
    <col min="4869" max="4869" width="16.6640625" style="1180" customWidth="1"/>
    <col min="4870" max="4870" width="14.83203125" style="1180" customWidth="1"/>
    <col min="4871" max="4871" width="9" style="1180" bestFit="1" customWidth="1"/>
    <col min="4872" max="4873" width="14.83203125" style="1180" customWidth="1"/>
    <col min="4874" max="4874" width="18.1640625" style="1180" customWidth="1"/>
    <col min="4875" max="4875" width="15.6640625" style="1180" customWidth="1"/>
    <col min="4876" max="4876" width="16.5" style="1180" customWidth="1"/>
    <col min="4877" max="4877" width="16.1640625" style="1180" bestFit="1" customWidth="1"/>
    <col min="4878" max="5101" width="9.33203125" style="1180"/>
    <col min="5102" max="5102" width="74.6640625" style="1180" customWidth="1"/>
    <col min="5103" max="5103" width="9" style="1180" bestFit="1" customWidth="1"/>
    <col min="5104" max="5104" width="12.6640625" style="1180" customWidth="1"/>
    <col min="5105" max="5105" width="15.33203125" style="1180" customWidth="1"/>
    <col min="5106" max="5106" width="9" style="1180" bestFit="1" customWidth="1"/>
    <col min="5107" max="5107" width="14.33203125" style="1180" customWidth="1"/>
    <col min="5108" max="5108" width="9" style="1180" bestFit="1" customWidth="1"/>
    <col min="5109" max="5109" width="14.83203125" style="1180" customWidth="1"/>
    <col min="5110" max="5110" width="9" style="1180" bestFit="1" customWidth="1"/>
    <col min="5111" max="5112" width="15.33203125" style="1180" customWidth="1"/>
    <col min="5113" max="5113" width="9" style="1180" bestFit="1" customWidth="1"/>
    <col min="5114" max="5114" width="14.83203125" style="1180" customWidth="1"/>
    <col min="5115" max="5115" width="9" style="1180" bestFit="1" customWidth="1"/>
    <col min="5116" max="5116" width="14.83203125" style="1180" customWidth="1"/>
    <col min="5117" max="5118" width="16.5" style="1180" customWidth="1"/>
    <col min="5119" max="5120" width="16.33203125" style="1180" customWidth="1"/>
    <col min="5121" max="5121" width="8" style="1180" customWidth="1"/>
    <col min="5122" max="5122" width="19.1640625" style="1180" customWidth="1"/>
    <col min="5123" max="5123" width="9" style="1180" bestFit="1" customWidth="1"/>
    <col min="5124" max="5124" width="14.83203125" style="1180" customWidth="1"/>
    <col min="5125" max="5125" width="16.6640625" style="1180" customWidth="1"/>
    <col min="5126" max="5126" width="14.83203125" style="1180" customWidth="1"/>
    <col min="5127" max="5127" width="9" style="1180" bestFit="1" customWidth="1"/>
    <col min="5128" max="5129" width="14.83203125" style="1180" customWidth="1"/>
    <col min="5130" max="5130" width="18.1640625" style="1180" customWidth="1"/>
    <col min="5131" max="5131" width="15.6640625" style="1180" customWidth="1"/>
    <col min="5132" max="5132" width="16.5" style="1180" customWidth="1"/>
    <col min="5133" max="5133" width="16.1640625" style="1180" bestFit="1" customWidth="1"/>
    <col min="5134" max="5357" width="9.33203125" style="1180"/>
    <col min="5358" max="5358" width="74.6640625" style="1180" customWidth="1"/>
    <col min="5359" max="5359" width="9" style="1180" bestFit="1" customWidth="1"/>
    <col min="5360" max="5360" width="12.6640625" style="1180" customWidth="1"/>
    <col min="5361" max="5361" width="15.33203125" style="1180" customWidth="1"/>
    <col min="5362" max="5362" width="9" style="1180" bestFit="1" customWidth="1"/>
    <col min="5363" max="5363" width="14.33203125" style="1180" customWidth="1"/>
    <col min="5364" max="5364" width="9" style="1180" bestFit="1" customWidth="1"/>
    <col min="5365" max="5365" width="14.83203125" style="1180" customWidth="1"/>
    <col min="5366" max="5366" width="9" style="1180" bestFit="1" customWidth="1"/>
    <col min="5367" max="5368" width="15.33203125" style="1180" customWidth="1"/>
    <col min="5369" max="5369" width="9" style="1180" bestFit="1" customWidth="1"/>
    <col min="5370" max="5370" width="14.83203125" style="1180" customWidth="1"/>
    <col min="5371" max="5371" width="9" style="1180" bestFit="1" customWidth="1"/>
    <col min="5372" max="5372" width="14.83203125" style="1180" customWidth="1"/>
    <col min="5373" max="5374" width="16.5" style="1180" customWidth="1"/>
    <col min="5375" max="5376" width="16.33203125" style="1180" customWidth="1"/>
    <col min="5377" max="5377" width="8" style="1180" customWidth="1"/>
    <col min="5378" max="5378" width="19.1640625" style="1180" customWidth="1"/>
    <col min="5379" max="5379" width="9" style="1180" bestFit="1" customWidth="1"/>
    <col min="5380" max="5380" width="14.83203125" style="1180" customWidth="1"/>
    <col min="5381" max="5381" width="16.6640625" style="1180" customWidth="1"/>
    <col min="5382" max="5382" width="14.83203125" style="1180" customWidth="1"/>
    <col min="5383" max="5383" width="9" style="1180" bestFit="1" customWidth="1"/>
    <col min="5384" max="5385" width="14.83203125" style="1180" customWidth="1"/>
    <col min="5386" max="5386" width="18.1640625" style="1180" customWidth="1"/>
    <col min="5387" max="5387" width="15.6640625" style="1180" customWidth="1"/>
    <col min="5388" max="5388" width="16.5" style="1180" customWidth="1"/>
    <col min="5389" max="5389" width="16.1640625" style="1180" bestFit="1" customWidth="1"/>
    <col min="5390" max="5613" width="9.33203125" style="1180"/>
    <col min="5614" max="5614" width="74.6640625" style="1180" customWidth="1"/>
    <col min="5615" max="5615" width="9" style="1180" bestFit="1" customWidth="1"/>
    <col min="5616" max="5616" width="12.6640625" style="1180" customWidth="1"/>
    <col min="5617" max="5617" width="15.33203125" style="1180" customWidth="1"/>
    <col min="5618" max="5618" width="9" style="1180" bestFit="1" customWidth="1"/>
    <col min="5619" max="5619" width="14.33203125" style="1180" customWidth="1"/>
    <col min="5620" max="5620" width="9" style="1180" bestFit="1" customWidth="1"/>
    <col min="5621" max="5621" width="14.83203125" style="1180" customWidth="1"/>
    <col min="5622" max="5622" width="9" style="1180" bestFit="1" customWidth="1"/>
    <col min="5623" max="5624" width="15.33203125" style="1180" customWidth="1"/>
    <col min="5625" max="5625" width="9" style="1180" bestFit="1" customWidth="1"/>
    <col min="5626" max="5626" width="14.83203125" style="1180" customWidth="1"/>
    <col min="5627" max="5627" width="9" style="1180" bestFit="1" customWidth="1"/>
    <col min="5628" max="5628" width="14.83203125" style="1180" customWidth="1"/>
    <col min="5629" max="5630" width="16.5" style="1180" customWidth="1"/>
    <col min="5631" max="5632" width="16.33203125" style="1180" customWidth="1"/>
    <col min="5633" max="5633" width="8" style="1180" customWidth="1"/>
    <col min="5634" max="5634" width="19.1640625" style="1180" customWidth="1"/>
    <col min="5635" max="5635" width="9" style="1180" bestFit="1" customWidth="1"/>
    <col min="5636" max="5636" width="14.83203125" style="1180" customWidth="1"/>
    <col min="5637" max="5637" width="16.6640625" style="1180" customWidth="1"/>
    <col min="5638" max="5638" width="14.83203125" style="1180" customWidth="1"/>
    <col min="5639" max="5639" width="9" style="1180" bestFit="1" customWidth="1"/>
    <col min="5640" max="5641" width="14.83203125" style="1180" customWidth="1"/>
    <col min="5642" max="5642" width="18.1640625" style="1180" customWidth="1"/>
    <col min="5643" max="5643" width="15.6640625" style="1180" customWidth="1"/>
    <col min="5644" max="5644" width="16.5" style="1180" customWidth="1"/>
    <col min="5645" max="5645" width="16.1640625" style="1180" bestFit="1" customWidth="1"/>
    <col min="5646" max="5869" width="9.33203125" style="1180"/>
    <col min="5870" max="5870" width="74.6640625" style="1180" customWidth="1"/>
    <col min="5871" max="5871" width="9" style="1180" bestFit="1" customWidth="1"/>
    <col min="5872" max="5872" width="12.6640625" style="1180" customWidth="1"/>
    <col min="5873" max="5873" width="15.33203125" style="1180" customWidth="1"/>
    <col min="5874" max="5874" width="9" style="1180" bestFit="1" customWidth="1"/>
    <col min="5875" max="5875" width="14.33203125" style="1180" customWidth="1"/>
    <col min="5876" max="5876" width="9" style="1180" bestFit="1" customWidth="1"/>
    <col min="5877" max="5877" width="14.83203125" style="1180" customWidth="1"/>
    <col min="5878" max="5878" width="9" style="1180" bestFit="1" customWidth="1"/>
    <col min="5879" max="5880" width="15.33203125" style="1180" customWidth="1"/>
    <col min="5881" max="5881" width="9" style="1180" bestFit="1" customWidth="1"/>
    <col min="5882" max="5882" width="14.83203125" style="1180" customWidth="1"/>
    <col min="5883" max="5883" width="9" style="1180" bestFit="1" customWidth="1"/>
    <col min="5884" max="5884" width="14.83203125" style="1180" customWidth="1"/>
    <col min="5885" max="5886" width="16.5" style="1180" customWidth="1"/>
    <col min="5887" max="5888" width="16.33203125" style="1180" customWidth="1"/>
    <col min="5889" max="5889" width="8" style="1180" customWidth="1"/>
    <col min="5890" max="5890" width="19.1640625" style="1180" customWidth="1"/>
    <col min="5891" max="5891" width="9" style="1180" bestFit="1" customWidth="1"/>
    <col min="5892" max="5892" width="14.83203125" style="1180" customWidth="1"/>
    <col min="5893" max="5893" width="16.6640625" style="1180" customWidth="1"/>
    <col min="5894" max="5894" width="14.83203125" style="1180" customWidth="1"/>
    <col min="5895" max="5895" width="9" style="1180" bestFit="1" customWidth="1"/>
    <col min="5896" max="5897" width="14.83203125" style="1180" customWidth="1"/>
    <col min="5898" max="5898" width="18.1640625" style="1180" customWidth="1"/>
    <col min="5899" max="5899" width="15.6640625" style="1180" customWidth="1"/>
    <col min="5900" max="5900" width="16.5" style="1180" customWidth="1"/>
    <col min="5901" max="5901" width="16.1640625" style="1180" bestFit="1" customWidth="1"/>
    <col min="5902" max="6125" width="9.33203125" style="1180"/>
    <col min="6126" max="6126" width="74.6640625" style="1180" customWidth="1"/>
    <col min="6127" max="6127" width="9" style="1180" bestFit="1" customWidth="1"/>
    <col min="6128" max="6128" width="12.6640625" style="1180" customWidth="1"/>
    <col min="6129" max="6129" width="15.33203125" style="1180" customWidth="1"/>
    <col min="6130" max="6130" width="9" style="1180" bestFit="1" customWidth="1"/>
    <col min="6131" max="6131" width="14.33203125" style="1180" customWidth="1"/>
    <col min="6132" max="6132" width="9" style="1180" bestFit="1" customWidth="1"/>
    <col min="6133" max="6133" width="14.83203125" style="1180" customWidth="1"/>
    <col min="6134" max="6134" width="9" style="1180" bestFit="1" customWidth="1"/>
    <col min="6135" max="6136" width="15.33203125" style="1180" customWidth="1"/>
    <col min="6137" max="6137" width="9" style="1180" bestFit="1" customWidth="1"/>
    <col min="6138" max="6138" width="14.83203125" style="1180" customWidth="1"/>
    <col min="6139" max="6139" width="9" style="1180" bestFit="1" customWidth="1"/>
    <col min="6140" max="6140" width="14.83203125" style="1180" customWidth="1"/>
    <col min="6141" max="6142" width="16.5" style="1180" customWidth="1"/>
    <col min="6143" max="6144" width="16.33203125" style="1180" customWidth="1"/>
    <col min="6145" max="6145" width="8" style="1180" customWidth="1"/>
    <col min="6146" max="6146" width="19.1640625" style="1180" customWidth="1"/>
    <col min="6147" max="6147" width="9" style="1180" bestFit="1" customWidth="1"/>
    <col min="6148" max="6148" width="14.83203125" style="1180" customWidth="1"/>
    <col min="6149" max="6149" width="16.6640625" style="1180" customWidth="1"/>
    <col min="6150" max="6150" width="14.83203125" style="1180" customWidth="1"/>
    <col min="6151" max="6151" width="9" style="1180" bestFit="1" customWidth="1"/>
    <col min="6152" max="6153" width="14.83203125" style="1180" customWidth="1"/>
    <col min="6154" max="6154" width="18.1640625" style="1180" customWidth="1"/>
    <col min="6155" max="6155" width="15.6640625" style="1180" customWidth="1"/>
    <col min="6156" max="6156" width="16.5" style="1180" customWidth="1"/>
    <col min="6157" max="6157" width="16.1640625" style="1180" bestFit="1" customWidth="1"/>
    <col min="6158" max="6381" width="9.33203125" style="1180"/>
    <col min="6382" max="6382" width="74.6640625" style="1180" customWidth="1"/>
    <col min="6383" max="6383" width="9" style="1180" bestFit="1" customWidth="1"/>
    <col min="6384" max="6384" width="12.6640625" style="1180" customWidth="1"/>
    <col min="6385" max="6385" width="15.33203125" style="1180" customWidth="1"/>
    <col min="6386" max="6386" width="9" style="1180" bestFit="1" customWidth="1"/>
    <col min="6387" max="6387" width="14.33203125" style="1180" customWidth="1"/>
    <col min="6388" max="6388" width="9" style="1180" bestFit="1" customWidth="1"/>
    <col min="6389" max="6389" width="14.83203125" style="1180" customWidth="1"/>
    <col min="6390" max="6390" width="9" style="1180" bestFit="1" customWidth="1"/>
    <col min="6391" max="6392" width="15.33203125" style="1180" customWidth="1"/>
    <col min="6393" max="6393" width="9" style="1180" bestFit="1" customWidth="1"/>
    <col min="6394" max="6394" width="14.83203125" style="1180" customWidth="1"/>
    <col min="6395" max="6395" width="9" style="1180" bestFit="1" customWidth="1"/>
    <col min="6396" max="6396" width="14.83203125" style="1180" customWidth="1"/>
    <col min="6397" max="6398" width="16.5" style="1180" customWidth="1"/>
    <col min="6399" max="6400" width="16.33203125" style="1180" customWidth="1"/>
    <col min="6401" max="6401" width="8" style="1180" customWidth="1"/>
    <col min="6402" max="6402" width="19.1640625" style="1180" customWidth="1"/>
    <col min="6403" max="6403" width="9" style="1180" bestFit="1" customWidth="1"/>
    <col min="6404" max="6404" width="14.83203125" style="1180" customWidth="1"/>
    <col min="6405" max="6405" width="16.6640625" style="1180" customWidth="1"/>
    <col min="6406" max="6406" width="14.83203125" style="1180" customWidth="1"/>
    <col min="6407" max="6407" width="9" style="1180" bestFit="1" customWidth="1"/>
    <col min="6408" max="6409" width="14.83203125" style="1180" customWidth="1"/>
    <col min="6410" max="6410" width="18.1640625" style="1180" customWidth="1"/>
    <col min="6411" max="6411" width="15.6640625" style="1180" customWidth="1"/>
    <col min="6412" max="6412" width="16.5" style="1180" customWidth="1"/>
    <col min="6413" max="6413" width="16.1640625" style="1180" bestFit="1" customWidth="1"/>
    <col min="6414" max="6637" width="9.33203125" style="1180"/>
    <col min="6638" max="6638" width="74.6640625" style="1180" customWidth="1"/>
    <col min="6639" max="6639" width="9" style="1180" bestFit="1" customWidth="1"/>
    <col min="6640" max="6640" width="12.6640625" style="1180" customWidth="1"/>
    <col min="6641" max="6641" width="15.33203125" style="1180" customWidth="1"/>
    <col min="6642" max="6642" width="9" style="1180" bestFit="1" customWidth="1"/>
    <col min="6643" max="6643" width="14.33203125" style="1180" customWidth="1"/>
    <col min="6644" max="6644" width="9" style="1180" bestFit="1" customWidth="1"/>
    <col min="6645" max="6645" width="14.83203125" style="1180" customWidth="1"/>
    <col min="6646" max="6646" width="9" style="1180" bestFit="1" customWidth="1"/>
    <col min="6647" max="6648" width="15.33203125" style="1180" customWidth="1"/>
    <col min="6649" max="6649" width="9" style="1180" bestFit="1" customWidth="1"/>
    <col min="6650" max="6650" width="14.83203125" style="1180" customWidth="1"/>
    <col min="6651" max="6651" width="9" style="1180" bestFit="1" customWidth="1"/>
    <col min="6652" max="6652" width="14.83203125" style="1180" customWidth="1"/>
    <col min="6653" max="6654" width="16.5" style="1180" customWidth="1"/>
    <col min="6655" max="6656" width="16.33203125" style="1180" customWidth="1"/>
    <col min="6657" max="6657" width="8" style="1180" customWidth="1"/>
    <col min="6658" max="6658" width="19.1640625" style="1180" customWidth="1"/>
    <col min="6659" max="6659" width="9" style="1180" bestFit="1" customWidth="1"/>
    <col min="6660" max="6660" width="14.83203125" style="1180" customWidth="1"/>
    <col min="6661" max="6661" width="16.6640625" style="1180" customWidth="1"/>
    <col min="6662" max="6662" width="14.83203125" style="1180" customWidth="1"/>
    <col min="6663" max="6663" width="9" style="1180" bestFit="1" customWidth="1"/>
    <col min="6664" max="6665" width="14.83203125" style="1180" customWidth="1"/>
    <col min="6666" max="6666" width="18.1640625" style="1180" customWidth="1"/>
    <col min="6667" max="6667" width="15.6640625" style="1180" customWidth="1"/>
    <col min="6668" max="6668" width="16.5" style="1180" customWidth="1"/>
    <col min="6669" max="6669" width="16.1640625" style="1180" bestFit="1" customWidth="1"/>
    <col min="6670" max="6893" width="9.33203125" style="1180"/>
    <col min="6894" max="6894" width="74.6640625" style="1180" customWidth="1"/>
    <col min="6895" max="6895" width="9" style="1180" bestFit="1" customWidth="1"/>
    <col min="6896" max="6896" width="12.6640625" style="1180" customWidth="1"/>
    <col min="6897" max="6897" width="15.33203125" style="1180" customWidth="1"/>
    <col min="6898" max="6898" width="9" style="1180" bestFit="1" customWidth="1"/>
    <col min="6899" max="6899" width="14.33203125" style="1180" customWidth="1"/>
    <col min="6900" max="6900" width="9" style="1180" bestFit="1" customWidth="1"/>
    <col min="6901" max="6901" width="14.83203125" style="1180" customWidth="1"/>
    <col min="6902" max="6902" width="9" style="1180" bestFit="1" customWidth="1"/>
    <col min="6903" max="6904" width="15.33203125" style="1180" customWidth="1"/>
    <col min="6905" max="6905" width="9" style="1180" bestFit="1" customWidth="1"/>
    <col min="6906" max="6906" width="14.83203125" style="1180" customWidth="1"/>
    <col min="6907" max="6907" width="9" style="1180" bestFit="1" customWidth="1"/>
    <col min="6908" max="6908" width="14.83203125" style="1180" customWidth="1"/>
    <col min="6909" max="6910" width="16.5" style="1180" customWidth="1"/>
    <col min="6911" max="6912" width="16.33203125" style="1180" customWidth="1"/>
    <col min="6913" max="6913" width="8" style="1180" customWidth="1"/>
    <col min="6914" max="6914" width="19.1640625" style="1180" customWidth="1"/>
    <col min="6915" max="6915" width="9" style="1180" bestFit="1" customWidth="1"/>
    <col min="6916" max="6916" width="14.83203125" style="1180" customWidth="1"/>
    <col min="6917" max="6917" width="16.6640625" style="1180" customWidth="1"/>
    <col min="6918" max="6918" width="14.83203125" style="1180" customWidth="1"/>
    <col min="6919" max="6919" width="9" style="1180" bestFit="1" customWidth="1"/>
    <col min="6920" max="6921" width="14.83203125" style="1180" customWidth="1"/>
    <col min="6922" max="6922" width="18.1640625" style="1180" customWidth="1"/>
    <col min="6923" max="6923" width="15.6640625" style="1180" customWidth="1"/>
    <col min="6924" max="6924" width="16.5" style="1180" customWidth="1"/>
    <col min="6925" max="6925" width="16.1640625" style="1180" bestFit="1" customWidth="1"/>
    <col min="6926" max="7149" width="9.33203125" style="1180"/>
    <col min="7150" max="7150" width="74.6640625" style="1180" customWidth="1"/>
    <col min="7151" max="7151" width="9" style="1180" bestFit="1" customWidth="1"/>
    <col min="7152" max="7152" width="12.6640625" style="1180" customWidth="1"/>
    <col min="7153" max="7153" width="15.33203125" style="1180" customWidth="1"/>
    <col min="7154" max="7154" width="9" style="1180" bestFit="1" customWidth="1"/>
    <col min="7155" max="7155" width="14.33203125" style="1180" customWidth="1"/>
    <col min="7156" max="7156" width="9" style="1180" bestFit="1" customWidth="1"/>
    <col min="7157" max="7157" width="14.83203125" style="1180" customWidth="1"/>
    <col min="7158" max="7158" width="9" style="1180" bestFit="1" customWidth="1"/>
    <col min="7159" max="7160" width="15.33203125" style="1180" customWidth="1"/>
    <col min="7161" max="7161" width="9" style="1180" bestFit="1" customWidth="1"/>
    <col min="7162" max="7162" width="14.83203125" style="1180" customWidth="1"/>
    <col min="7163" max="7163" width="9" style="1180" bestFit="1" customWidth="1"/>
    <col min="7164" max="7164" width="14.83203125" style="1180" customWidth="1"/>
    <col min="7165" max="7166" width="16.5" style="1180" customWidth="1"/>
    <col min="7167" max="7168" width="16.33203125" style="1180" customWidth="1"/>
    <col min="7169" max="7169" width="8" style="1180" customWidth="1"/>
    <col min="7170" max="7170" width="19.1640625" style="1180" customWidth="1"/>
    <col min="7171" max="7171" width="9" style="1180" bestFit="1" customWidth="1"/>
    <col min="7172" max="7172" width="14.83203125" style="1180" customWidth="1"/>
    <col min="7173" max="7173" width="16.6640625" style="1180" customWidth="1"/>
    <col min="7174" max="7174" width="14.83203125" style="1180" customWidth="1"/>
    <col min="7175" max="7175" width="9" style="1180" bestFit="1" customWidth="1"/>
    <col min="7176" max="7177" width="14.83203125" style="1180" customWidth="1"/>
    <col min="7178" max="7178" width="18.1640625" style="1180" customWidth="1"/>
    <col min="7179" max="7179" width="15.6640625" style="1180" customWidth="1"/>
    <col min="7180" max="7180" width="16.5" style="1180" customWidth="1"/>
    <col min="7181" max="7181" width="16.1640625" style="1180" bestFit="1" customWidth="1"/>
    <col min="7182" max="7405" width="9.33203125" style="1180"/>
    <col min="7406" max="7406" width="74.6640625" style="1180" customWidth="1"/>
    <col min="7407" max="7407" width="9" style="1180" bestFit="1" customWidth="1"/>
    <col min="7408" max="7408" width="12.6640625" style="1180" customWidth="1"/>
    <col min="7409" max="7409" width="15.33203125" style="1180" customWidth="1"/>
    <col min="7410" max="7410" width="9" style="1180" bestFit="1" customWidth="1"/>
    <col min="7411" max="7411" width="14.33203125" style="1180" customWidth="1"/>
    <col min="7412" max="7412" width="9" style="1180" bestFit="1" customWidth="1"/>
    <col min="7413" max="7413" width="14.83203125" style="1180" customWidth="1"/>
    <col min="7414" max="7414" width="9" style="1180" bestFit="1" customWidth="1"/>
    <col min="7415" max="7416" width="15.33203125" style="1180" customWidth="1"/>
    <col min="7417" max="7417" width="9" style="1180" bestFit="1" customWidth="1"/>
    <col min="7418" max="7418" width="14.83203125" style="1180" customWidth="1"/>
    <col min="7419" max="7419" width="9" style="1180" bestFit="1" customWidth="1"/>
    <col min="7420" max="7420" width="14.83203125" style="1180" customWidth="1"/>
    <col min="7421" max="7422" width="16.5" style="1180" customWidth="1"/>
    <col min="7423" max="7424" width="16.33203125" style="1180" customWidth="1"/>
    <col min="7425" max="7425" width="8" style="1180" customWidth="1"/>
    <col min="7426" max="7426" width="19.1640625" style="1180" customWidth="1"/>
    <col min="7427" max="7427" width="9" style="1180" bestFit="1" customWidth="1"/>
    <col min="7428" max="7428" width="14.83203125" style="1180" customWidth="1"/>
    <col min="7429" max="7429" width="16.6640625" style="1180" customWidth="1"/>
    <col min="7430" max="7430" width="14.83203125" style="1180" customWidth="1"/>
    <col min="7431" max="7431" width="9" style="1180" bestFit="1" customWidth="1"/>
    <col min="7432" max="7433" width="14.83203125" style="1180" customWidth="1"/>
    <col min="7434" max="7434" width="18.1640625" style="1180" customWidth="1"/>
    <col min="7435" max="7435" width="15.6640625" style="1180" customWidth="1"/>
    <col min="7436" max="7436" width="16.5" style="1180" customWidth="1"/>
    <col min="7437" max="7437" width="16.1640625" style="1180" bestFit="1" customWidth="1"/>
    <col min="7438" max="7661" width="9.33203125" style="1180"/>
    <col min="7662" max="7662" width="74.6640625" style="1180" customWidth="1"/>
    <col min="7663" max="7663" width="9" style="1180" bestFit="1" customWidth="1"/>
    <col min="7664" max="7664" width="12.6640625" style="1180" customWidth="1"/>
    <col min="7665" max="7665" width="15.33203125" style="1180" customWidth="1"/>
    <col min="7666" max="7666" width="9" style="1180" bestFit="1" customWidth="1"/>
    <col min="7667" max="7667" width="14.33203125" style="1180" customWidth="1"/>
    <col min="7668" max="7668" width="9" style="1180" bestFit="1" customWidth="1"/>
    <col min="7669" max="7669" width="14.83203125" style="1180" customWidth="1"/>
    <col min="7670" max="7670" width="9" style="1180" bestFit="1" customWidth="1"/>
    <col min="7671" max="7672" width="15.33203125" style="1180" customWidth="1"/>
    <col min="7673" max="7673" width="9" style="1180" bestFit="1" customWidth="1"/>
    <col min="7674" max="7674" width="14.83203125" style="1180" customWidth="1"/>
    <col min="7675" max="7675" width="9" style="1180" bestFit="1" customWidth="1"/>
    <col min="7676" max="7676" width="14.83203125" style="1180" customWidth="1"/>
    <col min="7677" max="7678" width="16.5" style="1180" customWidth="1"/>
    <col min="7679" max="7680" width="16.33203125" style="1180" customWidth="1"/>
    <col min="7681" max="7681" width="8" style="1180" customWidth="1"/>
    <col min="7682" max="7682" width="19.1640625" style="1180" customWidth="1"/>
    <col min="7683" max="7683" width="9" style="1180" bestFit="1" customWidth="1"/>
    <col min="7684" max="7684" width="14.83203125" style="1180" customWidth="1"/>
    <col min="7685" max="7685" width="16.6640625" style="1180" customWidth="1"/>
    <col min="7686" max="7686" width="14.83203125" style="1180" customWidth="1"/>
    <col min="7687" max="7687" width="9" style="1180" bestFit="1" customWidth="1"/>
    <col min="7688" max="7689" width="14.83203125" style="1180" customWidth="1"/>
    <col min="7690" max="7690" width="18.1640625" style="1180" customWidth="1"/>
    <col min="7691" max="7691" width="15.6640625" style="1180" customWidth="1"/>
    <col min="7692" max="7692" width="16.5" style="1180" customWidth="1"/>
    <col min="7693" max="7693" width="16.1640625" style="1180" bestFit="1" customWidth="1"/>
    <col min="7694" max="7917" width="9.33203125" style="1180"/>
    <col min="7918" max="7918" width="74.6640625" style="1180" customWidth="1"/>
    <col min="7919" max="7919" width="9" style="1180" bestFit="1" customWidth="1"/>
    <col min="7920" max="7920" width="12.6640625" style="1180" customWidth="1"/>
    <col min="7921" max="7921" width="15.33203125" style="1180" customWidth="1"/>
    <col min="7922" max="7922" width="9" style="1180" bestFit="1" customWidth="1"/>
    <col min="7923" max="7923" width="14.33203125" style="1180" customWidth="1"/>
    <col min="7924" max="7924" width="9" style="1180" bestFit="1" customWidth="1"/>
    <col min="7925" max="7925" width="14.83203125" style="1180" customWidth="1"/>
    <col min="7926" max="7926" width="9" style="1180" bestFit="1" customWidth="1"/>
    <col min="7927" max="7928" width="15.33203125" style="1180" customWidth="1"/>
    <col min="7929" max="7929" width="9" style="1180" bestFit="1" customWidth="1"/>
    <col min="7930" max="7930" width="14.83203125" style="1180" customWidth="1"/>
    <col min="7931" max="7931" width="9" style="1180" bestFit="1" customWidth="1"/>
    <col min="7932" max="7932" width="14.83203125" style="1180" customWidth="1"/>
    <col min="7933" max="7934" width="16.5" style="1180" customWidth="1"/>
    <col min="7935" max="7936" width="16.33203125" style="1180" customWidth="1"/>
    <col min="7937" max="7937" width="8" style="1180" customWidth="1"/>
    <col min="7938" max="7938" width="19.1640625" style="1180" customWidth="1"/>
    <col min="7939" max="7939" width="9" style="1180" bestFit="1" customWidth="1"/>
    <col min="7940" max="7940" width="14.83203125" style="1180" customWidth="1"/>
    <col min="7941" max="7941" width="16.6640625" style="1180" customWidth="1"/>
    <col min="7942" max="7942" width="14.83203125" style="1180" customWidth="1"/>
    <col min="7943" max="7943" width="9" style="1180" bestFit="1" customWidth="1"/>
    <col min="7944" max="7945" width="14.83203125" style="1180" customWidth="1"/>
    <col min="7946" max="7946" width="18.1640625" style="1180" customWidth="1"/>
    <col min="7947" max="7947" width="15.6640625" style="1180" customWidth="1"/>
    <col min="7948" max="7948" width="16.5" style="1180" customWidth="1"/>
    <col min="7949" max="7949" width="16.1640625" style="1180" bestFit="1" customWidth="1"/>
    <col min="7950" max="8173" width="9.33203125" style="1180"/>
    <col min="8174" max="8174" width="74.6640625" style="1180" customWidth="1"/>
    <col min="8175" max="8175" width="9" style="1180" bestFit="1" customWidth="1"/>
    <col min="8176" max="8176" width="12.6640625" style="1180" customWidth="1"/>
    <col min="8177" max="8177" width="15.33203125" style="1180" customWidth="1"/>
    <col min="8178" max="8178" width="9" style="1180" bestFit="1" customWidth="1"/>
    <col min="8179" max="8179" width="14.33203125" style="1180" customWidth="1"/>
    <col min="8180" max="8180" width="9" style="1180" bestFit="1" customWidth="1"/>
    <col min="8181" max="8181" width="14.83203125" style="1180" customWidth="1"/>
    <col min="8182" max="8182" width="9" style="1180" bestFit="1" customWidth="1"/>
    <col min="8183" max="8184" width="15.33203125" style="1180" customWidth="1"/>
    <col min="8185" max="8185" width="9" style="1180" bestFit="1" customWidth="1"/>
    <col min="8186" max="8186" width="14.83203125" style="1180" customWidth="1"/>
    <col min="8187" max="8187" width="9" style="1180" bestFit="1" customWidth="1"/>
    <col min="8188" max="8188" width="14.83203125" style="1180" customWidth="1"/>
    <col min="8189" max="8190" width="16.5" style="1180" customWidth="1"/>
    <col min="8191" max="8192" width="16.33203125" style="1180" customWidth="1"/>
    <col min="8193" max="8193" width="8" style="1180" customWidth="1"/>
    <col min="8194" max="8194" width="19.1640625" style="1180" customWidth="1"/>
    <col min="8195" max="8195" width="9" style="1180" bestFit="1" customWidth="1"/>
    <col min="8196" max="8196" width="14.83203125" style="1180" customWidth="1"/>
    <col min="8197" max="8197" width="16.6640625" style="1180" customWidth="1"/>
    <col min="8198" max="8198" width="14.83203125" style="1180" customWidth="1"/>
    <col min="8199" max="8199" width="9" style="1180" bestFit="1" customWidth="1"/>
    <col min="8200" max="8201" width="14.83203125" style="1180" customWidth="1"/>
    <col min="8202" max="8202" width="18.1640625" style="1180" customWidth="1"/>
    <col min="8203" max="8203" width="15.6640625" style="1180" customWidth="1"/>
    <col min="8204" max="8204" width="16.5" style="1180" customWidth="1"/>
    <col min="8205" max="8205" width="16.1640625" style="1180" bestFit="1" customWidth="1"/>
    <col min="8206" max="8429" width="9.33203125" style="1180"/>
    <col min="8430" max="8430" width="74.6640625" style="1180" customWidth="1"/>
    <col min="8431" max="8431" width="9" style="1180" bestFit="1" customWidth="1"/>
    <col min="8432" max="8432" width="12.6640625" style="1180" customWidth="1"/>
    <col min="8433" max="8433" width="15.33203125" style="1180" customWidth="1"/>
    <col min="8434" max="8434" width="9" style="1180" bestFit="1" customWidth="1"/>
    <col min="8435" max="8435" width="14.33203125" style="1180" customWidth="1"/>
    <col min="8436" max="8436" width="9" style="1180" bestFit="1" customWidth="1"/>
    <col min="8437" max="8437" width="14.83203125" style="1180" customWidth="1"/>
    <col min="8438" max="8438" width="9" style="1180" bestFit="1" customWidth="1"/>
    <col min="8439" max="8440" width="15.33203125" style="1180" customWidth="1"/>
    <col min="8441" max="8441" width="9" style="1180" bestFit="1" customWidth="1"/>
    <col min="8442" max="8442" width="14.83203125" style="1180" customWidth="1"/>
    <col min="8443" max="8443" width="9" style="1180" bestFit="1" customWidth="1"/>
    <col min="8444" max="8444" width="14.83203125" style="1180" customWidth="1"/>
    <col min="8445" max="8446" width="16.5" style="1180" customWidth="1"/>
    <col min="8447" max="8448" width="16.33203125" style="1180" customWidth="1"/>
    <col min="8449" max="8449" width="8" style="1180" customWidth="1"/>
    <col min="8450" max="8450" width="19.1640625" style="1180" customWidth="1"/>
    <col min="8451" max="8451" width="9" style="1180" bestFit="1" customWidth="1"/>
    <col min="8452" max="8452" width="14.83203125" style="1180" customWidth="1"/>
    <col min="8453" max="8453" width="16.6640625" style="1180" customWidth="1"/>
    <col min="8454" max="8454" width="14.83203125" style="1180" customWidth="1"/>
    <col min="8455" max="8455" width="9" style="1180" bestFit="1" customWidth="1"/>
    <col min="8456" max="8457" width="14.83203125" style="1180" customWidth="1"/>
    <col min="8458" max="8458" width="18.1640625" style="1180" customWidth="1"/>
    <col min="8459" max="8459" width="15.6640625" style="1180" customWidth="1"/>
    <col min="8460" max="8460" width="16.5" style="1180" customWidth="1"/>
    <col min="8461" max="8461" width="16.1640625" style="1180" bestFit="1" customWidth="1"/>
    <col min="8462" max="8685" width="9.33203125" style="1180"/>
    <col min="8686" max="8686" width="74.6640625" style="1180" customWidth="1"/>
    <col min="8687" max="8687" width="9" style="1180" bestFit="1" customWidth="1"/>
    <col min="8688" max="8688" width="12.6640625" style="1180" customWidth="1"/>
    <col min="8689" max="8689" width="15.33203125" style="1180" customWidth="1"/>
    <col min="8690" max="8690" width="9" style="1180" bestFit="1" customWidth="1"/>
    <col min="8691" max="8691" width="14.33203125" style="1180" customWidth="1"/>
    <col min="8692" max="8692" width="9" style="1180" bestFit="1" customWidth="1"/>
    <col min="8693" max="8693" width="14.83203125" style="1180" customWidth="1"/>
    <col min="8694" max="8694" width="9" style="1180" bestFit="1" customWidth="1"/>
    <col min="8695" max="8696" width="15.33203125" style="1180" customWidth="1"/>
    <col min="8697" max="8697" width="9" style="1180" bestFit="1" customWidth="1"/>
    <col min="8698" max="8698" width="14.83203125" style="1180" customWidth="1"/>
    <col min="8699" max="8699" width="9" style="1180" bestFit="1" customWidth="1"/>
    <col min="8700" max="8700" width="14.83203125" style="1180" customWidth="1"/>
    <col min="8701" max="8702" width="16.5" style="1180" customWidth="1"/>
    <col min="8703" max="8704" width="16.33203125" style="1180" customWidth="1"/>
    <col min="8705" max="8705" width="8" style="1180" customWidth="1"/>
    <col min="8706" max="8706" width="19.1640625" style="1180" customWidth="1"/>
    <col min="8707" max="8707" width="9" style="1180" bestFit="1" customWidth="1"/>
    <col min="8708" max="8708" width="14.83203125" style="1180" customWidth="1"/>
    <col min="8709" max="8709" width="16.6640625" style="1180" customWidth="1"/>
    <col min="8710" max="8710" width="14.83203125" style="1180" customWidth="1"/>
    <col min="8711" max="8711" width="9" style="1180" bestFit="1" customWidth="1"/>
    <col min="8712" max="8713" width="14.83203125" style="1180" customWidth="1"/>
    <col min="8714" max="8714" width="18.1640625" style="1180" customWidth="1"/>
    <col min="8715" max="8715" width="15.6640625" style="1180" customWidth="1"/>
    <col min="8716" max="8716" width="16.5" style="1180" customWidth="1"/>
    <col min="8717" max="8717" width="16.1640625" style="1180" bestFit="1" customWidth="1"/>
    <col min="8718" max="8941" width="9.33203125" style="1180"/>
    <col min="8942" max="8942" width="74.6640625" style="1180" customWidth="1"/>
    <col min="8943" max="8943" width="9" style="1180" bestFit="1" customWidth="1"/>
    <col min="8944" max="8944" width="12.6640625" style="1180" customWidth="1"/>
    <col min="8945" max="8945" width="15.33203125" style="1180" customWidth="1"/>
    <col min="8946" max="8946" width="9" style="1180" bestFit="1" customWidth="1"/>
    <col min="8947" max="8947" width="14.33203125" style="1180" customWidth="1"/>
    <col min="8948" max="8948" width="9" style="1180" bestFit="1" customWidth="1"/>
    <col min="8949" max="8949" width="14.83203125" style="1180" customWidth="1"/>
    <col min="8950" max="8950" width="9" style="1180" bestFit="1" customWidth="1"/>
    <col min="8951" max="8952" width="15.33203125" style="1180" customWidth="1"/>
    <col min="8953" max="8953" width="9" style="1180" bestFit="1" customWidth="1"/>
    <col min="8954" max="8954" width="14.83203125" style="1180" customWidth="1"/>
    <col min="8955" max="8955" width="9" style="1180" bestFit="1" customWidth="1"/>
    <col min="8956" max="8956" width="14.83203125" style="1180" customWidth="1"/>
    <col min="8957" max="8958" width="16.5" style="1180" customWidth="1"/>
    <col min="8959" max="8960" width="16.33203125" style="1180" customWidth="1"/>
    <col min="8961" max="8961" width="8" style="1180" customWidth="1"/>
    <col min="8962" max="8962" width="19.1640625" style="1180" customWidth="1"/>
    <col min="8963" max="8963" width="9" style="1180" bestFit="1" customWidth="1"/>
    <col min="8964" max="8964" width="14.83203125" style="1180" customWidth="1"/>
    <col min="8965" max="8965" width="16.6640625" style="1180" customWidth="1"/>
    <col min="8966" max="8966" width="14.83203125" style="1180" customWidth="1"/>
    <col min="8967" max="8967" width="9" style="1180" bestFit="1" customWidth="1"/>
    <col min="8968" max="8969" width="14.83203125" style="1180" customWidth="1"/>
    <col min="8970" max="8970" width="18.1640625" style="1180" customWidth="1"/>
    <col min="8971" max="8971" width="15.6640625" style="1180" customWidth="1"/>
    <col min="8972" max="8972" width="16.5" style="1180" customWidth="1"/>
    <col min="8973" max="8973" width="16.1640625" style="1180" bestFit="1" customWidth="1"/>
    <col min="8974" max="9197" width="9.33203125" style="1180"/>
    <col min="9198" max="9198" width="74.6640625" style="1180" customWidth="1"/>
    <col min="9199" max="9199" width="9" style="1180" bestFit="1" customWidth="1"/>
    <col min="9200" max="9200" width="12.6640625" style="1180" customWidth="1"/>
    <col min="9201" max="9201" width="15.33203125" style="1180" customWidth="1"/>
    <col min="9202" max="9202" width="9" style="1180" bestFit="1" customWidth="1"/>
    <col min="9203" max="9203" width="14.33203125" style="1180" customWidth="1"/>
    <col min="9204" max="9204" width="9" style="1180" bestFit="1" customWidth="1"/>
    <col min="9205" max="9205" width="14.83203125" style="1180" customWidth="1"/>
    <col min="9206" max="9206" width="9" style="1180" bestFit="1" customWidth="1"/>
    <col min="9207" max="9208" width="15.33203125" style="1180" customWidth="1"/>
    <col min="9209" max="9209" width="9" style="1180" bestFit="1" customWidth="1"/>
    <col min="9210" max="9210" width="14.83203125" style="1180" customWidth="1"/>
    <col min="9211" max="9211" width="9" style="1180" bestFit="1" customWidth="1"/>
    <col min="9212" max="9212" width="14.83203125" style="1180" customWidth="1"/>
    <col min="9213" max="9214" width="16.5" style="1180" customWidth="1"/>
    <col min="9215" max="9216" width="16.33203125" style="1180" customWidth="1"/>
    <col min="9217" max="9217" width="8" style="1180" customWidth="1"/>
    <col min="9218" max="9218" width="19.1640625" style="1180" customWidth="1"/>
    <col min="9219" max="9219" width="9" style="1180" bestFit="1" customWidth="1"/>
    <col min="9220" max="9220" width="14.83203125" style="1180" customWidth="1"/>
    <col min="9221" max="9221" width="16.6640625" style="1180" customWidth="1"/>
    <col min="9222" max="9222" width="14.83203125" style="1180" customWidth="1"/>
    <col min="9223" max="9223" width="9" style="1180" bestFit="1" customWidth="1"/>
    <col min="9224" max="9225" width="14.83203125" style="1180" customWidth="1"/>
    <col min="9226" max="9226" width="18.1640625" style="1180" customWidth="1"/>
    <col min="9227" max="9227" width="15.6640625" style="1180" customWidth="1"/>
    <col min="9228" max="9228" width="16.5" style="1180" customWidth="1"/>
    <col min="9229" max="9229" width="16.1640625" style="1180" bestFit="1" customWidth="1"/>
    <col min="9230" max="9453" width="9.33203125" style="1180"/>
    <col min="9454" max="9454" width="74.6640625" style="1180" customWidth="1"/>
    <col min="9455" max="9455" width="9" style="1180" bestFit="1" customWidth="1"/>
    <col min="9456" max="9456" width="12.6640625" style="1180" customWidth="1"/>
    <col min="9457" max="9457" width="15.33203125" style="1180" customWidth="1"/>
    <col min="9458" max="9458" width="9" style="1180" bestFit="1" customWidth="1"/>
    <col min="9459" max="9459" width="14.33203125" style="1180" customWidth="1"/>
    <col min="9460" max="9460" width="9" style="1180" bestFit="1" customWidth="1"/>
    <col min="9461" max="9461" width="14.83203125" style="1180" customWidth="1"/>
    <col min="9462" max="9462" width="9" style="1180" bestFit="1" customWidth="1"/>
    <col min="9463" max="9464" width="15.33203125" style="1180" customWidth="1"/>
    <col min="9465" max="9465" width="9" style="1180" bestFit="1" customWidth="1"/>
    <col min="9466" max="9466" width="14.83203125" style="1180" customWidth="1"/>
    <col min="9467" max="9467" width="9" style="1180" bestFit="1" customWidth="1"/>
    <col min="9468" max="9468" width="14.83203125" style="1180" customWidth="1"/>
    <col min="9469" max="9470" width="16.5" style="1180" customWidth="1"/>
    <col min="9471" max="9472" width="16.33203125" style="1180" customWidth="1"/>
    <col min="9473" max="9473" width="8" style="1180" customWidth="1"/>
    <col min="9474" max="9474" width="19.1640625" style="1180" customWidth="1"/>
    <col min="9475" max="9475" width="9" style="1180" bestFit="1" customWidth="1"/>
    <col min="9476" max="9476" width="14.83203125" style="1180" customWidth="1"/>
    <col min="9477" max="9477" width="16.6640625" style="1180" customWidth="1"/>
    <col min="9478" max="9478" width="14.83203125" style="1180" customWidth="1"/>
    <col min="9479" max="9479" width="9" style="1180" bestFit="1" customWidth="1"/>
    <col min="9480" max="9481" width="14.83203125" style="1180" customWidth="1"/>
    <col min="9482" max="9482" width="18.1640625" style="1180" customWidth="1"/>
    <col min="9483" max="9483" width="15.6640625" style="1180" customWidth="1"/>
    <col min="9484" max="9484" width="16.5" style="1180" customWidth="1"/>
    <col min="9485" max="9485" width="16.1640625" style="1180" bestFit="1" customWidth="1"/>
    <col min="9486" max="9709" width="9.33203125" style="1180"/>
    <col min="9710" max="9710" width="74.6640625" style="1180" customWidth="1"/>
    <col min="9711" max="9711" width="9" style="1180" bestFit="1" customWidth="1"/>
    <col min="9712" max="9712" width="12.6640625" style="1180" customWidth="1"/>
    <col min="9713" max="9713" width="15.33203125" style="1180" customWidth="1"/>
    <col min="9714" max="9714" width="9" style="1180" bestFit="1" customWidth="1"/>
    <col min="9715" max="9715" width="14.33203125" style="1180" customWidth="1"/>
    <col min="9716" max="9716" width="9" style="1180" bestFit="1" customWidth="1"/>
    <col min="9717" max="9717" width="14.83203125" style="1180" customWidth="1"/>
    <col min="9718" max="9718" width="9" style="1180" bestFit="1" customWidth="1"/>
    <col min="9719" max="9720" width="15.33203125" style="1180" customWidth="1"/>
    <col min="9721" max="9721" width="9" style="1180" bestFit="1" customWidth="1"/>
    <col min="9722" max="9722" width="14.83203125" style="1180" customWidth="1"/>
    <col min="9723" max="9723" width="9" style="1180" bestFit="1" customWidth="1"/>
    <col min="9724" max="9724" width="14.83203125" style="1180" customWidth="1"/>
    <col min="9725" max="9726" width="16.5" style="1180" customWidth="1"/>
    <col min="9727" max="9728" width="16.33203125" style="1180" customWidth="1"/>
    <col min="9729" max="9729" width="8" style="1180" customWidth="1"/>
    <col min="9730" max="9730" width="19.1640625" style="1180" customWidth="1"/>
    <col min="9731" max="9731" width="9" style="1180" bestFit="1" customWidth="1"/>
    <col min="9732" max="9732" width="14.83203125" style="1180" customWidth="1"/>
    <col min="9733" max="9733" width="16.6640625" style="1180" customWidth="1"/>
    <col min="9734" max="9734" width="14.83203125" style="1180" customWidth="1"/>
    <col min="9735" max="9735" width="9" style="1180" bestFit="1" customWidth="1"/>
    <col min="9736" max="9737" width="14.83203125" style="1180" customWidth="1"/>
    <col min="9738" max="9738" width="18.1640625" style="1180" customWidth="1"/>
    <col min="9739" max="9739" width="15.6640625" style="1180" customWidth="1"/>
    <col min="9740" max="9740" width="16.5" style="1180" customWidth="1"/>
    <col min="9741" max="9741" width="16.1640625" style="1180" bestFit="1" customWidth="1"/>
    <col min="9742" max="9965" width="9.33203125" style="1180"/>
    <col min="9966" max="9966" width="74.6640625" style="1180" customWidth="1"/>
    <col min="9967" max="9967" width="9" style="1180" bestFit="1" customWidth="1"/>
    <col min="9968" max="9968" width="12.6640625" style="1180" customWidth="1"/>
    <col min="9969" max="9969" width="15.33203125" style="1180" customWidth="1"/>
    <col min="9970" max="9970" width="9" style="1180" bestFit="1" customWidth="1"/>
    <col min="9971" max="9971" width="14.33203125" style="1180" customWidth="1"/>
    <col min="9972" max="9972" width="9" style="1180" bestFit="1" customWidth="1"/>
    <col min="9973" max="9973" width="14.83203125" style="1180" customWidth="1"/>
    <col min="9974" max="9974" width="9" style="1180" bestFit="1" customWidth="1"/>
    <col min="9975" max="9976" width="15.33203125" style="1180" customWidth="1"/>
    <col min="9977" max="9977" width="9" style="1180" bestFit="1" customWidth="1"/>
    <col min="9978" max="9978" width="14.83203125" style="1180" customWidth="1"/>
    <col min="9979" max="9979" width="9" style="1180" bestFit="1" customWidth="1"/>
    <col min="9980" max="9980" width="14.83203125" style="1180" customWidth="1"/>
    <col min="9981" max="9982" width="16.5" style="1180" customWidth="1"/>
    <col min="9983" max="9984" width="16.33203125" style="1180" customWidth="1"/>
    <col min="9985" max="9985" width="8" style="1180" customWidth="1"/>
    <col min="9986" max="9986" width="19.1640625" style="1180" customWidth="1"/>
    <col min="9987" max="9987" width="9" style="1180" bestFit="1" customWidth="1"/>
    <col min="9988" max="9988" width="14.83203125" style="1180" customWidth="1"/>
    <col min="9989" max="9989" width="16.6640625" style="1180" customWidth="1"/>
    <col min="9990" max="9990" width="14.83203125" style="1180" customWidth="1"/>
    <col min="9991" max="9991" width="9" style="1180" bestFit="1" customWidth="1"/>
    <col min="9992" max="9993" width="14.83203125" style="1180" customWidth="1"/>
    <col min="9994" max="9994" width="18.1640625" style="1180" customWidth="1"/>
    <col min="9995" max="9995" width="15.6640625" style="1180" customWidth="1"/>
    <col min="9996" max="9996" width="16.5" style="1180" customWidth="1"/>
    <col min="9997" max="9997" width="16.1640625" style="1180" bestFit="1" customWidth="1"/>
    <col min="9998" max="10221" width="9.33203125" style="1180"/>
    <col min="10222" max="10222" width="74.6640625" style="1180" customWidth="1"/>
    <col min="10223" max="10223" width="9" style="1180" bestFit="1" customWidth="1"/>
    <col min="10224" max="10224" width="12.6640625" style="1180" customWidth="1"/>
    <col min="10225" max="10225" width="15.33203125" style="1180" customWidth="1"/>
    <col min="10226" max="10226" width="9" style="1180" bestFit="1" customWidth="1"/>
    <col min="10227" max="10227" width="14.33203125" style="1180" customWidth="1"/>
    <col min="10228" max="10228" width="9" style="1180" bestFit="1" customWidth="1"/>
    <col min="10229" max="10229" width="14.83203125" style="1180" customWidth="1"/>
    <col min="10230" max="10230" width="9" style="1180" bestFit="1" customWidth="1"/>
    <col min="10231" max="10232" width="15.33203125" style="1180" customWidth="1"/>
    <col min="10233" max="10233" width="9" style="1180" bestFit="1" customWidth="1"/>
    <col min="10234" max="10234" width="14.83203125" style="1180" customWidth="1"/>
    <col min="10235" max="10235" width="9" style="1180" bestFit="1" customWidth="1"/>
    <col min="10236" max="10236" width="14.83203125" style="1180" customWidth="1"/>
    <col min="10237" max="10238" width="16.5" style="1180" customWidth="1"/>
    <col min="10239" max="10240" width="16.33203125" style="1180" customWidth="1"/>
    <col min="10241" max="10241" width="8" style="1180" customWidth="1"/>
    <col min="10242" max="10242" width="19.1640625" style="1180" customWidth="1"/>
    <col min="10243" max="10243" width="9" style="1180" bestFit="1" customWidth="1"/>
    <col min="10244" max="10244" width="14.83203125" style="1180" customWidth="1"/>
    <col min="10245" max="10245" width="16.6640625" style="1180" customWidth="1"/>
    <col min="10246" max="10246" width="14.83203125" style="1180" customWidth="1"/>
    <col min="10247" max="10247" width="9" style="1180" bestFit="1" customWidth="1"/>
    <col min="10248" max="10249" width="14.83203125" style="1180" customWidth="1"/>
    <col min="10250" max="10250" width="18.1640625" style="1180" customWidth="1"/>
    <col min="10251" max="10251" width="15.6640625" style="1180" customWidth="1"/>
    <col min="10252" max="10252" width="16.5" style="1180" customWidth="1"/>
    <col min="10253" max="10253" width="16.1640625" style="1180" bestFit="1" customWidth="1"/>
    <col min="10254" max="10477" width="9.33203125" style="1180"/>
    <col min="10478" max="10478" width="74.6640625" style="1180" customWidth="1"/>
    <col min="10479" max="10479" width="9" style="1180" bestFit="1" customWidth="1"/>
    <col min="10480" max="10480" width="12.6640625" style="1180" customWidth="1"/>
    <col min="10481" max="10481" width="15.33203125" style="1180" customWidth="1"/>
    <col min="10482" max="10482" width="9" style="1180" bestFit="1" customWidth="1"/>
    <col min="10483" max="10483" width="14.33203125" style="1180" customWidth="1"/>
    <col min="10484" max="10484" width="9" style="1180" bestFit="1" customWidth="1"/>
    <col min="10485" max="10485" width="14.83203125" style="1180" customWidth="1"/>
    <col min="10486" max="10486" width="9" style="1180" bestFit="1" customWidth="1"/>
    <col min="10487" max="10488" width="15.33203125" style="1180" customWidth="1"/>
    <col min="10489" max="10489" width="9" style="1180" bestFit="1" customWidth="1"/>
    <col min="10490" max="10490" width="14.83203125" style="1180" customWidth="1"/>
    <col min="10491" max="10491" width="9" style="1180" bestFit="1" customWidth="1"/>
    <col min="10492" max="10492" width="14.83203125" style="1180" customWidth="1"/>
    <col min="10493" max="10494" width="16.5" style="1180" customWidth="1"/>
    <col min="10495" max="10496" width="16.33203125" style="1180" customWidth="1"/>
    <col min="10497" max="10497" width="8" style="1180" customWidth="1"/>
    <col min="10498" max="10498" width="19.1640625" style="1180" customWidth="1"/>
    <col min="10499" max="10499" width="9" style="1180" bestFit="1" customWidth="1"/>
    <col min="10500" max="10500" width="14.83203125" style="1180" customWidth="1"/>
    <col min="10501" max="10501" width="16.6640625" style="1180" customWidth="1"/>
    <col min="10502" max="10502" width="14.83203125" style="1180" customWidth="1"/>
    <col min="10503" max="10503" width="9" style="1180" bestFit="1" customWidth="1"/>
    <col min="10504" max="10505" width="14.83203125" style="1180" customWidth="1"/>
    <col min="10506" max="10506" width="18.1640625" style="1180" customWidth="1"/>
    <col min="10507" max="10507" width="15.6640625" style="1180" customWidth="1"/>
    <col min="10508" max="10508" width="16.5" style="1180" customWidth="1"/>
    <col min="10509" max="10509" width="16.1640625" style="1180" bestFit="1" customWidth="1"/>
    <col min="10510" max="10733" width="9.33203125" style="1180"/>
    <col min="10734" max="10734" width="74.6640625" style="1180" customWidth="1"/>
    <col min="10735" max="10735" width="9" style="1180" bestFit="1" customWidth="1"/>
    <col min="10736" max="10736" width="12.6640625" style="1180" customWidth="1"/>
    <col min="10737" max="10737" width="15.33203125" style="1180" customWidth="1"/>
    <col min="10738" max="10738" width="9" style="1180" bestFit="1" customWidth="1"/>
    <col min="10739" max="10739" width="14.33203125" style="1180" customWidth="1"/>
    <col min="10740" max="10740" width="9" style="1180" bestFit="1" customWidth="1"/>
    <col min="10741" max="10741" width="14.83203125" style="1180" customWidth="1"/>
    <col min="10742" max="10742" width="9" style="1180" bestFit="1" customWidth="1"/>
    <col min="10743" max="10744" width="15.33203125" style="1180" customWidth="1"/>
    <col min="10745" max="10745" width="9" style="1180" bestFit="1" customWidth="1"/>
    <col min="10746" max="10746" width="14.83203125" style="1180" customWidth="1"/>
    <col min="10747" max="10747" width="9" style="1180" bestFit="1" customWidth="1"/>
    <col min="10748" max="10748" width="14.83203125" style="1180" customWidth="1"/>
    <col min="10749" max="10750" width="16.5" style="1180" customWidth="1"/>
    <col min="10751" max="10752" width="16.33203125" style="1180" customWidth="1"/>
    <col min="10753" max="10753" width="8" style="1180" customWidth="1"/>
    <col min="10754" max="10754" width="19.1640625" style="1180" customWidth="1"/>
    <col min="10755" max="10755" width="9" style="1180" bestFit="1" customWidth="1"/>
    <col min="10756" max="10756" width="14.83203125" style="1180" customWidth="1"/>
    <col min="10757" max="10757" width="16.6640625" style="1180" customWidth="1"/>
    <col min="10758" max="10758" width="14.83203125" style="1180" customWidth="1"/>
    <col min="10759" max="10759" width="9" style="1180" bestFit="1" customWidth="1"/>
    <col min="10760" max="10761" width="14.83203125" style="1180" customWidth="1"/>
    <col min="10762" max="10762" width="18.1640625" style="1180" customWidth="1"/>
    <col min="10763" max="10763" width="15.6640625" style="1180" customWidth="1"/>
    <col min="10764" max="10764" width="16.5" style="1180" customWidth="1"/>
    <col min="10765" max="10765" width="16.1640625" style="1180" bestFit="1" customWidth="1"/>
    <col min="10766" max="10989" width="9.33203125" style="1180"/>
    <col min="10990" max="10990" width="74.6640625" style="1180" customWidth="1"/>
    <col min="10991" max="10991" width="9" style="1180" bestFit="1" customWidth="1"/>
    <col min="10992" max="10992" width="12.6640625" style="1180" customWidth="1"/>
    <col min="10993" max="10993" width="15.33203125" style="1180" customWidth="1"/>
    <col min="10994" max="10994" width="9" style="1180" bestFit="1" customWidth="1"/>
    <col min="10995" max="10995" width="14.33203125" style="1180" customWidth="1"/>
    <col min="10996" max="10996" width="9" style="1180" bestFit="1" customWidth="1"/>
    <col min="10997" max="10997" width="14.83203125" style="1180" customWidth="1"/>
    <col min="10998" max="10998" width="9" style="1180" bestFit="1" customWidth="1"/>
    <col min="10999" max="11000" width="15.33203125" style="1180" customWidth="1"/>
    <col min="11001" max="11001" width="9" style="1180" bestFit="1" customWidth="1"/>
    <col min="11002" max="11002" width="14.83203125" style="1180" customWidth="1"/>
    <col min="11003" max="11003" width="9" style="1180" bestFit="1" customWidth="1"/>
    <col min="11004" max="11004" width="14.83203125" style="1180" customWidth="1"/>
    <col min="11005" max="11006" width="16.5" style="1180" customWidth="1"/>
    <col min="11007" max="11008" width="16.33203125" style="1180" customWidth="1"/>
    <col min="11009" max="11009" width="8" style="1180" customWidth="1"/>
    <col min="11010" max="11010" width="19.1640625" style="1180" customWidth="1"/>
    <col min="11011" max="11011" width="9" style="1180" bestFit="1" customWidth="1"/>
    <col min="11012" max="11012" width="14.83203125" style="1180" customWidth="1"/>
    <col min="11013" max="11013" width="16.6640625" style="1180" customWidth="1"/>
    <col min="11014" max="11014" width="14.83203125" style="1180" customWidth="1"/>
    <col min="11015" max="11015" width="9" style="1180" bestFit="1" customWidth="1"/>
    <col min="11016" max="11017" width="14.83203125" style="1180" customWidth="1"/>
    <col min="11018" max="11018" width="18.1640625" style="1180" customWidth="1"/>
    <col min="11019" max="11019" width="15.6640625" style="1180" customWidth="1"/>
    <col min="11020" max="11020" width="16.5" style="1180" customWidth="1"/>
    <col min="11021" max="11021" width="16.1640625" style="1180" bestFit="1" customWidth="1"/>
    <col min="11022" max="11245" width="9.33203125" style="1180"/>
    <col min="11246" max="11246" width="74.6640625" style="1180" customWidth="1"/>
    <col min="11247" max="11247" width="9" style="1180" bestFit="1" customWidth="1"/>
    <col min="11248" max="11248" width="12.6640625" style="1180" customWidth="1"/>
    <col min="11249" max="11249" width="15.33203125" style="1180" customWidth="1"/>
    <col min="11250" max="11250" width="9" style="1180" bestFit="1" customWidth="1"/>
    <col min="11251" max="11251" width="14.33203125" style="1180" customWidth="1"/>
    <col min="11252" max="11252" width="9" style="1180" bestFit="1" customWidth="1"/>
    <col min="11253" max="11253" width="14.83203125" style="1180" customWidth="1"/>
    <col min="11254" max="11254" width="9" style="1180" bestFit="1" customWidth="1"/>
    <col min="11255" max="11256" width="15.33203125" style="1180" customWidth="1"/>
    <col min="11257" max="11257" width="9" style="1180" bestFit="1" customWidth="1"/>
    <col min="11258" max="11258" width="14.83203125" style="1180" customWidth="1"/>
    <col min="11259" max="11259" width="9" style="1180" bestFit="1" customWidth="1"/>
    <col min="11260" max="11260" width="14.83203125" style="1180" customWidth="1"/>
    <col min="11261" max="11262" width="16.5" style="1180" customWidth="1"/>
    <col min="11263" max="11264" width="16.33203125" style="1180" customWidth="1"/>
    <col min="11265" max="11265" width="8" style="1180" customWidth="1"/>
    <col min="11266" max="11266" width="19.1640625" style="1180" customWidth="1"/>
    <col min="11267" max="11267" width="9" style="1180" bestFit="1" customWidth="1"/>
    <col min="11268" max="11268" width="14.83203125" style="1180" customWidth="1"/>
    <col min="11269" max="11269" width="16.6640625" style="1180" customWidth="1"/>
    <col min="11270" max="11270" width="14.83203125" style="1180" customWidth="1"/>
    <col min="11271" max="11271" width="9" style="1180" bestFit="1" customWidth="1"/>
    <col min="11272" max="11273" width="14.83203125" style="1180" customWidth="1"/>
    <col min="11274" max="11274" width="18.1640625" style="1180" customWidth="1"/>
    <col min="11275" max="11275" width="15.6640625" style="1180" customWidth="1"/>
    <col min="11276" max="11276" width="16.5" style="1180" customWidth="1"/>
    <col min="11277" max="11277" width="16.1640625" style="1180" bestFit="1" customWidth="1"/>
    <col min="11278" max="11501" width="9.33203125" style="1180"/>
    <col min="11502" max="11502" width="74.6640625" style="1180" customWidth="1"/>
    <col min="11503" max="11503" width="9" style="1180" bestFit="1" customWidth="1"/>
    <col min="11504" max="11504" width="12.6640625" style="1180" customWidth="1"/>
    <col min="11505" max="11505" width="15.33203125" style="1180" customWidth="1"/>
    <col min="11506" max="11506" width="9" style="1180" bestFit="1" customWidth="1"/>
    <col min="11507" max="11507" width="14.33203125" style="1180" customWidth="1"/>
    <col min="11508" max="11508" width="9" style="1180" bestFit="1" customWidth="1"/>
    <col min="11509" max="11509" width="14.83203125" style="1180" customWidth="1"/>
    <col min="11510" max="11510" width="9" style="1180" bestFit="1" customWidth="1"/>
    <col min="11511" max="11512" width="15.33203125" style="1180" customWidth="1"/>
    <col min="11513" max="11513" width="9" style="1180" bestFit="1" customWidth="1"/>
    <col min="11514" max="11514" width="14.83203125" style="1180" customWidth="1"/>
    <col min="11515" max="11515" width="9" style="1180" bestFit="1" customWidth="1"/>
    <col min="11516" max="11516" width="14.83203125" style="1180" customWidth="1"/>
    <col min="11517" max="11518" width="16.5" style="1180" customWidth="1"/>
    <col min="11519" max="11520" width="16.33203125" style="1180" customWidth="1"/>
    <col min="11521" max="11521" width="8" style="1180" customWidth="1"/>
    <col min="11522" max="11522" width="19.1640625" style="1180" customWidth="1"/>
    <col min="11523" max="11523" width="9" style="1180" bestFit="1" customWidth="1"/>
    <col min="11524" max="11524" width="14.83203125" style="1180" customWidth="1"/>
    <col min="11525" max="11525" width="16.6640625" style="1180" customWidth="1"/>
    <col min="11526" max="11526" width="14.83203125" style="1180" customWidth="1"/>
    <col min="11527" max="11527" width="9" style="1180" bestFit="1" customWidth="1"/>
    <col min="11528" max="11529" width="14.83203125" style="1180" customWidth="1"/>
    <col min="11530" max="11530" width="18.1640625" style="1180" customWidth="1"/>
    <col min="11531" max="11531" width="15.6640625" style="1180" customWidth="1"/>
    <col min="11532" max="11532" width="16.5" style="1180" customWidth="1"/>
    <col min="11533" max="11533" width="16.1640625" style="1180" bestFit="1" customWidth="1"/>
    <col min="11534" max="11757" width="9.33203125" style="1180"/>
    <col min="11758" max="11758" width="74.6640625" style="1180" customWidth="1"/>
    <col min="11759" max="11759" width="9" style="1180" bestFit="1" customWidth="1"/>
    <col min="11760" max="11760" width="12.6640625" style="1180" customWidth="1"/>
    <col min="11761" max="11761" width="15.33203125" style="1180" customWidth="1"/>
    <col min="11762" max="11762" width="9" style="1180" bestFit="1" customWidth="1"/>
    <col min="11763" max="11763" width="14.33203125" style="1180" customWidth="1"/>
    <col min="11764" max="11764" width="9" style="1180" bestFit="1" customWidth="1"/>
    <col min="11765" max="11765" width="14.83203125" style="1180" customWidth="1"/>
    <col min="11766" max="11766" width="9" style="1180" bestFit="1" customWidth="1"/>
    <col min="11767" max="11768" width="15.33203125" style="1180" customWidth="1"/>
    <col min="11769" max="11769" width="9" style="1180" bestFit="1" customWidth="1"/>
    <col min="11770" max="11770" width="14.83203125" style="1180" customWidth="1"/>
    <col min="11771" max="11771" width="9" style="1180" bestFit="1" customWidth="1"/>
    <col min="11772" max="11772" width="14.83203125" style="1180" customWidth="1"/>
    <col min="11773" max="11774" width="16.5" style="1180" customWidth="1"/>
    <col min="11775" max="11776" width="16.33203125" style="1180" customWidth="1"/>
    <col min="11777" max="11777" width="8" style="1180" customWidth="1"/>
    <col min="11778" max="11778" width="19.1640625" style="1180" customWidth="1"/>
    <col min="11779" max="11779" width="9" style="1180" bestFit="1" customWidth="1"/>
    <col min="11780" max="11780" width="14.83203125" style="1180" customWidth="1"/>
    <col min="11781" max="11781" width="16.6640625" style="1180" customWidth="1"/>
    <col min="11782" max="11782" width="14.83203125" style="1180" customWidth="1"/>
    <col min="11783" max="11783" width="9" style="1180" bestFit="1" customWidth="1"/>
    <col min="11784" max="11785" width="14.83203125" style="1180" customWidth="1"/>
    <col min="11786" max="11786" width="18.1640625" style="1180" customWidth="1"/>
    <col min="11787" max="11787" width="15.6640625" style="1180" customWidth="1"/>
    <col min="11788" max="11788" width="16.5" style="1180" customWidth="1"/>
    <col min="11789" max="11789" width="16.1640625" style="1180" bestFit="1" customWidth="1"/>
    <col min="11790" max="12013" width="9.33203125" style="1180"/>
    <col min="12014" max="12014" width="74.6640625" style="1180" customWidth="1"/>
    <col min="12015" max="12015" width="9" style="1180" bestFit="1" customWidth="1"/>
    <col min="12016" max="12016" width="12.6640625" style="1180" customWidth="1"/>
    <col min="12017" max="12017" width="15.33203125" style="1180" customWidth="1"/>
    <col min="12018" max="12018" width="9" style="1180" bestFit="1" customWidth="1"/>
    <col min="12019" max="12019" width="14.33203125" style="1180" customWidth="1"/>
    <col min="12020" max="12020" width="9" style="1180" bestFit="1" customWidth="1"/>
    <col min="12021" max="12021" width="14.83203125" style="1180" customWidth="1"/>
    <col min="12022" max="12022" width="9" style="1180" bestFit="1" customWidth="1"/>
    <col min="12023" max="12024" width="15.33203125" style="1180" customWidth="1"/>
    <col min="12025" max="12025" width="9" style="1180" bestFit="1" customWidth="1"/>
    <col min="12026" max="12026" width="14.83203125" style="1180" customWidth="1"/>
    <col min="12027" max="12027" width="9" style="1180" bestFit="1" customWidth="1"/>
    <col min="12028" max="12028" width="14.83203125" style="1180" customWidth="1"/>
    <col min="12029" max="12030" width="16.5" style="1180" customWidth="1"/>
    <col min="12031" max="12032" width="16.33203125" style="1180" customWidth="1"/>
    <col min="12033" max="12033" width="8" style="1180" customWidth="1"/>
    <col min="12034" max="12034" width="19.1640625" style="1180" customWidth="1"/>
    <col min="12035" max="12035" width="9" style="1180" bestFit="1" customWidth="1"/>
    <col min="12036" max="12036" width="14.83203125" style="1180" customWidth="1"/>
    <col min="12037" max="12037" width="16.6640625" style="1180" customWidth="1"/>
    <col min="12038" max="12038" width="14.83203125" style="1180" customWidth="1"/>
    <col min="12039" max="12039" width="9" style="1180" bestFit="1" customWidth="1"/>
    <col min="12040" max="12041" width="14.83203125" style="1180" customWidth="1"/>
    <col min="12042" max="12042" width="18.1640625" style="1180" customWidth="1"/>
    <col min="12043" max="12043" width="15.6640625" style="1180" customWidth="1"/>
    <col min="12044" max="12044" width="16.5" style="1180" customWidth="1"/>
    <col min="12045" max="12045" width="16.1640625" style="1180" bestFit="1" customWidth="1"/>
    <col min="12046" max="12269" width="9.33203125" style="1180"/>
    <col min="12270" max="12270" width="74.6640625" style="1180" customWidth="1"/>
    <col min="12271" max="12271" width="9" style="1180" bestFit="1" customWidth="1"/>
    <col min="12272" max="12272" width="12.6640625" style="1180" customWidth="1"/>
    <col min="12273" max="12273" width="15.33203125" style="1180" customWidth="1"/>
    <col min="12274" max="12274" width="9" style="1180" bestFit="1" customWidth="1"/>
    <col min="12275" max="12275" width="14.33203125" style="1180" customWidth="1"/>
    <col min="12276" max="12276" width="9" style="1180" bestFit="1" customWidth="1"/>
    <col min="12277" max="12277" width="14.83203125" style="1180" customWidth="1"/>
    <col min="12278" max="12278" width="9" style="1180" bestFit="1" customWidth="1"/>
    <col min="12279" max="12280" width="15.33203125" style="1180" customWidth="1"/>
    <col min="12281" max="12281" width="9" style="1180" bestFit="1" customWidth="1"/>
    <col min="12282" max="12282" width="14.83203125" style="1180" customWidth="1"/>
    <col min="12283" max="12283" width="9" style="1180" bestFit="1" customWidth="1"/>
    <col min="12284" max="12284" width="14.83203125" style="1180" customWidth="1"/>
    <col min="12285" max="12286" width="16.5" style="1180" customWidth="1"/>
    <col min="12287" max="12288" width="16.33203125" style="1180" customWidth="1"/>
    <col min="12289" max="12289" width="8" style="1180" customWidth="1"/>
    <col min="12290" max="12290" width="19.1640625" style="1180" customWidth="1"/>
    <col min="12291" max="12291" width="9" style="1180" bestFit="1" customWidth="1"/>
    <col min="12292" max="12292" width="14.83203125" style="1180" customWidth="1"/>
    <col min="12293" max="12293" width="16.6640625" style="1180" customWidth="1"/>
    <col min="12294" max="12294" width="14.83203125" style="1180" customWidth="1"/>
    <col min="12295" max="12295" width="9" style="1180" bestFit="1" customWidth="1"/>
    <col min="12296" max="12297" width="14.83203125" style="1180" customWidth="1"/>
    <col min="12298" max="12298" width="18.1640625" style="1180" customWidth="1"/>
    <col min="12299" max="12299" width="15.6640625" style="1180" customWidth="1"/>
    <col min="12300" max="12300" width="16.5" style="1180" customWidth="1"/>
    <col min="12301" max="12301" width="16.1640625" style="1180" bestFit="1" customWidth="1"/>
    <col min="12302" max="12525" width="9.33203125" style="1180"/>
    <col min="12526" max="12526" width="74.6640625" style="1180" customWidth="1"/>
    <col min="12527" max="12527" width="9" style="1180" bestFit="1" customWidth="1"/>
    <col min="12528" max="12528" width="12.6640625" style="1180" customWidth="1"/>
    <col min="12529" max="12529" width="15.33203125" style="1180" customWidth="1"/>
    <col min="12530" max="12530" width="9" style="1180" bestFit="1" customWidth="1"/>
    <col min="12531" max="12531" width="14.33203125" style="1180" customWidth="1"/>
    <col min="12532" max="12532" width="9" style="1180" bestFit="1" customWidth="1"/>
    <col min="12533" max="12533" width="14.83203125" style="1180" customWidth="1"/>
    <col min="12534" max="12534" width="9" style="1180" bestFit="1" customWidth="1"/>
    <col min="12535" max="12536" width="15.33203125" style="1180" customWidth="1"/>
    <col min="12537" max="12537" width="9" style="1180" bestFit="1" customWidth="1"/>
    <col min="12538" max="12538" width="14.83203125" style="1180" customWidth="1"/>
    <col min="12539" max="12539" width="9" style="1180" bestFit="1" customWidth="1"/>
    <col min="12540" max="12540" width="14.83203125" style="1180" customWidth="1"/>
    <col min="12541" max="12542" width="16.5" style="1180" customWidth="1"/>
    <col min="12543" max="12544" width="16.33203125" style="1180" customWidth="1"/>
    <col min="12545" max="12545" width="8" style="1180" customWidth="1"/>
    <col min="12546" max="12546" width="19.1640625" style="1180" customWidth="1"/>
    <col min="12547" max="12547" width="9" style="1180" bestFit="1" customWidth="1"/>
    <col min="12548" max="12548" width="14.83203125" style="1180" customWidth="1"/>
    <col min="12549" max="12549" width="16.6640625" style="1180" customWidth="1"/>
    <col min="12550" max="12550" width="14.83203125" style="1180" customWidth="1"/>
    <col min="12551" max="12551" width="9" style="1180" bestFit="1" customWidth="1"/>
    <col min="12552" max="12553" width="14.83203125" style="1180" customWidth="1"/>
    <col min="12554" max="12554" width="18.1640625" style="1180" customWidth="1"/>
    <col min="12555" max="12555" width="15.6640625" style="1180" customWidth="1"/>
    <col min="12556" max="12556" width="16.5" style="1180" customWidth="1"/>
    <col min="12557" max="12557" width="16.1640625" style="1180" bestFit="1" customWidth="1"/>
    <col min="12558" max="12781" width="9.33203125" style="1180"/>
    <col min="12782" max="12782" width="74.6640625" style="1180" customWidth="1"/>
    <col min="12783" max="12783" width="9" style="1180" bestFit="1" customWidth="1"/>
    <col min="12784" max="12784" width="12.6640625" style="1180" customWidth="1"/>
    <col min="12785" max="12785" width="15.33203125" style="1180" customWidth="1"/>
    <col min="12786" max="12786" width="9" style="1180" bestFit="1" customWidth="1"/>
    <col min="12787" max="12787" width="14.33203125" style="1180" customWidth="1"/>
    <col min="12788" max="12788" width="9" style="1180" bestFit="1" customWidth="1"/>
    <col min="12789" max="12789" width="14.83203125" style="1180" customWidth="1"/>
    <col min="12790" max="12790" width="9" style="1180" bestFit="1" customWidth="1"/>
    <col min="12791" max="12792" width="15.33203125" style="1180" customWidth="1"/>
    <col min="12793" max="12793" width="9" style="1180" bestFit="1" customWidth="1"/>
    <col min="12794" max="12794" width="14.83203125" style="1180" customWidth="1"/>
    <col min="12795" max="12795" width="9" style="1180" bestFit="1" customWidth="1"/>
    <col min="12796" max="12796" width="14.83203125" style="1180" customWidth="1"/>
    <col min="12797" max="12798" width="16.5" style="1180" customWidth="1"/>
    <col min="12799" max="12800" width="16.33203125" style="1180" customWidth="1"/>
    <col min="12801" max="12801" width="8" style="1180" customWidth="1"/>
    <col min="12802" max="12802" width="19.1640625" style="1180" customWidth="1"/>
    <col min="12803" max="12803" width="9" style="1180" bestFit="1" customWidth="1"/>
    <col min="12804" max="12804" width="14.83203125" style="1180" customWidth="1"/>
    <col min="12805" max="12805" width="16.6640625" style="1180" customWidth="1"/>
    <col min="12806" max="12806" width="14.83203125" style="1180" customWidth="1"/>
    <col min="12807" max="12807" width="9" style="1180" bestFit="1" customWidth="1"/>
    <col min="12808" max="12809" width="14.83203125" style="1180" customWidth="1"/>
    <col min="12810" max="12810" width="18.1640625" style="1180" customWidth="1"/>
    <col min="12811" max="12811" width="15.6640625" style="1180" customWidth="1"/>
    <col min="12812" max="12812" width="16.5" style="1180" customWidth="1"/>
    <col min="12813" max="12813" width="16.1640625" style="1180" bestFit="1" customWidth="1"/>
    <col min="12814" max="13037" width="9.33203125" style="1180"/>
    <col min="13038" max="13038" width="74.6640625" style="1180" customWidth="1"/>
    <col min="13039" max="13039" width="9" style="1180" bestFit="1" customWidth="1"/>
    <col min="13040" max="13040" width="12.6640625" style="1180" customWidth="1"/>
    <col min="13041" max="13041" width="15.33203125" style="1180" customWidth="1"/>
    <col min="13042" max="13042" width="9" style="1180" bestFit="1" customWidth="1"/>
    <col min="13043" max="13043" width="14.33203125" style="1180" customWidth="1"/>
    <col min="13044" max="13044" width="9" style="1180" bestFit="1" customWidth="1"/>
    <col min="13045" max="13045" width="14.83203125" style="1180" customWidth="1"/>
    <col min="13046" max="13046" width="9" style="1180" bestFit="1" customWidth="1"/>
    <col min="13047" max="13048" width="15.33203125" style="1180" customWidth="1"/>
    <col min="13049" max="13049" width="9" style="1180" bestFit="1" customWidth="1"/>
    <col min="13050" max="13050" width="14.83203125" style="1180" customWidth="1"/>
    <col min="13051" max="13051" width="9" style="1180" bestFit="1" customWidth="1"/>
    <col min="13052" max="13052" width="14.83203125" style="1180" customWidth="1"/>
    <col min="13053" max="13054" width="16.5" style="1180" customWidth="1"/>
    <col min="13055" max="13056" width="16.33203125" style="1180" customWidth="1"/>
    <col min="13057" max="13057" width="8" style="1180" customWidth="1"/>
    <col min="13058" max="13058" width="19.1640625" style="1180" customWidth="1"/>
    <col min="13059" max="13059" width="9" style="1180" bestFit="1" customWidth="1"/>
    <col min="13060" max="13060" width="14.83203125" style="1180" customWidth="1"/>
    <col min="13061" max="13061" width="16.6640625" style="1180" customWidth="1"/>
    <col min="13062" max="13062" width="14.83203125" style="1180" customWidth="1"/>
    <col min="13063" max="13063" width="9" style="1180" bestFit="1" customWidth="1"/>
    <col min="13064" max="13065" width="14.83203125" style="1180" customWidth="1"/>
    <col min="13066" max="13066" width="18.1640625" style="1180" customWidth="1"/>
    <col min="13067" max="13067" width="15.6640625" style="1180" customWidth="1"/>
    <col min="13068" max="13068" width="16.5" style="1180" customWidth="1"/>
    <col min="13069" max="13069" width="16.1640625" style="1180" bestFit="1" customWidth="1"/>
    <col min="13070" max="13293" width="9.33203125" style="1180"/>
    <col min="13294" max="13294" width="74.6640625" style="1180" customWidth="1"/>
    <col min="13295" max="13295" width="9" style="1180" bestFit="1" customWidth="1"/>
    <col min="13296" max="13296" width="12.6640625" style="1180" customWidth="1"/>
    <col min="13297" max="13297" width="15.33203125" style="1180" customWidth="1"/>
    <col min="13298" max="13298" width="9" style="1180" bestFit="1" customWidth="1"/>
    <col min="13299" max="13299" width="14.33203125" style="1180" customWidth="1"/>
    <col min="13300" max="13300" width="9" style="1180" bestFit="1" customWidth="1"/>
    <col min="13301" max="13301" width="14.83203125" style="1180" customWidth="1"/>
    <col min="13302" max="13302" width="9" style="1180" bestFit="1" customWidth="1"/>
    <col min="13303" max="13304" width="15.33203125" style="1180" customWidth="1"/>
    <col min="13305" max="13305" width="9" style="1180" bestFit="1" customWidth="1"/>
    <col min="13306" max="13306" width="14.83203125" style="1180" customWidth="1"/>
    <col min="13307" max="13307" width="9" style="1180" bestFit="1" customWidth="1"/>
    <col min="13308" max="13308" width="14.83203125" style="1180" customWidth="1"/>
    <col min="13309" max="13310" width="16.5" style="1180" customWidth="1"/>
    <col min="13311" max="13312" width="16.33203125" style="1180" customWidth="1"/>
    <col min="13313" max="13313" width="8" style="1180" customWidth="1"/>
    <col min="13314" max="13314" width="19.1640625" style="1180" customWidth="1"/>
    <col min="13315" max="13315" width="9" style="1180" bestFit="1" customWidth="1"/>
    <col min="13316" max="13316" width="14.83203125" style="1180" customWidth="1"/>
    <col min="13317" max="13317" width="16.6640625" style="1180" customWidth="1"/>
    <col min="13318" max="13318" width="14.83203125" style="1180" customWidth="1"/>
    <col min="13319" max="13319" width="9" style="1180" bestFit="1" customWidth="1"/>
    <col min="13320" max="13321" width="14.83203125" style="1180" customWidth="1"/>
    <col min="13322" max="13322" width="18.1640625" style="1180" customWidth="1"/>
    <col min="13323" max="13323" width="15.6640625" style="1180" customWidth="1"/>
    <col min="13324" max="13324" width="16.5" style="1180" customWidth="1"/>
    <col min="13325" max="13325" width="16.1640625" style="1180" bestFit="1" customWidth="1"/>
    <col min="13326" max="13549" width="9.33203125" style="1180"/>
    <col min="13550" max="13550" width="74.6640625" style="1180" customWidth="1"/>
    <col min="13551" max="13551" width="9" style="1180" bestFit="1" customWidth="1"/>
    <col min="13552" max="13552" width="12.6640625" style="1180" customWidth="1"/>
    <col min="13553" max="13553" width="15.33203125" style="1180" customWidth="1"/>
    <col min="13554" max="13554" width="9" style="1180" bestFit="1" customWidth="1"/>
    <col min="13555" max="13555" width="14.33203125" style="1180" customWidth="1"/>
    <col min="13556" max="13556" width="9" style="1180" bestFit="1" customWidth="1"/>
    <col min="13557" max="13557" width="14.83203125" style="1180" customWidth="1"/>
    <col min="13558" max="13558" width="9" style="1180" bestFit="1" customWidth="1"/>
    <col min="13559" max="13560" width="15.33203125" style="1180" customWidth="1"/>
    <col min="13561" max="13561" width="9" style="1180" bestFit="1" customWidth="1"/>
    <col min="13562" max="13562" width="14.83203125" style="1180" customWidth="1"/>
    <col min="13563" max="13563" width="9" style="1180" bestFit="1" customWidth="1"/>
    <col min="13564" max="13564" width="14.83203125" style="1180" customWidth="1"/>
    <col min="13565" max="13566" width="16.5" style="1180" customWidth="1"/>
    <col min="13567" max="13568" width="16.33203125" style="1180" customWidth="1"/>
    <col min="13569" max="13569" width="8" style="1180" customWidth="1"/>
    <col min="13570" max="13570" width="19.1640625" style="1180" customWidth="1"/>
    <col min="13571" max="13571" width="9" style="1180" bestFit="1" customWidth="1"/>
    <col min="13572" max="13572" width="14.83203125" style="1180" customWidth="1"/>
    <col min="13573" max="13573" width="16.6640625" style="1180" customWidth="1"/>
    <col min="13574" max="13574" width="14.83203125" style="1180" customWidth="1"/>
    <col min="13575" max="13575" width="9" style="1180" bestFit="1" customWidth="1"/>
    <col min="13576" max="13577" width="14.83203125" style="1180" customWidth="1"/>
    <col min="13578" max="13578" width="18.1640625" style="1180" customWidth="1"/>
    <col min="13579" max="13579" width="15.6640625" style="1180" customWidth="1"/>
    <col min="13580" max="13580" width="16.5" style="1180" customWidth="1"/>
    <col min="13581" max="13581" width="16.1640625" style="1180" bestFit="1" customWidth="1"/>
    <col min="13582" max="13805" width="9.33203125" style="1180"/>
    <col min="13806" max="13806" width="74.6640625" style="1180" customWidth="1"/>
    <col min="13807" max="13807" width="9" style="1180" bestFit="1" customWidth="1"/>
    <col min="13808" max="13808" width="12.6640625" style="1180" customWidth="1"/>
    <col min="13809" max="13809" width="15.33203125" style="1180" customWidth="1"/>
    <col min="13810" max="13810" width="9" style="1180" bestFit="1" customWidth="1"/>
    <col min="13811" max="13811" width="14.33203125" style="1180" customWidth="1"/>
    <col min="13812" max="13812" width="9" style="1180" bestFit="1" customWidth="1"/>
    <col min="13813" max="13813" width="14.83203125" style="1180" customWidth="1"/>
    <col min="13814" max="13814" width="9" style="1180" bestFit="1" customWidth="1"/>
    <col min="13815" max="13816" width="15.33203125" style="1180" customWidth="1"/>
    <col min="13817" max="13817" width="9" style="1180" bestFit="1" customWidth="1"/>
    <col min="13818" max="13818" width="14.83203125" style="1180" customWidth="1"/>
    <col min="13819" max="13819" width="9" style="1180" bestFit="1" customWidth="1"/>
    <col min="13820" max="13820" width="14.83203125" style="1180" customWidth="1"/>
    <col min="13821" max="13822" width="16.5" style="1180" customWidth="1"/>
    <col min="13823" max="13824" width="16.33203125" style="1180" customWidth="1"/>
    <col min="13825" max="13825" width="8" style="1180" customWidth="1"/>
    <col min="13826" max="13826" width="19.1640625" style="1180" customWidth="1"/>
    <col min="13827" max="13827" width="9" style="1180" bestFit="1" customWidth="1"/>
    <col min="13828" max="13828" width="14.83203125" style="1180" customWidth="1"/>
    <col min="13829" max="13829" width="16.6640625" style="1180" customWidth="1"/>
    <col min="13830" max="13830" width="14.83203125" style="1180" customWidth="1"/>
    <col min="13831" max="13831" width="9" style="1180" bestFit="1" customWidth="1"/>
    <col min="13832" max="13833" width="14.83203125" style="1180" customWidth="1"/>
    <col min="13834" max="13834" width="18.1640625" style="1180" customWidth="1"/>
    <col min="13835" max="13835" width="15.6640625" style="1180" customWidth="1"/>
    <col min="13836" max="13836" width="16.5" style="1180" customWidth="1"/>
    <col min="13837" max="13837" width="16.1640625" style="1180" bestFit="1" customWidth="1"/>
    <col min="13838" max="14061" width="9.33203125" style="1180"/>
    <col min="14062" max="14062" width="74.6640625" style="1180" customWidth="1"/>
    <col min="14063" max="14063" width="9" style="1180" bestFit="1" customWidth="1"/>
    <col min="14064" max="14064" width="12.6640625" style="1180" customWidth="1"/>
    <col min="14065" max="14065" width="15.33203125" style="1180" customWidth="1"/>
    <col min="14066" max="14066" width="9" style="1180" bestFit="1" customWidth="1"/>
    <col min="14067" max="14067" width="14.33203125" style="1180" customWidth="1"/>
    <col min="14068" max="14068" width="9" style="1180" bestFit="1" customWidth="1"/>
    <col min="14069" max="14069" width="14.83203125" style="1180" customWidth="1"/>
    <col min="14070" max="14070" width="9" style="1180" bestFit="1" customWidth="1"/>
    <col min="14071" max="14072" width="15.33203125" style="1180" customWidth="1"/>
    <col min="14073" max="14073" width="9" style="1180" bestFit="1" customWidth="1"/>
    <col min="14074" max="14074" width="14.83203125" style="1180" customWidth="1"/>
    <col min="14075" max="14075" width="9" style="1180" bestFit="1" customWidth="1"/>
    <col min="14076" max="14076" width="14.83203125" style="1180" customWidth="1"/>
    <col min="14077" max="14078" width="16.5" style="1180" customWidth="1"/>
    <col min="14079" max="14080" width="16.33203125" style="1180" customWidth="1"/>
    <col min="14081" max="14081" width="8" style="1180" customWidth="1"/>
    <col min="14082" max="14082" width="19.1640625" style="1180" customWidth="1"/>
    <col min="14083" max="14083" width="9" style="1180" bestFit="1" customWidth="1"/>
    <col min="14084" max="14084" width="14.83203125" style="1180" customWidth="1"/>
    <col min="14085" max="14085" width="16.6640625" style="1180" customWidth="1"/>
    <col min="14086" max="14086" width="14.83203125" style="1180" customWidth="1"/>
    <col min="14087" max="14087" width="9" style="1180" bestFit="1" customWidth="1"/>
    <col min="14088" max="14089" width="14.83203125" style="1180" customWidth="1"/>
    <col min="14090" max="14090" width="18.1640625" style="1180" customWidth="1"/>
    <col min="14091" max="14091" width="15.6640625" style="1180" customWidth="1"/>
    <col min="14092" max="14092" width="16.5" style="1180" customWidth="1"/>
    <col min="14093" max="14093" width="16.1640625" style="1180" bestFit="1" customWidth="1"/>
    <col min="14094" max="14317" width="9.33203125" style="1180"/>
    <col min="14318" max="14318" width="74.6640625" style="1180" customWidth="1"/>
    <col min="14319" max="14319" width="9" style="1180" bestFit="1" customWidth="1"/>
    <col min="14320" max="14320" width="12.6640625" style="1180" customWidth="1"/>
    <col min="14321" max="14321" width="15.33203125" style="1180" customWidth="1"/>
    <col min="14322" max="14322" width="9" style="1180" bestFit="1" customWidth="1"/>
    <col min="14323" max="14323" width="14.33203125" style="1180" customWidth="1"/>
    <col min="14324" max="14324" width="9" style="1180" bestFit="1" customWidth="1"/>
    <col min="14325" max="14325" width="14.83203125" style="1180" customWidth="1"/>
    <col min="14326" max="14326" width="9" style="1180" bestFit="1" customWidth="1"/>
    <col min="14327" max="14328" width="15.33203125" style="1180" customWidth="1"/>
    <col min="14329" max="14329" width="9" style="1180" bestFit="1" customWidth="1"/>
    <col min="14330" max="14330" width="14.83203125" style="1180" customWidth="1"/>
    <col min="14331" max="14331" width="9" style="1180" bestFit="1" customWidth="1"/>
    <col min="14332" max="14332" width="14.83203125" style="1180" customWidth="1"/>
    <col min="14333" max="14334" width="16.5" style="1180" customWidth="1"/>
    <col min="14335" max="14336" width="16.33203125" style="1180" customWidth="1"/>
    <col min="14337" max="14337" width="8" style="1180" customWidth="1"/>
    <col min="14338" max="14338" width="19.1640625" style="1180" customWidth="1"/>
    <col min="14339" max="14339" width="9" style="1180" bestFit="1" customWidth="1"/>
    <col min="14340" max="14340" width="14.83203125" style="1180" customWidth="1"/>
    <col min="14341" max="14341" width="16.6640625" style="1180" customWidth="1"/>
    <col min="14342" max="14342" width="14.83203125" style="1180" customWidth="1"/>
    <col min="14343" max="14343" width="9" style="1180" bestFit="1" customWidth="1"/>
    <col min="14344" max="14345" width="14.83203125" style="1180" customWidth="1"/>
    <col min="14346" max="14346" width="18.1640625" style="1180" customWidth="1"/>
    <col min="14347" max="14347" width="15.6640625" style="1180" customWidth="1"/>
    <col min="14348" max="14348" width="16.5" style="1180" customWidth="1"/>
    <col min="14349" max="14349" width="16.1640625" style="1180" bestFit="1" customWidth="1"/>
    <col min="14350" max="14573" width="9.33203125" style="1180"/>
    <col min="14574" max="14574" width="74.6640625" style="1180" customWidth="1"/>
    <col min="14575" max="14575" width="9" style="1180" bestFit="1" customWidth="1"/>
    <col min="14576" max="14576" width="12.6640625" style="1180" customWidth="1"/>
    <col min="14577" max="14577" width="15.33203125" style="1180" customWidth="1"/>
    <col min="14578" max="14578" width="9" style="1180" bestFit="1" customWidth="1"/>
    <col min="14579" max="14579" width="14.33203125" style="1180" customWidth="1"/>
    <col min="14580" max="14580" width="9" style="1180" bestFit="1" customWidth="1"/>
    <col min="14581" max="14581" width="14.83203125" style="1180" customWidth="1"/>
    <col min="14582" max="14582" width="9" style="1180" bestFit="1" customWidth="1"/>
    <col min="14583" max="14584" width="15.33203125" style="1180" customWidth="1"/>
    <col min="14585" max="14585" width="9" style="1180" bestFit="1" customWidth="1"/>
    <col min="14586" max="14586" width="14.83203125" style="1180" customWidth="1"/>
    <col min="14587" max="14587" width="9" style="1180" bestFit="1" customWidth="1"/>
    <col min="14588" max="14588" width="14.83203125" style="1180" customWidth="1"/>
    <col min="14589" max="14590" width="16.5" style="1180" customWidth="1"/>
    <col min="14591" max="14592" width="16.33203125" style="1180" customWidth="1"/>
    <col min="14593" max="14593" width="8" style="1180" customWidth="1"/>
    <col min="14594" max="14594" width="19.1640625" style="1180" customWidth="1"/>
    <col min="14595" max="14595" width="9" style="1180" bestFit="1" customWidth="1"/>
    <col min="14596" max="14596" width="14.83203125" style="1180" customWidth="1"/>
    <col min="14597" max="14597" width="16.6640625" style="1180" customWidth="1"/>
    <col min="14598" max="14598" width="14.83203125" style="1180" customWidth="1"/>
    <col min="14599" max="14599" width="9" style="1180" bestFit="1" customWidth="1"/>
    <col min="14600" max="14601" width="14.83203125" style="1180" customWidth="1"/>
    <col min="14602" max="14602" width="18.1640625" style="1180" customWidth="1"/>
    <col min="14603" max="14603" width="15.6640625" style="1180" customWidth="1"/>
    <col min="14604" max="14604" width="16.5" style="1180" customWidth="1"/>
    <col min="14605" max="14605" width="16.1640625" style="1180" bestFit="1" customWidth="1"/>
    <col min="14606" max="14829" width="9.33203125" style="1180"/>
    <col min="14830" max="14830" width="74.6640625" style="1180" customWidth="1"/>
    <col min="14831" max="14831" width="9" style="1180" bestFit="1" customWidth="1"/>
    <col min="14832" max="14832" width="12.6640625" style="1180" customWidth="1"/>
    <col min="14833" max="14833" width="15.33203125" style="1180" customWidth="1"/>
    <col min="14834" max="14834" width="9" style="1180" bestFit="1" customWidth="1"/>
    <col min="14835" max="14835" width="14.33203125" style="1180" customWidth="1"/>
    <col min="14836" max="14836" width="9" style="1180" bestFit="1" customWidth="1"/>
    <col min="14837" max="14837" width="14.83203125" style="1180" customWidth="1"/>
    <col min="14838" max="14838" width="9" style="1180" bestFit="1" customWidth="1"/>
    <col min="14839" max="14840" width="15.33203125" style="1180" customWidth="1"/>
    <col min="14841" max="14841" width="9" style="1180" bestFit="1" customWidth="1"/>
    <col min="14842" max="14842" width="14.83203125" style="1180" customWidth="1"/>
    <col min="14843" max="14843" width="9" style="1180" bestFit="1" customWidth="1"/>
    <col min="14844" max="14844" width="14.83203125" style="1180" customWidth="1"/>
    <col min="14845" max="14846" width="16.5" style="1180" customWidth="1"/>
    <col min="14847" max="14848" width="16.33203125" style="1180" customWidth="1"/>
    <col min="14849" max="14849" width="8" style="1180" customWidth="1"/>
    <col min="14850" max="14850" width="19.1640625" style="1180" customWidth="1"/>
    <col min="14851" max="14851" width="9" style="1180" bestFit="1" customWidth="1"/>
    <col min="14852" max="14852" width="14.83203125" style="1180" customWidth="1"/>
    <col min="14853" max="14853" width="16.6640625" style="1180" customWidth="1"/>
    <col min="14854" max="14854" width="14.83203125" style="1180" customWidth="1"/>
    <col min="14855" max="14855" width="9" style="1180" bestFit="1" customWidth="1"/>
    <col min="14856" max="14857" width="14.83203125" style="1180" customWidth="1"/>
    <col min="14858" max="14858" width="18.1640625" style="1180" customWidth="1"/>
    <col min="14859" max="14859" width="15.6640625" style="1180" customWidth="1"/>
    <col min="14860" max="14860" width="16.5" style="1180" customWidth="1"/>
    <col min="14861" max="14861" width="16.1640625" style="1180" bestFit="1" customWidth="1"/>
    <col min="14862" max="15085" width="9.33203125" style="1180"/>
    <col min="15086" max="15086" width="74.6640625" style="1180" customWidth="1"/>
    <col min="15087" max="15087" width="9" style="1180" bestFit="1" customWidth="1"/>
    <col min="15088" max="15088" width="12.6640625" style="1180" customWidth="1"/>
    <col min="15089" max="15089" width="15.33203125" style="1180" customWidth="1"/>
    <col min="15090" max="15090" width="9" style="1180" bestFit="1" customWidth="1"/>
    <col min="15091" max="15091" width="14.33203125" style="1180" customWidth="1"/>
    <col min="15092" max="15092" width="9" style="1180" bestFit="1" customWidth="1"/>
    <col min="15093" max="15093" width="14.83203125" style="1180" customWidth="1"/>
    <col min="15094" max="15094" width="9" style="1180" bestFit="1" customWidth="1"/>
    <col min="15095" max="15096" width="15.33203125" style="1180" customWidth="1"/>
    <col min="15097" max="15097" width="9" style="1180" bestFit="1" customWidth="1"/>
    <col min="15098" max="15098" width="14.83203125" style="1180" customWidth="1"/>
    <col min="15099" max="15099" width="9" style="1180" bestFit="1" customWidth="1"/>
    <col min="15100" max="15100" width="14.83203125" style="1180" customWidth="1"/>
    <col min="15101" max="15102" width="16.5" style="1180" customWidth="1"/>
    <col min="15103" max="15104" width="16.33203125" style="1180" customWidth="1"/>
    <col min="15105" max="15105" width="8" style="1180" customWidth="1"/>
    <col min="15106" max="15106" width="19.1640625" style="1180" customWidth="1"/>
    <col min="15107" max="15107" width="9" style="1180" bestFit="1" customWidth="1"/>
    <col min="15108" max="15108" width="14.83203125" style="1180" customWidth="1"/>
    <col min="15109" max="15109" width="16.6640625" style="1180" customWidth="1"/>
    <col min="15110" max="15110" width="14.83203125" style="1180" customWidth="1"/>
    <col min="15111" max="15111" width="9" style="1180" bestFit="1" customWidth="1"/>
    <col min="15112" max="15113" width="14.83203125" style="1180" customWidth="1"/>
    <col min="15114" max="15114" width="18.1640625" style="1180" customWidth="1"/>
    <col min="15115" max="15115" width="15.6640625" style="1180" customWidth="1"/>
    <col min="15116" max="15116" width="16.5" style="1180" customWidth="1"/>
    <col min="15117" max="15117" width="16.1640625" style="1180" bestFit="1" customWidth="1"/>
    <col min="15118" max="15341" width="9.33203125" style="1180"/>
    <col min="15342" max="15342" width="74.6640625" style="1180" customWidth="1"/>
    <col min="15343" max="15343" width="9" style="1180" bestFit="1" customWidth="1"/>
    <col min="15344" max="15344" width="12.6640625" style="1180" customWidth="1"/>
    <col min="15345" max="15345" width="15.33203125" style="1180" customWidth="1"/>
    <col min="15346" max="15346" width="9" style="1180" bestFit="1" customWidth="1"/>
    <col min="15347" max="15347" width="14.33203125" style="1180" customWidth="1"/>
    <col min="15348" max="15348" width="9" style="1180" bestFit="1" customWidth="1"/>
    <col min="15349" max="15349" width="14.83203125" style="1180" customWidth="1"/>
    <col min="15350" max="15350" width="9" style="1180" bestFit="1" customWidth="1"/>
    <col min="15351" max="15352" width="15.33203125" style="1180" customWidth="1"/>
    <col min="15353" max="15353" width="9" style="1180" bestFit="1" customWidth="1"/>
    <col min="15354" max="15354" width="14.83203125" style="1180" customWidth="1"/>
    <col min="15355" max="15355" width="9" style="1180" bestFit="1" customWidth="1"/>
    <col min="15356" max="15356" width="14.83203125" style="1180" customWidth="1"/>
    <col min="15357" max="15358" width="16.5" style="1180" customWidth="1"/>
    <col min="15359" max="15360" width="16.33203125" style="1180" customWidth="1"/>
    <col min="15361" max="15361" width="8" style="1180" customWidth="1"/>
    <col min="15362" max="15362" width="19.1640625" style="1180" customWidth="1"/>
    <col min="15363" max="15363" width="9" style="1180" bestFit="1" customWidth="1"/>
    <col min="15364" max="15364" width="14.83203125" style="1180" customWidth="1"/>
    <col min="15365" max="15365" width="16.6640625" style="1180" customWidth="1"/>
    <col min="15366" max="15366" width="14.83203125" style="1180" customWidth="1"/>
    <col min="15367" max="15367" width="9" style="1180" bestFit="1" customWidth="1"/>
    <col min="15368" max="15369" width="14.83203125" style="1180" customWidth="1"/>
    <col min="15370" max="15370" width="18.1640625" style="1180" customWidth="1"/>
    <col min="15371" max="15371" width="15.6640625" style="1180" customWidth="1"/>
    <col min="15372" max="15372" width="16.5" style="1180" customWidth="1"/>
    <col min="15373" max="15373" width="16.1640625" style="1180" bestFit="1" customWidth="1"/>
    <col min="15374" max="15597" width="9.33203125" style="1180"/>
    <col min="15598" max="15598" width="74.6640625" style="1180" customWidth="1"/>
    <col min="15599" max="15599" width="9" style="1180" bestFit="1" customWidth="1"/>
    <col min="15600" max="15600" width="12.6640625" style="1180" customWidth="1"/>
    <col min="15601" max="15601" width="15.33203125" style="1180" customWidth="1"/>
    <col min="15602" max="15602" width="9" style="1180" bestFit="1" customWidth="1"/>
    <col min="15603" max="15603" width="14.33203125" style="1180" customWidth="1"/>
    <col min="15604" max="15604" width="9" style="1180" bestFit="1" customWidth="1"/>
    <col min="15605" max="15605" width="14.83203125" style="1180" customWidth="1"/>
    <col min="15606" max="15606" width="9" style="1180" bestFit="1" customWidth="1"/>
    <col min="15607" max="15608" width="15.33203125" style="1180" customWidth="1"/>
    <col min="15609" max="15609" width="9" style="1180" bestFit="1" customWidth="1"/>
    <col min="15610" max="15610" width="14.83203125" style="1180" customWidth="1"/>
    <col min="15611" max="15611" width="9" style="1180" bestFit="1" customWidth="1"/>
    <col min="15612" max="15612" width="14.83203125" style="1180" customWidth="1"/>
    <col min="15613" max="15614" width="16.5" style="1180" customWidth="1"/>
    <col min="15615" max="15616" width="16.33203125" style="1180" customWidth="1"/>
    <col min="15617" max="15617" width="8" style="1180" customWidth="1"/>
    <col min="15618" max="15618" width="19.1640625" style="1180" customWidth="1"/>
    <col min="15619" max="15619" width="9" style="1180" bestFit="1" customWidth="1"/>
    <col min="15620" max="15620" width="14.83203125" style="1180" customWidth="1"/>
    <col min="15621" max="15621" width="16.6640625" style="1180" customWidth="1"/>
    <col min="15622" max="15622" width="14.83203125" style="1180" customWidth="1"/>
    <col min="15623" max="15623" width="9" style="1180" bestFit="1" customWidth="1"/>
    <col min="15624" max="15625" width="14.83203125" style="1180" customWidth="1"/>
    <col min="15626" max="15626" width="18.1640625" style="1180" customWidth="1"/>
    <col min="15627" max="15627" width="15.6640625" style="1180" customWidth="1"/>
    <col min="15628" max="15628" width="16.5" style="1180" customWidth="1"/>
    <col min="15629" max="15629" width="16.1640625" style="1180" bestFit="1" customWidth="1"/>
    <col min="15630" max="15853" width="9.33203125" style="1180"/>
    <col min="15854" max="15854" width="74.6640625" style="1180" customWidth="1"/>
    <col min="15855" max="15855" width="9" style="1180" bestFit="1" customWidth="1"/>
    <col min="15856" max="15856" width="12.6640625" style="1180" customWidth="1"/>
    <col min="15857" max="15857" width="15.33203125" style="1180" customWidth="1"/>
    <col min="15858" max="15858" width="9" style="1180" bestFit="1" customWidth="1"/>
    <col min="15859" max="15859" width="14.33203125" style="1180" customWidth="1"/>
    <col min="15860" max="15860" width="9" style="1180" bestFit="1" customWidth="1"/>
    <col min="15861" max="15861" width="14.83203125" style="1180" customWidth="1"/>
    <col min="15862" max="15862" width="9" style="1180" bestFit="1" customWidth="1"/>
    <col min="15863" max="15864" width="15.33203125" style="1180" customWidth="1"/>
    <col min="15865" max="15865" width="9" style="1180" bestFit="1" customWidth="1"/>
    <col min="15866" max="15866" width="14.83203125" style="1180" customWidth="1"/>
    <col min="15867" max="15867" width="9" style="1180" bestFit="1" customWidth="1"/>
    <col min="15868" max="15868" width="14.83203125" style="1180" customWidth="1"/>
    <col min="15869" max="15870" width="16.5" style="1180" customWidth="1"/>
    <col min="15871" max="15872" width="16.33203125" style="1180" customWidth="1"/>
    <col min="15873" max="15873" width="8" style="1180" customWidth="1"/>
    <col min="15874" max="15874" width="19.1640625" style="1180" customWidth="1"/>
    <col min="15875" max="15875" width="9" style="1180" bestFit="1" customWidth="1"/>
    <col min="15876" max="15876" width="14.83203125" style="1180" customWidth="1"/>
    <col min="15877" max="15877" width="16.6640625" style="1180" customWidth="1"/>
    <col min="15878" max="15878" width="14.83203125" style="1180" customWidth="1"/>
    <col min="15879" max="15879" width="9" style="1180" bestFit="1" customWidth="1"/>
    <col min="15880" max="15881" width="14.83203125" style="1180" customWidth="1"/>
    <col min="15882" max="15882" width="18.1640625" style="1180" customWidth="1"/>
    <col min="15883" max="15883" width="15.6640625" style="1180" customWidth="1"/>
    <col min="15884" max="15884" width="16.5" style="1180" customWidth="1"/>
    <col min="15885" max="15885" width="16.1640625" style="1180" bestFit="1" customWidth="1"/>
    <col min="15886" max="16109" width="9.33203125" style="1180"/>
    <col min="16110" max="16110" width="74.6640625" style="1180" customWidth="1"/>
    <col min="16111" max="16111" width="9" style="1180" bestFit="1" customWidth="1"/>
    <col min="16112" max="16112" width="12.6640625" style="1180" customWidth="1"/>
    <col min="16113" max="16113" width="15.33203125" style="1180" customWidth="1"/>
    <col min="16114" max="16114" width="9" style="1180" bestFit="1" customWidth="1"/>
    <col min="16115" max="16115" width="14.33203125" style="1180" customWidth="1"/>
    <col min="16116" max="16116" width="9" style="1180" bestFit="1" customWidth="1"/>
    <col min="16117" max="16117" width="14.83203125" style="1180" customWidth="1"/>
    <col min="16118" max="16118" width="9" style="1180" bestFit="1" customWidth="1"/>
    <col min="16119" max="16120" width="15.33203125" style="1180" customWidth="1"/>
    <col min="16121" max="16121" width="9" style="1180" bestFit="1" customWidth="1"/>
    <col min="16122" max="16122" width="14.83203125" style="1180" customWidth="1"/>
    <col min="16123" max="16123" width="9" style="1180" bestFit="1" customWidth="1"/>
    <col min="16124" max="16124" width="14.83203125" style="1180" customWidth="1"/>
    <col min="16125" max="16126" width="16.5" style="1180" customWidth="1"/>
    <col min="16127" max="16128" width="16.33203125" style="1180" customWidth="1"/>
    <col min="16129" max="16129" width="8" style="1180" customWidth="1"/>
    <col min="16130" max="16130" width="19.1640625" style="1180" customWidth="1"/>
    <col min="16131" max="16131" width="9" style="1180" bestFit="1" customWidth="1"/>
    <col min="16132" max="16132" width="14.83203125" style="1180" customWidth="1"/>
    <col min="16133" max="16133" width="16.6640625" style="1180" customWidth="1"/>
    <col min="16134" max="16134" width="14.83203125" style="1180" customWidth="1"/>
    <col min="16135" max="16135" width="9" style="1180" bestFit="1" customWidth="1"/>
    <col min="16136" max="16137" width="14.83203125" style="1180" customWidth="1"/>
    <col min="16138" max="16138" width="18.1640625" style="1180" customWidth="1"/>
    <col min="16139" max="16139" width="15.6640625" style="1180" customWidth="1"/>
    <col min="16140" max="16140" width="16.5" style="1180" customWidth="1"/>
    <col min="16141" max="16141" width="16.1640625" style="1180" bestFit="1" customWidth="1"/>
    <col min="16142" max="16384" width="9.33203125" style="1180"/>
  </cols>
  <sheetData>
    <row r="1" spans="1:14" x14ac:dyDescent="0.25">
      <c r="M1" s="1223"/>
    </row>
    <row r="2" spans="1:14" ht="72.75" customHeight="1" x14ac:dyDescent="0.3">
      <c r="A2" s="2868" t="s">
        <v>364</v>
      </c>
      <c r="B2" s="2868"/>
      <c r="C2" s="2868"/>
      <c r="D2" s="2868"/>
      <c r="E2" s="2868"/>
      <c r="F2" s="2868"/>
      <c r="G2" s="2868"/>
      <c r="H2" s="2868"/>
      <c r="I2" s="2868"/>
      <c r="J2" s="2868"/>
      <c r="K2" s="2868"/>
      <c r="L2" s="2868"/>
      <c r="M2" s="2868"/>
      <c r="N2" s="2868"/>
    </row>
    <row r="3" spans="1:14" ht="23.25" customHeight="1" x14ac:dyDescent="0.3">
      <c r="A3" s="1224"/>
      <c r="B3" s="1224"/>
      <c r="C3" s="1224"/>
      <c r="D3" s="1224"/>
      <c r="E3" s="1224"/>
      <c r="F3" s="1224"/>
      <c r="G3" s="1224"/>
      <c r="H3" s="1224"/>
      <c r="I3" s="1224"/>
      <c r="J3" s="1224"/>
      <c r="K3" s="1224"/>
      <c r="L3" s="1224"/>
      <c r="M3" s="1224"/>
      <c r="N3" s="1224"/>
    </row>
    <row r="4" spans="1:14" ht="21" customHeight="1" x14ac:dyDescent="0.3">
      <c r="A4" s="2868" t="s">
        <v>1400</v>
      </c>
      <c r="B4" s="2868"/>
      <c r="C4" s="2868"/>
      <c r="D4" s="2868"/>
      <c r="E4" s="2868"/>
      <c r="F4" s="2868"/>
      <c r="G4" s="2868"/>
      <c r="H4" s="2868"/>
      <c r="I4" s="2868"/>
      <c r="J4" s="2868"/>
      <c r="K4" s="2868"/>
      <c r="L4" s="2868"/>
      <c r="M4" s="2868"/>
      <c r="N4" s="2868"/>
    </row>
    <row r="5" spans="1:14" x14ac:dyDescent="0.25">
      <c r="N5" s="1225">
        <v>43913</v>
      </c>
    </row>
    <row r="6" spans="1:14" ht="15.75" customHeight="1" x14ac:dyDescent="0.25">
      <c r="A6" s="2864" t="s">
        <v>365</v>
      </c>
      <c r="B6" s="2862" t="s">
        <v>366</v>
      </c>
      <c r="C6" s="2869"/>
      <c r="D6" s="2869"/>
      <c r="E6" s="2869"/>
      <c r="F6" s="2869"/>
      <c r="G6" s="2869"/>
      <c r="H6" s="2863"/>
      <c r="I6" s="2864" t="s">
        <v>367</v>
      </c>
      <c r="J6" s="2864"/>
      <c r="K6" s="2864"/>
      <c r="L6" s="2864" t="s">
        <v>368</v>
      </c>
      <c r="M6" s="2862" t="s">
        <v>369</v>
      </c>
      <c r="N6" s="2870" t="s">
        <v>1401</v>
      </c>
    </row>
    <row r="7" spans="1:14" ht="15.75" customHeight="1" x14ac:dyDescent="0.25">
      <c r="A7" s="2864"/>
      <c r="B7" s="2862" t="s">
        <v>370</v>
      </c>
      <c r="C7" s="2869"/>
      <c r="D7" s="2869"/>
      <c r="E7" s="2869"/>
      <c r="F7" s="2869"/>
      <c r="G7" s="2869"/>
      <c r="H7" s="2863"/>
      <c r="I7" s="2864"/>
      <c r="J7" s="2864"/>
      <c r="K7" s="2864"/>
      <c r="L7" s="2864"/>
      <c r="M7" s="2862"/>
      <c r="N7" s="2871"/>
    </row>
    <row r="8" spans="1:14" ht="15.75" customHeight="1" x14ac:dyDescent="0.25">
      <c r="A8" s="2864"/>
      <c r="B8" s="2862" t="s">
        <v>371</v>
      </c>
      <c r="C8" s="2869"/>
      <c r="D8" s="2863"/>
      <c r="E8" s="2862" t="s">
        <v>372</v>
      </c>
      <c r="F8" s="2863"/>
      <c r="G8" s="2862" t="s">
        <v>373</v>
      </c>
      <c r="H8" s="2863"/>
      <c r="I8" s="2864" t="s">
        <v>374</v>
      </c>
      <c r="J8" s="2864"/>
      <c r="K8" s="2864"/>
      <c r="L8" s="2864"/>
      <c r="M8" s="2862"/>
      <c r="N8" s="2871"/>
    </row>
    <row r="9" spans="1:14" ht="15.75" customHeight="1" x14ac:dyDescent="0.25">
      <c r="A9" s="2864"/>
      <c r="B9" s="2865" t="s">
        <v>375</v>
      </c>
      <c r="C9" s="2865" t="s">
        <v>376</v>
      </c>
      <c r="D9" s="2865" t="s">
        <v>377</v>
      </c>
      <c r="E9" s="2865" t="s">
        <v>375</v>
      </c>
      <c r="F9" s="2865" t="s">
        <v>377</v>
      </c>
      <c r="G9" s="2865" t="s">
        <v>375</v>
      </c>
      <c r="H9" s="2865" t="s">
        <v>377</v>
      </c>
      <c r="I9" s="2864" t="s">
        <v>375</v>
      </c>
      <c r="J9" s="2864" t="s">
        <v>376</v>
      </c>
      <c r="K9" s="2865" t="s">
        <v>360</v>
      </c>
      <c r="L9" s="2864"/>
      <c r="M9" s="2862"/>
      <c r="N9" s="2871"/>
    </row>
    <row r="10" spans="1:14" x14ac:dyDescent="0.25">
      <c r="A10" s="2864"/>
      <c r="B10" s="2866"/>
      <c r="C10" s="2866"/>
      <c r="D10" s="2866"/>
      <c r="E10" s="2866"/>
      <c r="F10" s="2866"/>
      <c r="G10" s="2866"/>
      <c r="H10" s="2866"/>
      <c r="I10" s="2864"/>
      <c r="J10" s="2864"/>
      <c r="K10" s="2866"/>
      <c r="L10" s="2864"/>
      <c r="M10" s="2862"/>
      <c r="N10" s="2872"/>
    </row>
    <row r="11" spans="1:14" x14ac:dyDescent="0.25">
      <c r="A11" s="1226">
        <v>1</v>
      </c>
      <c r="B11" s="1226">
        <v>2</v>
      </c>
      <c r="C11" s="1226">
        <v>3</v>
      </c>
      <c r="D11" s="1226">
        <v>4</v>
      </c>
      <c r="E11" s="1226">
        <v>5</v>
      </c>
      <c r="F11" s="1226">
        <v>6</v>
      </c>
      <c r="G11" s="1226">
        <v>7</v>
      </c>
      <c r="H11" s="1226">
        <v>8</v>
      </c>
      <c r="I11" s="1226">
        <v>2</v>
      </c>
      <c r="J11" s="1226">
        <v>3</v>
      </c>
      <c r="K11" s="1226">
        <v>4</v>
      </c>
      <c r="L11" s="1226">
        <v>5</v>
      </c>
      <c r="M11" s="1227">
        <v>6</v>
      </c>
      <c r="N11" s="1226">
        <v>7</v>
      </c>
    </row>
    <row r="12" spans="1:14" s="1231" customFormat="1" x14ac:dyDescent="0.25">
      <c r="A12" s="1228" t="s">
        <v>378</v>
      </c>
      <c r="B12" s="1228"/>
      <c r="C12" s="1228"/>
      <c r="D12" s="1229"/>
      <c r="E12" s="1229"/>
      <c r="F12" s="1229"/>
      <c r="G12" s="1229"/>
      <c r="H12" s="1229"/>
      <c r="I12" s="1229"/>
      <c r="J12" s="1229"/>
      <c r="K12" s="1229"/>
      <c r="L12" s="1229"/>
      <c r="M12" s="1230"/>
      <c r="N12" s="1229"/>
    </row>
    <row r="13" spans="1:14" x14ac:dyDescent="0.25">
      <c r="A13" s="1232" t="s">
        <v>1402</v>
      </c>
      <c r="B13" s="1232"/>
      <c r="C13" s="1232"/>
      <c r="D13" s="1233"/>
      <c r="E13" s="1233"/>
      <c r="F13" s="1233"/>
      <c r="G13" s="1233"/>
      <c r="H13" s="1233"/>
      <c r="I13" s="1233">
        <v>2</v>
      </c>
      <c r="J13" s="1233">
        <f>K13/I13*1000</f>
        <v>15000</v>
      </c>
      <c r="K13" s="1234">
        <f>30000/1000</f>
        <v>30</v>
      </c>
      <c r="L13" s="1234">
        <v>30</v>
      </c>
      <c r="M13" s="1235">
        <v>30</v>
      </c>
      <c r="N13" s="1232"/>
    </row>
    <row r="14" spans="1:14" x14ac:dyDescent="0.25">
      <c r="A14" s="1232" t="s">
        <v>1403</v>
      </c>
      <c r="B14" s="1232"/>
      <c r="C14" s="1232"/>
      <c r="D14" s="1233"/>
      <c r="E14" s="1233"/>
      <c r="F14" s="1233"/>
      <c r="G14" s="1233"/>
      <c r="H14" s="1233"/>
      <c r="I14" s="1233">
        <v>50</v>
      </c>
      <c r="J14" s="1233">
        <f>K14/I14*1000</f>
        <v>2000</v>
      </c>
      <c r="K14" s="1234">
        <f>100000/1000</f>
        <v>100</v>
      </c>
      <c r="L14" s="1234">
        <v>100</v>
      </c>
      <c r="M14" s="1235">
        <v>100</v>
      </c>
      <c r="N14" s="1233"/>
    </row>
    <row r="15" spans="1:14" x14ac:dyDescent="0.25">
      <c r="A15" s="1232" t="s">
        <v>1404</v>
      </c>
      <c r="B15" s="1232"/>
      <c r="C15" s="1232"/>
      <c r="D15" s="1233"/>
      <c r="E15" s="1233"/>
      <c r="F15" s="1233"/>
      <c r="G15" s="1233"/>
      <c r="H15" s="1233"/>
      <c r="I15" s="1233">
        <v>10</v>
      </c>
      <c r="J15" s="1233">
        <f t="shared" ref="J15:J27" si="0">K15/I15*1000</f>
        <v>10000</v>
      </c>
      <c r="K15" s="1234">
        <f t="shared" ref="K15" si="1">100000/1000</f>
        <v>100</v>
      </c>
      <c r="L15" s="1234">
        <v>100</v>
      </c>
      <c r="M15" s="1235">
        <v>100</v>
      </c>
      <c r="N15" s="1233"/>
    </row>
    <row r="16" spans="1:14" x14ac:dyDescent="0.25">
      <c r="A16" s="1232" t="s">
        <v>1405</v>
      </c>
      <c r="B16" s="1232"/>
      <c r="C16" s="1232"/>
      <c r="D16" s="1233"/>
      <c r="E16" s="1233"/>
      <c r="F16" s="1233"/>
      <c r="G16" s="1233"/>
      <c r="H16" s="1233"/>
      <c r="I16" s="1233">
        <v>15</v>
      </c>
      <c r="J16" s="1233">
        <f t="shared" si="0"/>
        <v>7706.6666666666697</v>
      </c>
      <c r="K16" s="1234">
        <f>115600/1000</f>
        <v>115.6</v>
      </c>
      <c r="L16" s="1234">
        <v>115.6</v>
      </c>
      <c r="M16" s="1235">
        <v>115.6</v>
      </c>
      <c r="N16" s="1233"/>
    </row>
    <row r="17" spans="1:14" x14ac:dyDescent="0.25">
      <c r="A17" s="1232" t="s">
        <v>1406</v>
      </c>
      <c r="B17" s="1232"/>
      <c r="C17" s="1232"/>
      <c r="D17" s="1233"/>
      <c r="E17" s="1233"/>
      <c r="F17" s="1233"/>
      <c r="G17" s="1233"/>
      <c r="H17" s="1233"/>
      <c r="I17" s="1233">
        <v>30</v>
      </c>
      <c r="J17" s="1233">
        <f t="shared" si="0"/>
        <v>2550</v>
      </c>
      <c r="K17" s="1234">
        <f>100000/1000-23.5</f>
        <v>76.5</v>
      </c>
      <c r="L17" s="1234">
        <v>100</v>
      </c>
      <c r="M17" s="1235">
        <v>100</v>
      </c>
      <c r="N17" s="1233"/>
    </row>
    <row r="18" spans="1:14" x14ac:dyDescent="0.25">
      <c r="A18" s="1232" t="s">
        <v>1407</v>
      </c>
      <c r="B18" s="1232"/>
      <c r="C18" s="1232"/>
      <c r="D18" s="1233"/>
      <c r="E18" s="1233"/>
      <c r="F18" s="1233"/>
      <c r="G18" s="1233"/>
      <c r="H18" s="1233"/>
      <c r="I18" s="1233">
        <v>2</v>
      </c>
      <c r="J18" s="1233">
        <f t="shared" si="0"/>
        <v>20000</v>
      </c>
      <c r="K18" s="1234">
        <f>40000/1000</f>
        <v>40</v>
      </c>
      <c r="L18" s="1234">
        <v>40</v>
      </c>
      <c r="M18" s="1235">
        <v>40</v>
      </c>
      <c r="N18" s="1233"/>
    </row>
    <row r="19" spans="1:14" x14ac:dyDescent="0.25">
      <c r="A19" s="1232" t="s">
        <v>1408</v>
      </c>
      <c r="B19" s="1232"/>
      <c r="C19" s="1232"/>
      <c r="D19" s="1233"/>
      <c r="E19" s="1233"/>
      <c r="F19" s="1233"/>
      <c r="G19" s="1233"/>
      <c r="H19" s="1233"/>
      <c r="I19" s="1233">
        <v>40</v>
      </c>
      <c r="J19" s="1233">
        <f t="shared" si="0"/>
        <v>2500</v>
      </c>
      <c r="K19" s="1234">
        <f>100000/1000</f>
        <v>100</v>
      </c>
      <c r="L19" s="1234">
        <v>100</v>
      </c>
      <c r="M19" s="1235">
        <v>100</v>
      </c>
      <c r="N19" s="1233"/>
    </row>
    <row r="20" spans="1:14" x14ac:dyDescent="0.25">
      <c r="A20" s="1232" t="s">
        <v>1409</v>
      </c>
      <c r="B20" s="1232"/>
      <c r="C20" s="1232"/>
      <c r="D20" s="1233"/>
      <c r="E20" s="1233"/>
      <c r="F20" s="1233"/>
      <c r="G20" s="1233"/>
      <c r="H20" s="1233"/>
      <c r="I20" s="1233">
        <v>1</v>
      </c>
      <c r="J20" s="1233">
        <f t="shared" si="0"/>
        <v>80000</v>
      </c>
      <c r="K20" s="1234">
        <f>80000/1000</f>
        <v>80</v>
      </c>
      <c r="L20" s="1234">
        <v>80</v>
      </c>
      <c r="M20" s="1235">
        <v>80</v>
      </c>
      <c r="N20" s="1233"/>
    </row>
    <row r="21" spans="1:14" s="1231" customFormat="1" ht="47.25" x14ac:dyDescent="0.25">
      <c r="A21" s="1228" t="s">
        <v>1410</v>
      </c>
      <c r="B21" s="1228"/>
      <c r="C21" s="1228"/>
      <c r="D21" s="1229"/>
      <c r="E21" s="1229"/>
      <c r="F21" s="1229"/>
      <c r="G21" s="1229"/>
      <c r="H21" s="1229"/>
      <c r="I21" s="1229"/>
      <c r="J21" s="1229"/>
      <c r="K21" s="1236"/>
      <c r="L21" s="1236"/>
      <c r="M21" s="1237"/>
      <c r="N21" s="1229"/>
    </row>
    <row r="22" spans="1:14" x14ac:dyDescent="0.25">
      <c r="A22" s="1232" t="s">
        <v>1411</v>
      </c>
      <c r="B22" s="1232"/>
      <c r="C22" s="1232"/>
      <c r="D22" s="1233"/>
      <c r="E22" s="1233"/>
      <c r="F22" s="1233"/>
      <c r="G22" s="1233"/>
      <c r="H22" s="1233"/>
      <c r="I22" s="1233">
        <v>3</v>
      </c>
      <c r="J22" s="1233">
        <f t="shared" si="0"/>
        <v>25000</v>
      </c>
      <c r="K22" s="1234">
        <v>75</v>
      </c>
      <c r="L22" s="1234">
        <v>75</v>
      </c>
      <c r="M22" s="1235">
        <v>75</v>
      </c>
      <c r="N22" s="1233"/>
    </row>
    <row r="23" spans="1:14" x14ac:dyDescent="0.25">
      <c r="A23" s="1232" t="s">
        <v>1412</v>
      </c>
      <c r="B23" s="1232"/>
      <c r="C23" s="1232"/>
      <c r="D23" s="1233"/>
      <c r="E23" s="1233"/>
      <c r="F23" s="1233"/>
      <c r="G23" s="1233"/>
      <c r="H23" s="1233"/>
      <c r="I23" s="1233">
        <v>1</v>
      </c>
      <c r="J23" s="1233">
        <f t="shared" si="0"/>
        <v>30000</v>
      </c>
      <c r="K23" s="1234">
        <f>30000/1000</f>
        <v>30</v>
      </c>
      <c r="L23" s="1234">
        <v>30</v>
      </c>
      <c r="M23" s="1235">
        <v>30</v>
      </c>
      <c r="N23" s="1233"/>
    </row>
    <row r="24" spans="1:14" x14ac:dyDescent="0.25">
      <c r="A24" s="1232" t="s">
        <v>1413</v>
      </c>
      <c r="B24" s="1232"/>
      <c r="C24" s="1232"/>
      <c r="D24" s="1233"/>
      <c r="E24" s="1233"/>
      <c r="F24" s="1233"/>
      <c r="G24" s="1233"/>
      <c r="H24" s="1233"/>
      <c r="I24" s="1233">
        <v>2</v>
      </c>
      <c r="J24" s="1233">
        <f t="shared" si="0"/>
        <v>95000</v>
      </c>
      <c r="K24" s="1234">
        <f>190000/1000</f>
        <v>190</v>
      </c>
      <c r="L24" s="1234">
        <v>190</v>
      </c>
      <c r="M24" s="1235">
        <v>190</v>
      </c>
      <c r="N24" s="1233"/>
    </row>
    <row r="25" spans="1:14" x14ac:dyDescent="0.25">
      <c r="A25" s="1232" t="s">
        <v>1414</v>
      </c>
      <c r="B25" s="1232"/>
      <c r="C25" s="1232"/>
      <c r="D25" s="1233"/>
      <c r="E25" s="1233"/>
      <c r="F25" s="1233"/>
      <c r="G25" s="1233"/>
      <c r="H25" s="1233"/>
      <c r="I25" s="1233">
        <v>1</v>
      </c>
      <c r="J25" s="1233"/>
      <c r="K25" s="1234"/>
      <c r="L25" s="1234"/>
      <c r="M25" s="1235"/>
      <c r="N25" s="1233"/>
    </row>
    <row r="26" spans="1:14" s="1231" customFormat="1" ht="31.5" x14ac:dyDescent="0.25">
      <c r="A26" s="1228" t="s">
        <v>1415</v>
      </c>
      <c r="B26" s="1228"/>
      <c r="C26" s="1228"/>
      <c r="D26" s="1229"/>
      <c r="E26" s="1229"/>
      <c r="F26" s="1229"/>
      <c r="G26" s="1229"/>
      <c r="H26" s="1229"/>
      <c r="I26" s="1229"/>
      <c r="J26" s="1229"/>
      <c r="K26" s="1236"/>
      <c r="L26" s="1236"/>
      <c r="M26" s="1237"/>
      <c r="N26" s="1229"/>
    </row>
    <row r="27" spans="1:14" x14ac:dyDescent="0.25">
      <c r="A27" s="1232" t="s">
        <v>1416</v>
      </c>
      <c r="B27" s="1232"/>
      <c r="C27" s="1232"/>
      <c r="D27" s="1233"/>
      <c r="E27" s="1233"/>
      <c r="F27" s="1233"/>
      <c r="G27" s="1233"/>
      <c r="H27" s="1233"/>
      <c r="I27" s="1233">
        <v>1</v>
      </c>
      <c r="J27" s="1233">
        <f t="shared" si="0"/>
        <v>10000</v>
      </c>
      <c r="K27" s="1234">
        <f>10000/1000</f>
        <v>10</v>
      </c>
      <c r="L27" s="1234">
        <v>10</v>
      </c>
      <c r="M27" s="1235">
        <v>10</v>
      </c>
      <c r="N27" s="1233"/>
    </row>
    <row r="28" spans="1:14" s="1231" customFormat="1" ht="31.5" x14ac:dyDescent="0.25">
      <c r="A28" s="1228" t="s">
        <v>1417</v>
      </c>
      <c r="B28" s="1228"/>
      <c r="C28" s="1228"/>
      <c r="D28" s="1229"/>
      <c r="E28" s="1229"/>
      <c r="F28" s="1229"/>
      <c r="G28" s="1229"/>
      <c r="H28" s="1229"/>
      <c r="I28" s="1229"/>
      <c r="J28" s="1229"/>
      <c r="K28" s="1236"/>
      <c r="L28" s="1236"/>
      <c r="M28" s="1237"/>
      <c r="N28" s="1229"/>
    </row>
    <row r="29" spans="1:14" x14ac:dyDescent="0.25">
      <c r="A29" s="1232" t="s">
        <v>1418</v>
      </c>
      <c r="B29" s="1232"/>
      <c r="C29" s="1232"/>
      <c r="D29" s="1233"/>
      <c r="E29" s="1233"/>
      <c r="F29" s="1233"/>
      <c r="G29" s="1233"/>
      <c r="H29" s="1233"/>
      <c r="I29" s="1233"/>
      <c r="J29" s="1233"/>
      <c r="K29" s="1234"/>
      <c r="L29" s="1234"/>
      <c r="M29" s="1235"/>
      <c r="N29" s="1233"/>
    </row>
    <row r="30" spans="1:14" x14ac:dyDescent="0.25">
      <c r="A30" s="1232" t="s">
        <v>1419</v>
      </c>
      <c r="B30" s="1232"/>
      <c r="C30" s="1232"/>
      <c r="D30" s="1233"/>
      <c r="E30" s="1233"/>
      <c r="F30" s="1233"/>
      <c r="G30" s="1233"/>
      <c r="H30" s="1233"/>
      <c r="I30" s="1233"/>
      <c r="J30" s="1233"/>
      <c r="K30" s="1234"/>
      <c r="L30" s="1234"/>
      <c r="M30" s="1235"/>
      <c r="N30" s="1233"/>
    </row>
    <row r="31" spans="1:14" s="1231" customFormat="1" x14ac:dyDescent="0.25">
      <c r="A31" s="1228" t="s">
        <v>379</v>
      </c>
      <c r="B31" s="1228"/>
      <c r="C31" s="1228"/>
      <c r="D31" s="1229"/>
      <c r="E31" s="1229"/>
      <c r="F31" s="1229"/>
      <c r="G31" s="1229"/>
      <c r="H31" s="1229"/>
      <c r="I31" s="1229"/>
      <c r="J31" s="1229"/>
      <c r="K31" s="1236"/>
      <c r="L31" s="1236"/>
      <c r="M31" s="1237"/>
      <c r="N31" s="1229"/>
    </row>
    <row r="32" spans="1:14" x14ac:dyDescent="0.25">
      <c r="A32" s="1232" t="s">
        <v>1420</v>
      </c>
      <c r="B32" s="1232"/>
      <c r="C32" s="1232"/>
      <c r="D32" s="1233"/>
      <c r="E32" s="1233"/>
      <c r="F32" s="1233"/>
      <c r="G32" s="1233"/>
      <c r="H32" s="1233"/>
      <c r="I32" s="1233"/>
      <c r="J32" s="1233"/>
      <c r="K32" s="1234"/>
      <c r="L32" s="1234"/>
      <c r="M32" s="1235"/>
      <c r="N32" s="1233"/>
    </row>
    <row r="33" spans="1:14" x14ac:dyDescent="0.25">
      <c r="A33" s="1232" t="s">
        <v>1419</v>
      </c>
      <c r="B33" s="1232"/>
      <c r="C33" s="1232"/>
      <c r="D33" s="1233"/>
      <c r="E33" s="1233"/>
      <c r="F33" s="1233"/>
      <c r="G33" s="1233"/>
      <c r="H33" s="1233"/>
      <c r="I33" s="1233"/>
      <c r="J33" s="1233"/>
      <c r="K33" s="1234"/>
      <c r="L33" s="1234"/>
      <c r="M33" s="1235"/>
      <c r="N33" s="1233"/>
    </row>
    <row r="34" spans="1:14" s="1231" customFormat="1" x14ac:dyDescent="0.25">
      <c r="A34" s="1228" t="s">
        <v>380</v>
      </c>
      <c r="B34" s="1228"/>
      <c r="C34" s="1228"/>
      <c r="D34" s="1229"/>
      <c r="E34" s="1229"/>
      <c r="F34" s="1229"/>
      <c r="G34" s="1229"/>
      <c r="H34" s="1229"/>
      <c r="I34" s="1229"/>
      <c r="J34" s="1229"/>
      <c r="K34" s="1236"/>
      <c r="L34" s="1236"/>
      <c r="M34" s="1237"/>
      <c r="N34" s="1229"/>
    </row>
    <row r="35" spans="1:14" x14ac:dyDescent="0.25">
      <c r="A35" s="1232" t="s">
        <v>1421</v>
      </c>
      <c r="B35" s="1232"/>
      <c r="C35" s="1232"/>
      <c r="D35" s="1233"/>
      <c r="E35" s="1233"/>
      <c r="F35" s="1233"/>
      <c r="G35" s="1233"/>
      <c r="H35" s="1233"/>
      <c r="I35" s="1233"/>
      <c r="J35" s="1233"/>
      <c r="K35" s="1234"/>
      <c r="L35" s="1234"/>
      <c r="M35" s="1235"/>
      <c r="N35" s="1233"/>
    </row>
    <row r="36" spans="1:14" x14ac:dyDescent="0.25">
      <c r="A36" s="1232" t="s">
        <v>1419</v>
      </c>
      <c r="B36" s="1232"/>
      <c r="C36" s="1232"/>
      <c r="D36" s="1233"/>
      <c r="E36" s="1233"/>
      <c r="F36" s="1233"/>
      <c r="G36" s="1233"/>
      <c r="H36" s="1233"/>
      <c r="I36" s="1233"/>
      <c r="J36" s="1233"/>
      <c r="K36" s="1234"/>
      <c r="L36" s="1234"/>
      <c r="M36" s="1235"/>
      <c r="N36" s="1233"/>
    </row>
    <row r="37" spans="1:14" s="1231" customFormat="1" x14ac:dyDescent="0.25">
      <c r="A37" s="1228" t="s">
        <v>381</v>
      </c>
      <c r="B37" s="1228"/>
      <c r="C37" s="1228"/>
      <c r="D37" s="1229"/>
      <c r="E37" s="1229"/>
      <c r="F37" s="1229"/>
      <c r="G37" s="1229"/>
      <c r="H37" s="1229"/>
      <c r="I37" s="1229"/>
      <c r="J37" s="1229"/>
      <c r="K37" s="1236"/>
      <c r="L37" s="1236"/>
      <c r="M37" s="1237"/>
      <c r="N37" s="1229"/>
    </row>
    <row r="38" spans="1:14" x14ac:dyDescent="0.25">
      <c r="A38" s="1232" t="s">
        <v>1422</v>
      </c>
      <c r="B38" s="1232"/>
      <c r="C38" s="1232"/>
      <c r="D38" s="1233"/>
      <c r="E38" s="1233"/>
      <c r="F38" s="1233"/>
      <c r="G38" s="1233"/>
      <c r="H38" s="1233"/>
      <c r="I38" s="1233"/>
      <c r="J38" s="1233"/>
      <c r="K38" s="1234"/>
      <c r="L38" s="1234"/>
      <c r="M38" s="1235"/>
      <c r="N38" s="1233"/>
    </row>
    <row r="39" spans="1:14" x14ac:dyDescent="0.25">
      <c r="A39" s="1232" t="s">
        <v>1419</v>
      </c>
      <c r="B39" s="1232"/>
      <c r="C39" s="1232"/>
      <c r="D39" s="1233"/>
      <c r="E39" s="1233"/>
      <c r="F39" s="1233"/>
      <c r="G39" s="1233"/>
      <c r="H39" s="1233"/>
      <c r="I39" s="1233"/>
      <c r="J39" s="1233"/>
      <c r="K39" s="1234"/>
      <c r="L39" s="1234"/>
      <c r="M39" s="1235"/>
      <c r="N39" s="1233"/>
    </row>
    <row r="40" spans="1:14" s="1231" customFormat="1" x14ac:dyDescent="0.25">
      <c r="A40" s="1228" t="s">
        <v>382</v>
      </c>
      <c r="B40" s="1228"/>
      <c r="C40" s="1228"/>
      <c r="D40" s="1229"/>
      <c r="E40" s="1229"/>
      <c r="F40" s="1229"/>
      <c r="G40" s="1229"/>
      <c r="H40" s="1229"/>
      <c r="I40" s="1229"/>
      <c r="J40" s="1229"/>
      <c r="K40" s="1236"/>
      <c r="L40" s="1236"/>
      <c r="M40" s="1237"/>
      <c r="N40" s="1229"/>
    </row>
    <row r="41" spans="1:14" x14ac:dyDescent="0.25">
      <c r="A41" s="1232" t="s">
        <v>1423</v>
      </c>
      <c r="B41" s="1232"/>
      <c r="C41" s="1232"/>
      <c r="D41" s="1233"/>
      <c r="E41" s="1233"/>
      <c r="F41" s="1233"/>
      <c r="G41" s="1233"/>
      <c r="H41" s="1233"/>
      <c r="I41" s="1233"/>
      <c r="J41" s="1233"/>
      <c r="K41" s="1234"/>
      <c r="L41" s="1234"/>
      <c r="M41" s="1235"/>
      <c r="N41" s="1233"/>
    </row>
    <row r="42" spans="1:14" x14ac:dyDescent="0.25">
      <c r="A42" s="1232" t="s">
        <v>1419</v>
      </c>
      <c r="B42" s="1232"/>
      <c r="C42" s="1232"/>
      <c r="D42" s="1233"/>
      <c r="E42" s="1233"/>
      <c r="F42" s="1233"/>
      <c r="G42" s="1233"/>
      <c r="H42" s="1233"/>
      <c r="I42" s="1233"/>
      <c r="J42" s="1233"/>
      <c r="K42" s="1234"/>
      <c r="L42" s="1234"/>
      <c r="M42" s="1235"/>
      <c r="N42" s="1233"/>
    </row>
    <row r="43" spans="1:14" s="1231" customFormat="1" x14ac:dyDescent="0.25">
      <c r="A43" s="1228" t="s">
        <v>383</v>
      </c>
      <c r="B43" s="1228"/>
      <c r="C43" s="1228"/>
      <c r="D43" s="1229"/>
      <c r="E43" s="1229"/>
      <c r="F43" s="1229"/>
      <c r="G43" s="1229"/>
      <c r="H43" s="1229"/>
      <c r="I43" s="1229"/>
      <c r="J43" s="1229"/>
      <c r="K43" s="1236"/>
      <c r="L43" s="1236"/>
      <c r="M43" s="1237"/>
      <c r="N43" s="1229"/>
    </row>
    <row r="44" spans="1:14" x14ac:dyDescent="0.25">
      <c r="A44" s="1232" t="s">
        <v>1424</v>
      </c>
      <c r="B44" s="1232"/>
      <c r="C44" s="1232"/>
      <c r="D44" s="1233"/>
      <c r="E44" s="1233"/>
      <c r="F44" s="1233"/>
      <c r="G44" s="1233"/>
      <c r="H44" s="1233"/>
      <c r="I44" s="1233"/>
      <c r="J44" s="1233"/>
      <c r="K44" s="1234"/>
      <c r="L44" s="1234"/>
      <c r="M44" s="1235"/>
      <c r="N44" s="1233"/>
    </row>
    <row r="45" spans="1:14" x14ac:dyDescent="0.25">
      <c r="A45" s="1232" t="s">
        <v>1419</v>
      </c>
      <c r="B45" s="1232"/>
      <c r="C45" s="1232"/>
      <c r="D45" s="1233"/>
      <c r="E45" s="1233"/>
      <c r="F45" s="1233"/>
      <c r="G45" s="1233"/>
      <c r="H45" s="1233"/>
      <c r="I45" s="1233"/>
      <c r="J45" s="1233"/>
      <c r="K45" s="1234"/>
      <c r="L45" s="1234"/>
      <c r="M45" s="1235"/>
      <c r="N45" s="1233"/>
    </row>
    <row r="46" spans="1:14" s="1231" customFormat="1" x14ac:dyDescent="0.25">
      <c r="A46" s="1228" t="s">
        <v>384</v>
      </c>
      <c r="B46" s="1228"/>
      <c r="C46" s="1228"/>
      <c r="D46" s="1229"/>
      <c r="E46" s="1229"/>
      <c r="F46" s="1229"/>
      <c r="G46" s="1229"/>
      <c r="H46" s="1229"/>
      <c r="I46" s="1229"/>
      <c r="J46" s="1229"/>
      <c r="K46" s="1236"/>
      <c r="L46" s="1236"/>
      <c r="M46" s="1237"/>
      <c r="N46" s="1229"/>
    </row>
    <row r="47" spans="1:14" x14ac:dyDescent="0.25">
      <c r="A47" s="1232" t="s">
        <v>1425</v>
      </c>
      <c r="B47" s="1232"/>
      <c r="C47" s="1232"/>
      <c r="D47" s="1233"/>
      <c r="E47" s="1233"/>
      <c r="F47" s="1233"/>
      <c r="G47" s="1233"/>
      <c r="H47" s="1233"/>
      <c r="I47" s="1233"/>
      <c r="J47" s="1233"/>
      <c r="K47" s="1234"/>
      <c r="L47" s="1234"/>
      <c r="M47" s="1235"/>
      <c r="N47" s="1233"/>
    </row>
    <row r="48" spans="1:14" x14ac:dyDescent="0.25">
      <c r="A48" s="1232" t="s">
        <v>1419</v>
      </c>
      <c r="B48" s="1232"/>
      <c r="C48" s="1232"/>
      <c r="D48" s="1233"/>
      <c r="E48" s="1233"/>
      <c r="F48" s="1233"/>
      <c r="G48" s="1233"/>
      <c r="H48" s="1233"/>
      <c r="I48" s="1233"/>
      <c r="J48" s="1233"/>
      <c r="K48" s="1234"/>
      <c r="L48" s="1234"/>
      <c r="M48" s="1235"/>
      <c r="N48" s="1233"/>
    </row>
    <row r="49" spans="1:14" s="1231" customFormat="1" x14ac:dyDescent="0.25">
      <c r="A49" s="1228" t="s">
        <v>385</v>
      </c>
      <c r="B49" s="1228"/>
      <c r="C49" s="1228"/>
      <c r="D49" s="1229"/>
      <c r="E49" s="1229"/>
      <c r="F49" s="1229"/>
      <c r="G49" s="1229"/>
      <c r="H49" s="1229"/>
      <c r="I49" s="1229"/>
      <c r="J49" s="1229"/>
      <c r="K49" s="1236"/>
      <c r="L49" s="1236"/>
      <c r="M49" s="1237"/>
      <c r="N49" s="1229"/>
    </row>
    <row r="50" spans="1:14" x14ac:dyDescent="0.25">
      <c r="A50" s="1232" t="s">
        <v>1426</v>
      </c>
      <c r="B50" s="1232"/>
      <c r="C50" s="1232"/>
      <c r="D50" s="1233"/>
      <c r="E50" s="1233"/>
      <c r="F50" s="1233"/>
      <c r="G50" s="1233"/>
      <c r="H50" s="1233"/>
      <c r="I50" s="1233"/>
      <c r="J50" s="1233"/>
      <c r="K50" s="1234"/>
      <c r="L50" s="1234"/>
      <c r="M50" s="1235"/>
      <c r="N50" s="1233"/>
    </row>
    <row r="51" spans="1:14" x14ac:dyDescent="0.25">
      <c r="A51" s="1232" t="s">
        <v>1419</v>
      </c>
      <c r="B51" s="1232"/>
      <c r="C51" s="1232"/>
      <c r="D51" s="1233"/>
      <c r="E51" s="1233"/>
      <c r="F51" s="1233"/>
      <c r="G51" s="1233"/>
      <c r="H51" s="1233"/>
      <c r="I51" s="1233"/>
      <c r="J51" s="1233"/>
      <c r="K51" s="1234"/>
      <c r="L51" s="1234"/>
      <c r="M51" s="1235"/>
      <c r="N51" s="1233"/>
    </row>
    <row r="52" spans="1:14" s="1231" customFormat="1" x14ac:dyDescent="0.25">
      <c r="A52" s="1228" t="s">
        <v>386</v>
      </c>
      <c r="B52" s="1228"/>
      <c r="C52" s="1228"/>
      <c r="D52" s="1229"/>
      <c r="E52" s="1229"/>
      <c r="F52" s="1229"/>
      <c r="G52" s="1229"/>
      <c r="H52" s="1229"/>
      <c r="I52" s="1229"/>
      <c r="J52" s="1229"/>
      <c r="K52" s="1236"/>
      <c r="L52" s="1236"/>
      <c r="M52" s="1237"/>
      <c r="N52" s="1229"/>
    </row>
    <row r="53" spans="1:14" x14ac:dyDescent="0.25">
      <c r="A53" s="1232" t="s">
        <v>1419</v>
      </c>
      <c r="B53" s="1232"/>
      <c r="C53" s="1232"/>
      <c r="D53" s="1233"/>
      <c r="E53" s="1233"/>
      <c r="F53" s="1233"/>
      <c r="G53" s="1233"/>
      <c r="H53" s="1233"/>
      <c r="I53" s="1233"/>
      <c r="J53" s="1233"/>
      <c r="K53" s="1234"/>
      <c r="L53" s="1234"/>
      <c r="M53" s="1235"/>
      <c r="N53" s="1233"/>
    </row>
    <row r="54" spans="1:14" x14ac:dyDescent="0.25">
      <c r="A54" s="1232"/>
      <c r="B54" s="1232"/>
      <c r="C54" s="1232"/>
      <c r="D54" s="1233"/>
      <c r="E54" s="1233"/>
      <c r="F54" s="1233"/>
      <c r="G54" s="1233"/>
      <c r="H54" s="1233"/>
      <c r="I54" s="1233"/>
      <c r="J54" s="1233"/>
      <c r="K54" s="1234"/>
      <c r="L54" s="1234"/>
      <c r="M54" s="1235"/>
      <c r="N54" s="1233"/>
    </row>
    <row r="55" spans="1:14" s="1231" customFormat="1" x14ac:dyDescent="0.25">
      <c r="A55" s="1228" t="s">
        <v>1427</v>
      </c>
      <c r="B55" s="1228"/>
      <c r="C55" s="1228"/>
      <c r="D55" s="1229"/>
      <c r="E55" s="1229"/>
      <c r="F55" s="1229"/>
      <c r="G55" s="1229"/>
      <c r="H55" s="1229"/>
      <c r="I55" s="1229"/>
      <c r="J55" s="1229"/>
      <c r="K55" s="1236"/>
      <c r="L55" s="1236"/>
      <c r="M55" s="1237"/>
      <c r="N55" s="1229"/>
    </row>
    <row r="56" spans="1:14" x14ac:dyDescent="0.25">
      <c r="A56" s="1232" t="s">
        <v>1428</v>
      </c>
      <c r="B56" s="1232"/>
      <c r="C56" s="1232"/>
      <c r="D56" s="1233"/>
      <c r="E56" s="1233"/>
      <c r="F56" s="1233"/>
      <c r="G56" s="1233"/>
      <c r="H56" s="1233"/>
      <c r="I56" s="1233"/>
      <c r="J56" s="1233"/>
      <c r="K56" s="1234"/>
      <c r="L56" s="1234"/>
      <c r="M56" s="1235"/>
      <c r="N56" s="1233"/>
    </row>
    <row r="57" spans="1:14" x14ac:dyDescent="0.25">
      <c r="A57" s="1232" t="s">
        <v>1419</v>
      </c>
      <c r="B57" s="1232"/>
      <c r="C57" s="1232"/>
      <c r="D57" s="1233"/>
      <c r="E57" s="1233"/>
      <c r="F57" s="1233"/>
      <c r="G57" s="1233"/>
      <c r="H57" s="1233"/>
      <c r="I57" s="1233"/>
      <c r="J57" s="1233"/>
      <c r="K57" s="1234"/>
      <c r="L57" s="1234"/>
      <c r="M57" s="1235"/>
      <c r="N57" s="1233"/>
    </row>
    <row r="58" spans="1:14" s="1231" customFormat="1" x14ac:dyDescent="0.25">
      <c r="A58" s="1228" t="s">
        <v>1429</v>
      </c>
      <c r="B58" s="1228"/>
      <c r="C58" s="1228"/>
      <c r="D58" s="1229"/>
      <c r="E58" s="1229"/>
      <c r="F58" s="1229"/>
      <c r="G58" s="1229"/>
      <c r="H58" s="1229"/>
      <c r="I58" s="1229"/>
      <c r="J58" s="1229"/>
      <c r="K58" s="1236"/>
      <c r="L58" s="1236"/>
      <c r="M58" s="1237"/>
      <c r="N58" s="1229"/>
    </row>
    <row r="59" spans="1:14" x14ac:dyDescent="0.25">
      <c r="A59" s="1232" t="s">
        <v>1430</v>
      </c>
      <c r="B59" s="1232"/>
      <c r="C59" s="1232"/>
      <c r="D59" s="1233"/>
      <c r="E59" s="1233"/>
      <c r="F59" s="1233"/>
      <c r="G59" s="1233"/>
      <c r="H59" s="1233"/>
      <c r="I59" s="1233"/>
      <c r="J59" s="1233"/>
      <c r="K59" s="1234"/>
      <c r="L59" s="1234"/>
      <c r="M59" s="1235"/>
      <c r="N59" s="1233"/>
    </row>
    <row r="60" spans="1:14" x14ac:dyDescent="0.25">
      <c r="A60" s="1232" t="s">
        <v>1419</v>
      </c>
      <c r="B60" s="1232"/>
      <c r="C60" s="1232"/>
      <c r="D60" s="1233"/>
      <c r="E60" s="1233"/>
      <c r="F60" s="1233"/>
      <c r="G60" s="1233"/>
      <c r="H60" s="1233"/>
      <c r="I60" s="1233"/>
      <c r="J60" s="1233"/>
      <c r="K60" s="1234"/>
      <c r="L60" s="1234"/>
      <c r="M60" s="1235"/>
      <c r="N60" s="1233"/>
    </row>
    <row r="61" spans="1:14" s="1231" customFormat="1" x14ac:dyDescent="0.25">
      <c r="A61" s="1228" t="s">
        <v>1431</v>
      </c>
      <c r="B61" s="1228"/>
      <c r="C61" s="1228"/>
      <c r="D61" s="1229"/>
      <c r="E61" s="1229"/>
      <c r="F61" s="1229"/>
      <c r="G61" s="1229"/>
      <c r="H61" s="1229"/>
      <c r="I61" s="1229"/>
      <c r="J61" s="1229"/>
      <c r="K61" s="1236"/>
      <c r="L61" s="1236"/>
      <c r="M61" s="1237"/>
      <c r="N61" s="1229"/>
    </row>
    <row r="62" spans="1:14" x14ac:dyDescent="0.25">
      <c r="A62" s="1232" t="s">
        <v>1432</v>
      </c>
      <c r="B62" s="1232"/>
      <c r="C62" s="1232"/>
      <c r="D62" s="1233"/>
      <c r="E62" s="1233"/>
      <c r="F62" s="1233"/>
      <c r="G62" s="1233"/>
      <c r="H62" s="1233"/>
      <c r="I62" s="1233"/>
      <c r="J62" s="1233"/>
      <c r="K62" s="1234"/>
      <c r="L62" s="1234"/>
      <c r="M62" s="1235"/>
      <c r="N62" s="1233"/>
    </row>
    <row r="63" spans="1:14" x14ac:dyDescent="0.25">
      <c r="A63" s="1232" t="s">
        <v>1419</v>
      </c>
      <c r="B63" s="1232"/>
      <c r="C63" s="1232"/>
      <c r="D63" s="1233"/>
      <c r="E63" s="1233"/>
      <c r="F63" s="1233"/>
      <c r="G63" s="1233"/>
      <c r="H63" s="1233"/>
      <c r="I63" s="1233"/>
      <c r="J63" s="1233"/>
      <c r="K63" s="1234"/>
      <c r="L63" s="1234"/>
      <c r="M63" s="1235"/>
      <c r="N63" s="1233"/>
    </row>
    <row r="64" spans="1:14" s="1231" customFormat="1" ht="31.5" x14ac:dyDescent="0.25">
      <c r="A64" s="1228" t="s">
        <v>1433</v>
      </c>
      <c r="B64" s="1228"/>
      <c r="C64" s="1228"/>
      <c r="D64" s="1229"/>
      <c r="E64" s="1229"/>
      <c r="F64" s="1229"/>
      <c r="G64" s="1229"/>
      <c r="H64" s="1229"/>
      <c r="I64" s="1229"/>
      <c r="J64" s="1229"/>
      <c r="K64" s="1236"/>
      <c r="L64" s="1236"/>
      <c r="M64" s="1237"/>
      <c r="N64" s="1229"/>
    </row>
    <row r="65" spans="1:14" x14ac:dyDescent="0.25">
      <c r="A65" s="1232" t="s">
        <v>1434</v>
      </c>
      <c r="B65" s="1232"/>
      <c r="C65" s="1232"/>
      <c r="D65" s="1233"/>
      <c r="E65" s="1233"/>
      <c r="F65" s="1233"/>
      <c r="G65" s="1233"/>
      <c r="H65" s="1233"/>
      <c r="I65" s="1233">
        <f>20-20</f>
        <v>0</v>
      </c>
      <c r="J65" s="1233">
        <v>2500</v>
      </c>
      <c r="K65" s="1234">
        <f>I65*J65/1000</f>
        <v>0</v>
      </c>
      <c r="L65" s="1234">
        <f>50000/1000</f>
        <v>50</v>
      </c>
      <c r="M65" s="1234">
        <f>50000/1000</f>
        <v>50</v>
      </c>
      <c r="N65" s="1233"/>
    </row>
    <row r="66" spans="1:14" x14ac:dyDescent="0.25">
      <c r="A66" s="1232" t="s">
        <v>1435</v>
      </c>
      <c r="B66" s="1232"/>
      <c r="C66" s="1232"/>
      <c r="D66" s="1233"/>
      <c r="E66" s="1233"/>
      <c r="F66" s="1233"/>
      <c r="G66" s="1233"/>
      <c r="H66" s="1233"/>
      <c r="I66" s="1233"/>
      <c r="J66" s="1233"/>
      <c r="K66" s="1234"/>
      <c r="L66" s="1234"/>
      <c r="M66" s="1235"/>
      <c r="N66" s="1233"/>
    </row>
    <row r="67" spans="1:14" s="1231" customFormat="1" x14ac:dyDescent="0.25">
      <c r="A67" s="1228" t="s">
        <v>1436</v>
      </c>
      <c r="B67" s="1228"/>
      <c r="C67" s="1228"/>
      <c r="D67" s="1229"/>
      <c r="E67" s="1229"/>
      <c r="F67" s="1229"/>
      <c r="G67" s="1229"/>
      <c r="H67" s="1229"/>
      <c r="I67" s="1229"/>
      <c r="J67" s="1229"/>
      <c r="K67" s="1236"/>
      <c r="L67" s="1236"/>
      <c r="M67" s="1237"/>
      <c r="N67" s="1229"/>
    </row>
    <row r="68" spans="1:14" x14ac:dyDescent="0.25">
      <c r="A68" s="1232" t="s">
        <v>1437</v>
      </c>
      <c r="B68" s="1232"/>
      <c r="C68" s="1232"/>
      <c r="D68" s="1233"/>
      <c r="E68" s="1233"/>
      <c r="F68" s="1233"/>
      <c r="G68" s="1233"/>
      <c r="H68" s="1233"/>
      <c r="I68" s="1233"/>
      <c r="J68" s="1233"/>
      <c r="K68" s="1234"/>
      <c r="L68" s="1234"/>
      <c r="M68" s="1235"/>
      <c r="N68" s="1233"/>
    </row>
    <row r="69" spans="1:14" x14ac:dyDescent="0.25">
      <c r="A69" s="1232" t="s">
        <v>1419</v>
      </c>
      <c r="B69" s="1232"/>
      <c r="C69" s="1232"/>
      <c r="D69" s="1233"/>
      <c r="E69" s="1233"/>
      <c r="F69" s="1233"/>
      <c r="G69" s="1233"/>
      <c r="H69" s="1233"/>
      <c r="I69" s="1233"/>
      <c r="J69" s="1233"/>
      <c r="K69" s="1234"/>
      <c r="L69" s="1234"/>
      <c r="M69" s="1235"/>
      <c r="N69" s="1233"/>
    </row>
    <row r="70" spans="1:14" s="1231" customFormat="1" ht="31.5" x14ac:dyDescent="0.25">
      <c r="A70" s="1228" t="s">
        <v>1438</v>
      </c>
      <c r="B70" s="1228"/>
      <c r="C70" s="1228"/>
      <c r="D70" s="1229"/>
      <c r="E70" s="1229"/>
      <c r="F70" s="1229"/>
      <c r="G70" s="1229"/>
      <c r="H70" s="1229"/>
      <c r="I70" s="1229"/>
      <c r="J70" s="1229"/>
      <c r="K70" s="1236"/>
      <c r="L70" s="1236"/>
      <c r="M70" s="1237"/>
      <c r="N70" s="1229"/>
    </row>
    <row r="71" spans="1:14" x14ac:dyDescent="0.25">
      <c r="A71" s="1232" t="s">
        <v>1439</v>
      </c>
      <c r="B71" s="1232"/>
      <c r="C71" s="1232"/>
      <c r="D71" s="1233"/>
      <c r="E71" s="1233"/>
      <c r="F71" s="1233"/>
      <c r="G71" s="1233"/>
      <c r="H71" s="1233"/>
      <c r="I71" s="1233"/>
      <c r="J71" s="1233"/>
      <c r="K71" s="1234"/>
      <c r="L71" s="1234"/>
      <c r="M71" s="1235"/>
      <c r="N71" s="1233"/>
    </row>
    <row r="72" spans="1:14" x14ac:dyDescent="0.25">
      <c r="A72" s="1232" t="s">
        <v>1419</v>
      </c>
      <c r="B72" s="1232"/>
      <c r="C72" s="1232"/>
      <c r="D72" s="1233"/>
      <c r="E72" s="1233"/>
      <c r="F72" s="1233"/>
      <c r="G72" s="1233"/>
      <c r="H72" s="1233"/>
      <c r="I72" s="1233"/>
      <c r="J72" s="1233"/>
      <c r="K72" s="1234"/>
      <c r="L72" s="1234"/>
      <c r="M72" s="1235"/>
      <c r="N72" s="1233"/>
    </row>
    <row r="73" spans="1:14" s="1231" customFormat="1" x14ac:dyDescent="0.25">
      <c r="A73" s="1228" t="s">
        <v>1440</v>
      </c>
      <c r="B73" s="1228"/>
      <c r="C73" s="1228"/>
      <c r="D73" s="1229"/>
      <c r="E73" s="1229"/>
      <c r="F73" s="1229"/>
      <c r="G73" s="1229"/>
      <c r="H73" s="1229"/>
      <c r="I73" s="1229"/>
      <c r="J73" s="1229"/>
      <c r="K73" s="1236"/>
      <c r="L73" s="1236"/>
      <c r="M73" s="1237"/>
      <c r="N73" s="1229"/>
    </row>
    <row r="74" spans="1:14" x14ac:dyDescent="0.25">
      <c r="A74" s="1232" t="s">
        <v>1441</v>
      </c>
      <c r="B74" s="1232"/>
      <c r="C74" s="1232"/>
      <c r="D74" s="1233"/>
      <c r="E74" s="1233"/>
      <c r="F74" s="1233"/>
      <c r="G74" s="1233"/>
      <c r="H74" s="1233"/>
      <c r="I74" s="1233"/>
      <c r="J74" s="1233"/>
      <c r="K74" s="1234"/>
      <c r="L74" s="1234"/>
      <c r="M74" s="1235"/>
      <c r="N74" s="1233"/>
    </row>
    <row r="75" spans="1:14" x14ac:dyDescent="0.25">
      <c r="A75" s="1232" t="s">
        <v>1419</v>
      </c>
      <c r="B75" s="1232"/>
      <c r="C75" s="1232"/>
      <c r="D75" s="1233"/>
      <c r="E75" s="1233"/>
      <c r="F75" s="1233"/>
      <c r="G75" s="1233"/>
      <c r="H75" s="1233"/>
      <c r="I75" s="1233"/>
      <c r="J75" s="1233"/>
      <c r="K75" s="1234"/>
      <c r="L75" s="1234"/>
      <c r="M75" s="1235"/>
      <c r="N75" s="1233"/>
    </row>
    <row r="76" spans="1:14" s="1231" customFormat="1" x14ac:dyDescent="0.25">
      <c r="A76" s="1228" t="s">
        <v>1442</v>
      </c>
      <c r="B76" s="1228"/>
      <c r="C76" s="1228"/>
      <c r="D76" s="1229"/>
      <c r="E76" s="1229"/>
      <c r="F76" s="1229"/>
      <c r="G76" s="1229"/>
      <c r="H76" s="1229"/>
      <c r="I76" s="1229"/>
      <c r="J76" s="1229"/>
      <c r="K76" s="1236"/>
      <c r="L76" s="1236"/>
      <c r="M76" s="1237"/>
      <c r="N76" s="1229"/>
    </row>
    <row r="77" spans="1:14" x14ac:dyDescent="0.25">
      <c r="A77" s="1232" t="s">
        <v>1443</v>
      </c>
      <c r="B77" s="1232"/>
      <c r="C77" s="1232"/>
      <c r="D77" s="1233"/>
      <c r="E77" s="1233"/>
      <c r="F77" s="1233"/>
      <c r="G77" s="1233"/>
      <c r="H77" s="1233"/>
      <c r="I77" s="1233"/>
      <c r="J77" s="1233"/>
      <c r="K77" s="1234"/>
      <c r="L77" s="1234"/>
      <c r="M77" s="1235"/>
      <c r="N77" s="1233"/>
    </row>
    <row r="78" spans="1:14" x14ac:dyDescent="0.25">
      <c r="A78" s="1232" t="s">
        <v>1444</v>
      </c>
      <c r="B78" s="1232"/>
      <c r="C78" s="1232"/>
      <c r="D78" s="1233"/>
      <c r="E78" s="1233"/>
      <c r="F78" s="1233"/>
      <c r="G78" s="1233"/>
      <c r="H78" s="1233"/>
      <c r="I78" s="1233"/>
      <c r="J78" s="1233"/>
      <c r="K78" s="1234"/>
      <c r="L78" s="1234"/>
      <c r="M78" s="1235"/>
      <c r="N78" s="1233"/>
    </row>
    <row r="79" spans="1:14" x14ac:dyDescent="0.25">
      <c r="A79" s="1238" t="s">
        <v>230</v>
      </c>
      <c r="B79" s="1239"/>
      <c r="C79" s="1239"/>
      <c r="D79" s="1239"/>
      <c r="E79" s="1239"/>
      <c r="F79" s="1239"/>
      <c r="G79" s="1239"/>
      <c r="H79" s="1239"/>
      <c r="I79" s="1239"/>
      <c r="J79" s="1239"/>
      <c r="K79" s="1240">
        <f>SUM(K12:K78)</f>
        <v>947.1</v>
      </c>
      <c r="L79" s="1240">
        <f t="shared" ref="L79:M79" si="2">SUM(L12:L78)</f>
        <v>1020.6</v>
      </c>
      <c r="M79" s="1240">
        <f t="shared" si="2"/>
        <v>1020.6</v>
      </c>
      <c r="N79" s="1233"/>
    </row>
    <row r="80" spans="1:14" ht="25.5" customHeight="1" x14ac:dyDescent="0.3">
      <c r="A80" s="2867" t="s">
        <v>216</v>
      </c>
      <c r="B80" s="2867"/>
      <c r="C80" s="2867"/>
      <c r="D80" s="2867"/>
      <c r="E80" s="2867"/>
      <c r="F80" s="2867"/>
      <c r="G80" s="2867"/>
      <c r="H80" s="2867"/>
      <c r="I80" s="2867"/>
      <c r="J80" s="2867"/>
      <c r="K80" s="2867"/>
      <c r="L80" s="2867"/>
      <c r="M80" s="2867"/>
    </row>
    <row r="81" spans="1:13" ht="18.75" x14ac:dyDescent="0.3">
      <c r="A81" s="1241"/>
    </row>
    <row r="82" spans="1:13" ht="18.75" x14ac:dyDescent="0.3">
      <c r="A82" s="1241"/>
      <c r="J82" s="1233" t="s">
        <v>1446</v>
      </c>
      <c r="K82" s="1233">
        <v>2020</v>
      </c>
      <c r="L82" s="1233">
        <v>2021</v>
      </c>
      <c r="M82" s="1233">
        <v>2022</v>
      </c>
    </row>
    <row r="83" spans="1:13" ht="18.75" x14ac:dyDescent="0.3">
      <c r="A83" s="1241"/>
      <c r="J83" s="1233" t="s">
        <v>1310</v>
      </c>
      <c r="K83" s="1234">
        <f>K79</f>
        <v>947.1</v>
      </c>
      <c r="L83" s="1234">
        <f t="shared" ref="L83:M83" si="3">L79</f>
        <v>1020.6</v>
      </c>
      <c r="M83" s="1234">
        <f t="shared" si="3"/>
        <v>1020.6</v>
      </c>
    </row>
    <row r="84" spans="1:13" ht="18.75" x14ac:dyDescent="0.3">
      <c r="A84" s="1241"/>
      <c r="J84" s="1233" t="s">
        <v>1312</v>
      </c>
      <c r="K84" s="1243">
        <f>'расходы самоокупаемые (01.01.20'!H24</f>
        <v>52.5</v>
      </c>
      <c r="L84" s="1243">
        <f>'расходы самоокупаемые (01.01.20'!I24</f>
        <v>52.5</v>
      </c>
      <c r="M84" s="1243">
        <f>'расходы самоокупаемые (01.01.20'!J24</f>
        <v>52.5</v>
      </c>
    </row>
    <row r="85" spans="1:13" x14ac:dyDescent="0.25">
      <c r="J85" s="1233" t="s">
        <v>97</v>
      </c>
      <c r="K85" s="1234">
        <f>SUM(K83:K84)</f>
        <v>999.6</v>
      </c>
      <c r="L85" s="1234">
        <f t="shared" ref="L85:M85" si="4">SUM(L83:L84)</f>
        <v>1073.0999999999999</v>
      </c>
      <c r="M85" s="1234">
        <f t="shared" si="4"/>
        <v>1073.0999999999999</v>
      </c>
    </row>
    <row r="87" spans="1:13" x14ac:dyDescent="0.25">
      <c r="A87" s="1180" t="s">
        <v>1382</v>
      </c>
      <c r="B87" s="2780"/>
      <c r="C87" s="2780"/>
      <c r="D87" s="2780"/>
    </row>
    <row r="88" spans="1:13" x14ac:dyDescent="0.25">
      <c r="B88" s="2861" t="s">
        <v>217</v>
      </c>
      <c r="C88" s="2861"/>
      <c r="D88" s="2861"/>
    </row>
    <row r="90" spans="1:13" x14ac:dyDescent="0.25">
      <c r="A90" s="1180" t="s">
        <v>1445</v>
      </c>
    </row>
    <row r="91" spans="1:13" x14ac:dyDescent="0.25">
      <c r="L91" s="1242">
        <f>L79-K79</f>
        <v>73.5</v>
      </c>
      <c r="M91" s="1242">
        <f>M79-K79</f>
        <v>73.5</v>
      </c>
    </row>
  </sheetData>
  <mergeCells count="26">
    <mergeCell ref="A2:N2"/>
    <mergeCell ref="A4:N4"/>
    <mergeCell ref="A6:A10"/>
    <mergeCell ref="B6:H6"/>
    <mergeCell ref="I6:K7"/>
    <mergeCell ref="L6:L10"/>
    <mergeCell ref="M6:M10"/>
    <mergeCell ref="N6:N10"/>
    <mergeCell ref="B7:H7"/>
    <mergeCell ref="B8:D8"/>
    <mergeCell ref="B88:D88"/>
    <mergeCell ref="E8:F8"/>
    <mergeCell ref="G8:H8"/>
    <mergeCell ref="I8:K8"/>
    <mergeCell ref="B9:B10"/>
    <mergeCell ref="C9:C10"/>
    <mergeCell ref="D9:D10"/>
    <mergeCell ref="E9:E10"/>
    <mergeCell ref="F9:F10"/>
    <mergeCell ref="G9:G10"/>
    <mergeCell ref="H9:H10"/>
    <mergeCell ref="I9:I10"/>
    <mergeCell ref="J9:J10"/>
    <mergeCell ref="K9:K10"/>
    <mergeCell ref="A80:M80"/>
    <mergeCell ref="B87:D87"/>
  </mergeCells>
  <pageMargins left="0.70866141732283472" right="0.70866141732283472" top="0.74803149606299213" bottom="0.74803149606299213" header="0.31496062992125984" footer="0.31496062992125984"/>
  <pageSetup paperSize="9" scale="44"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7" tint="0.39997558519241921"/>
  </sheetPr>
  <dimension ref="A2:N42"/>
  <sheetViews>
    <sheetView view="pageBreakPreview" zoomScale="80" zoomScaleNormal="80" zoomScaleSheetLayoutView="80" workbookViewId="0">
      <pane ySplit="8" topLeftCell="A27" activePane="bottomLeft" state="frozen"/>
      <selection pane="bottomLeft" activeCell="N5" sqref="N5:N7"/>
    </sheetView>
  </sheetViews>
  <sheetFormatPr defaultRowHeight="15.75" x14ac:dyDescent="0.25"/>
  <cols>
    <col min="1" max="1" width="9.33203125" style="1244"/>
    <col min="2" max="2" width="45.33203125" style="1244" customWidth="1"/>
    <col min="3" max="3" width="15.6640625" style="1244" hidden="1" customWidth="1"/>
    <col min="4" max="8" width="16.5" style="1244" hidden="1" customWidth="1"/>
    <col min="9" max="9" width="14.33203125" style="1244" customWidth="1"/>
    <col min="10" max="10" width="15.83203125" style="1244" customWidth="1"/>
    <col min="11" max="11" width="14.6640625" style="1244" customWidth="1"/>
    <col min="12" max="13" width="15.83203125" style="1244" customWidth="1"/>
    <col min="14" max="14" width="24.33203125" style="1244" customWidth="1"/>
    <col min="15" max="16384" width="9.33203125" style="1244"/>
  </cols>
  <sheetData>
    <row r="2" spans="1:14" ht="52.5" customHeight="1" x14ac:dyDescent="0.25">
      <c r="A2" s="2878" t="s">
        <v>387</v>
      </c>
      <c r="B2" s="2878"/>
      <c r="C2" s="2878"/>
      <c r="D2" s="2878"/>
      <c r="E2" s="2878"/>
      <c r="F2" s="2878"/>
      <c r="G2" s="2878"/>
      <c r="H2" s="2878"/>
      <c r="I2" s="2878"/>
      <c r="J2" s="2878"/>
      <c r="K2" s="2878"/>
      <c r="L2" s="2878"/>
      <c r="M2" s="2878"/>
      <c r="N2" s="2878"/>
    </row>
    <row r="3" spans="1:14" ht="37.5" customHeight="1" x14ac:dyDescent="0.25">
      <c r="A3" s="1245"/>
      <c r="B3" s="2878" t="s">
        <v>1256</v>
      </c>
      <c r="C3" s="2878"/>
      <c r="D3" s="2878"/>
      <c r="E3" s="2878"/>
      <c r="F3" s="2878"/>
      <c r="G3" s="2878"/>
      <c r="H3" s="2878"/>
      <c r="I3" s="2878"/>
      <c r="J3" s="2878"/>
      <c r="K3" s="2878"/>
      <c r="L3" s="2878"/>
      <c r="M3" s="2878"/>
    </row>
    <row r="4" spans="1:14" x14ac:dyDescent="0.25">
      <c r="N4" s="1246">
        <v>43913</v>
      </c>
    </row>
    <row r="5" spans="1:14" ht="15.75" customHeight="1" x14ac:dyDescent="0.25">
      <c r="A5" s="2876" t="s">
        <v>78</v>
      </c>
      <c r="B5" s="2874" t="s">
        <v>213</v>
      </c>
      <c r="C5" s="2880" t="s">
        <v>1177</v>
      </c>
      <c r="D5" s="2881"/>
      <c r="E5" s="2881"/>
      <c r="F5" s="2881"/>
      <c r="G5" s="2881"/>
      <c r="H5" s="2882"/>
      <c r="I5" s="2880" t="s">
        <v>388</v>
      </c>
      <c r="J5" s="2881"/>
      <c r="K5" s="2881"/>
      <c r="L5" s="2883" t="s">
        <v>389</v>
      </c>
      <c r="M5" s="2883" t="s">
        <v>390</v>
      </c>
      <c r="N5" s="2884" t="s">
        <v>182</v>
      </c>
    </row>
    <row r="6" spans="1:14" ht="15.75" customHeight="1" x14ac:dyDescent="0.25">
      <c r="A6" s="2876"/>
      <c r="B6" s="2879"/>
      <c r="C6" s="2874" t="s">
        <v>214</v>
      </c>
      <c r="D6" s="2874" t="s">
        <v>215</v>
      </c>
      <c r="E6" s="2876" t="s">
        <v>738</v>
      </c>
      <c r="F6" s="2876"/>
      <c r="G6" s="2876"/>
      <c r="H6" s="2876"/>
      <c r="I6" s="2874" t="s">
        <v>214</v>
      </c>
      <c r="J6" s="2874" t="s">
        <v>359</v>
      </c>
      <c r="K6" s="2874" t="s">
        <v>391</v>
      </c>
      <c r="L6" s="2883"/>
      <c r="M6" s="2883"/>
      <c r="N6" s="2885"/>
    </row>
    <row r="7" spans="1:14" ht="47.25" x14ac:dyDescent="0.25">
      <c r="A7" s="2876"/>
      <c r="B7" s="2875"/>
      <c r="C7" s="2875"/>
      <c r="D7" s="2875"/>
      <c r="E7" s="1247" t="s">
        <v>739</v>
      </c>
      <c r="F7" s="1247" t="s">
        <v>741</v>
      </c>
      <c r="G7" s="1247" t="s">
        <v>1178</v>
      </c>
      <c r="H7" s="1248" t="s">
        <v>740</v>
      </c>
      <c r="I7" s="2875"/>
      <c r="J7" s="2875"/>
      <c r="K7" s="2875"/>
      <c r="L7" s="2883"/>
      <c r="M7" s="2883"/>
      <c r="N7" s="2886"/>
    </row>
    <row r="8" spans="1:14" x14ac:dyDescent="0.25">
      <c r="A8" s="1249">
        <v>1</v>
      </c>
      <c r="B8" s="1247">
        <v>2</v>
      </c>
      <c r="C8" s="1249">
        <v>3</v>
      </c>
      <c r="D8" s="1247">
        <v>4</v>
      </c>
      <c r="E8" s="1249">
        <v>5</v>
      </c>
      <c r="F8" s="1247">
        <v>6</v>
      </c>
      <c r="G8" s="1249">
        <v>7</v>
      </c>
      <c r="H8" s="1247">
        <v>8</v>
      </c>
      <c r="I8" s="1249">
        <v>3</v>
      </c>
      <c r="J8" s="1247">
        <v>4</v>
      </c>
      <c r="K8" s="1247">
        <v>5</v>
      </c>
      <c r="L8" s="1247">
        <v>6</v>
      </c>
      <c r="M8" s="1249">
        <v>7</v>
      </c>
      <c r="N8" s="1250">
        <v>8</v>
      </c>
    </row>
    <row r="9" spans="1:14" ht="52.5" customHeight="1" x14ac:dyDescent="0.25">
      <c r="A9" s="1251" t="s">
        <v>392</v>
      </c>
      <c r="B9" s="1252" t="s">
        <v>393</v>
      </c>
      <c r="C9" s="1249"/>
      <c r="D9" s="1249"/>
      <c r="E9" s="1253"/>
      <c r="F9" s="1253"/>
      <c r="G9" s="1253"/>
      <c r="H9" s="1253"/>
      <c r="I9" s="1249">
        <v>34</v>
      </c>
      <c r="J9" s="1254">
        <f>K9/I9*1000</f>
        <v>2308.8200000000002</v>
      </c>
      <c r="K9" s="1253">
        <f>78500/1000</f>
        <v>78.5</v>
      </c>
      <c r="L9" s="1253">
        <v>78.5</v>
      </c>
      <c r="M9" s="1253">
        <v>78.5</v>
      </c>
      <c r="N9" s="1255"/>
    </row>
    <row r="10" spans="1:14" x14ac:dyDescent="0.25">
      <c r="A10" s="1249">
        <v>1</v>
      </c>
      <c r="B10" s="1256" t="s">
        <v>1444</v>
      </c>
      <c r="C10" s="1249"/>
      <c r="D10" s="1249"/>
      <c r="E10" s="1253"/>
      <c r="F10" s="1253"/>
      <c r="G10" s="1253"/>
      <c r="H10" s="1253"/>
      <c r="I10" s="1249"/>
      <c r="J10" s="1249"/>
      <c r="K10" s="1253"/>
      <c r="L10" s="1253"/>
      <c r="M10" s="1253"/>
      <c r="N10" s="1257"/>
    </row>
    <row r="11" spans="1:14" x14ac:dyDescent="0.25">
      <c r="A11" s="1251" t="s">
        <v>394</v>
      </c>
      <c r="B11" s="1252" t="s">
        <v>395</v>
      </c>
      <c r="C11" s="1249"/>
      <c r="D11" s="1249"/>
      <c r="E11" s="1253"/>
      <c r="F11" s="1253"/>
      <c r="G11" s="1253"/>
      <c r="H11" s="1253"/>
      <c r="I11" s="1249"/>
      <c r="J11" s="1249"/>
      <c r="K11" s="1253"/>
      <c r="L11" s="1253"/>
      <c r="M11" s="1253"/>
      <c r="N11" s="1257"/>
    </row>
    <row r="12" spans="1:14" x14ac:dyDescent="0.25">
      <c r="A12" s="1249">
        <v>1</v>
      </c>
      <c r="B12" s="1256" t="s">
        <v>1447</v>
      </c>
      <c r="C12" s="1249"/>
      <c r="D12" s="1249"/>
      <c r="E12" s="1253"/>
      <c r="F12" s="1253"/>
      <c r="G12" s="1253"/>
      <c r="H12" s="1253"/>
      <c r="I12" s="1249">
        <v>100</v>
      </c>
      <c r="J12" s="1249">
        <f t="shared" ref="J12:J21" si="0">K12/I12*1000</f>
        <v>255</v>
      </c>
      <c r="K12" s="1253">
        <f>25500/1000</f>
        <v>25.5</v>
      </c>
      <c r="L12" s="1253">
        <v>25.5</v>
      </c>
      <c r="M12" s="1253">
        <v>25.5</v>
      </c>
      <c r="N12" s="1257"/>
    </row>
    <row r="13" spans="1:14" x14ac:dyDescent="0.25">
      <c r="A13" s="1251" t="s">
        <v>396</v>
      </c>
      <c r="B13" s="698" t="s">
        <v>397</v>
      </c>
      <c r="C13" s="1249"/>
      <c r="D13" s="1249"/>
      <c r="E13" s="1253"/>
      <c r="F13" s="1253"/>
      <c r="G13" s="1253"/>
      <c r="H13" s="1253"/>
      <c r="I13" s="1249"/>
      <c r="J13" s="1249"/>
      <c r="K13" s="1253"/>
      <c r="L13" s="1253"/>
      <c r="M13" s="1253"/>
      <c r="N13" s="1257"/>
    </row>
    <row r="14" spans="1:14" x14ac:dyDescent="0.25">
      <c r="A14" s="1249">
        <v>1</v>
      </c>
      <c r="B14" s="1256" t="s">
        <v>1448</v>
      </c>
      <c r="C14" s="1249"/>
      <c r="D14" s="1249"/>
      <c r="E14" s="1253"/>
      <c r="F14" s="1253"/>
      <c r="G14" s="1253"/>
      <c r="H14" s="1253"/>
      <c r="I14" s="1249"/>
      <c r="J14" s="1249"/>
      <c r="K14" s="1253"/>
      <c r="L14" s="1253"/>
      <c r="M14" s="1253"/>
      <c r="N14" s="1257"/>
    </row>
    <row r="15" spans="1:14" ht="31.5" x14ac:dyDescent="0.25">
      <c r="A15" s="1258" t="s">
        <v>398</v>
      </c>
      <c r="B15" s="1259" t="s">
        <v>399</v>
      </c>
      <c r="C15" s="1249"/>
      <c r="D15" s="1249"/>
      <c r="E15" s="1253"/>
      <c r="F15" s="1253"/>
      <c r="G15" s="1253"/>
      <c r="H15" s="1253"/>
      <c r="I15" s="1249"/>
      <c r="J15" s="1249"/>
      <c r="K15" s="1253"/>
      <c r="L15" s="1253"/>
      <c r="M15" s="1253"/>
      <c r="N15" s="1257"/>
    </row>
    <row r="16" spans="1:14" x14ac:dyDescent="0.25">
      <c r="A16" s="1249">
        <v>1</v>
      </c>
      <c r="B16" s="1256" t="s">
        <v>1448</v>
      </c>
      <c r="C16" s="1249"/>
      <c r="D16" s="1249"/>
      <c r="E16" s="1253"/>
      <c r="F16" s="1253"/>
      <c r="G16" s="1253"/>
      <c r="H16" s="1253"/>
      <c r="I16" s="1249"/>
      <c r="J16" s="1249"/>
      <c r="K16" s="1253"/>
      <c r="L16" s="1253"/>
      <c r="M16" s="1253"/>
      <c r="N16" s="1257"/>
    </row>
    <row r="17" spans="1:14" x14ac:dyDescent="0.25">
      <c r="A17" s="1258" t="s">
        <v>400</v>
      </c>
      <c r="B17" s="1259" t="s">
        <v>401</v>
      </c>
      <c r="C17" s="1249"/>
      <c r="D17" s="1249"/>
      <c r="E17" s="1253"/>
      <c r="F17" s="1253"/>
      <c r="G17" s="1253"/>
      <c r="H17" s="1253"/>
      <c r="I17" s="1249">
        <v>1</v>
      </c>
      <c r="J17" s="1249">
        <f t="shared" si="0"/>
        <v>12100</v>
      </c>
      <c r="K17" s="1253">
        <f>12100/1000</f>
        <v>12.1</v>
      </c>
      <c r="L17" s="1253">
        <v>12.1</v>
      </c>
      <c r="M17" s="1253">
        <v>12.1</v>
      </c>
      <c r="N17" s="1257"/>
    </row>
    <row r="18" spans="1:14" x14ac:dyDescent="0.25">
      <c r="A18" s="1249">
        <v>1</v>
      </c>
      <c r="B18" s="1256" t="s">
        <v>1448</v>
      </c>
      <c r="C18" s="1249"/>
      <c r="D18" s="1249"/>
      <c r="E18" s="1253"/>
      <c r="F18" s="1253"/>
      <c r="G18" s="1253"/>
      <c r="H18" s="1253"/>
      <c r="I18" s="1249"/>
      <c r="J18" s="1249"/>
      <c r="K18" s="1253"/>
      <c r="L18" s="1253"/>
      <c r="M18" s="1253"/>
      <c r="N18" s="1257"/>
    </row>
    <row r="19" spans="1:14" x14ac:dyDescent="0.25">
      <c r="A19" s="1251" t="s">
        <v>402</v>
      </c>
      <c r="B19" s="1252" t="s">
        <v>742</v>
      </c>
      <c r="C19" s="1249"/>
      <c r="D19" s="1249"/>
      <c r="E19" s="1253"/>
      <c r="F19" s="1253"/>
      <c r="G19" s="1253"/>
      <c r="H19" s="1253"/>
      <c r="I19" s="1249">
        <v>1</v>
      </c>
      <c r="J19" s="1249">
        <f t="shared" si="0"/>
        <v>25500</v>
      </c>
      <c r="K19" s="1253">
        <f>25500/1000</f>
        <v>25.5</v>
      </c>
      <c r="L19" s="1253">
        <v>25.5</v>
      </c>
      <c r="M19" s="1253">
        <v>25.5</v>
      </c>
      <c r="N19" s="1257"/>
    </row>
    <row r="20" spans="1:14" x14ac:dyDescent="0.25">
      <c r="A20" s="1249">
        <v>1</v>
      </c>
      <c r="B20" s="1256" t="s">
        <v>1444</v>
      </c>
      <c r="C20" s="1249"/>
      <c r="D20" s="1249"/>
      <c r="E20" s="1253"/>
      <c r="F20" s="1253"/>
      <c r="G20" s="1253"/>
      <c r="H20" s="1253"/>
      <c r="I20" s="1249"/>
      <c r="J20" s="1249"/>
      <c r="K20" s="1253"/>
      <c r="L20" s="1253"/>
      <c r="M20" s="1253"/>
      <c r="N20" s="1257"/>
    </row>
    <row r="21" spans="1:14" x14ac:dyDescent="0.25">
      <c r="A21" s="1251" t="s">
        <v>403</v>
      </c>
      <c r="B21" s="1252" t="s">
        <v>404</v>
      </c>
      <c r="C21" s="1249"/>
      <c r="D21" s="1249"/>
      <c r="E21" s="1253"/>
      <c r="F21" s="1253"/>
      <c r="G21" s="1253"/>
      <c r="H21" s="1253"/>
      <c r="I21" s="1249">
        <v>1</v>
      </c>
      <c r="J21" s="1249">
        <f t="shared" si="0"/>
        <v>25500</v>
      </c>
      <c r="K21" s="1253">
        <f>25500/1000</f>
        <v>25.5</v>
      </c>
      <c r="L21" s="1253">
        <v>25.5</v>
      </c>
      <c r="M21" s="1253">
        <v>25.5</v>
      </c>
      <c r="N21" s="1257"/>
    </row>
    <row r="22" spans="1:14" x14ac:dyDescent="0.25">
      <c r="A22" s="1249">
        <v>1</v>
      </c>
      <c r="B22" s="1256" t="s">
        <v>1444</v>
      </c>
      <c r="C22" s="1249"/>
      <c r="D22" s="1249"/>
      <c r="E22" s="1253"/>
      <c r="F22" s="1253"/>
      <c r="G22" s="1253"/>
      <c r="H22" s="1253"/>
      <c r="I22" s="1249"/>
      <c r="J22" s="1249"/>
      <c r="K22" s="1253"/>
      <c r="L22" s="1253"/>
      <c r="M22" s="1253"/>
      <c r="N22" s="1257"/>
    </row>
    <row r="23" spans="1:14" x14ac:dyDescent="0.25">
      <c r="A23" s="1251" t="s">
        <v>405</v>
      </c>
      <c r="B23" s="1259" t="s">
        <v>406</v>
      </c>
      <c r="C23" s="1249"/>
      <c r="D23" s="1249"/>
      <c r="E23" s="1253"/>
      <c r="F23" s="1253"/>
      <c r="G23" s="1253"/>
      <c r="H23" s="1253"/>
      <c r="I23" s="1249">
        <v>4</v>
      </c>
      <c r="J23" s="1249">
        <f t="shared" ref="J23:J29" si="1">K23/I23*1000</f>
        <v>475</v>
      </c>
      <c r="K23" s="1253">
        <f>1900/1000</f>
        <v>1.9</v>
      </c>
      <c r="L23" s="1253">
        <v>1.9</v>
      </c>
      <c r="M23" s="1253">
        <v>1.9</v>
      </c>
      <c r="N23" s="1257"/>
    </row>
    <row r="24" spans="1:14" x14ac:dyDescent="0.25">
      <c r="A24" s="1249">
        <v>1</v>
      </c>
      <c r="B24" s="1256"/>
      <c r="C24" s="1249"/>
      <c r="D24" s="1249"/>
      <c r="E24" s="1253"/>
      <c r="F24" s="1253"/>
      <c r="G24" s="1253"/>
      <c r="H24" s="1253"/>
      <c r="I24" s="1249"/>
      <c r="J24" s="1249"/>
      <c r="K24" s="1253"/>
      <c r="L24" s="1253"/>
      <c r="M24" s="1253"/>
      <c r="N24" s="1257"/>
    </row>
    <row r="25" spans="1:14" x14ac:dyDescent="0.25">
      <c r="A25" s="1258" t="s">
        <v>407</v>
      </c>
      <c r="B25" s="1259" t="s">
        <v>408</v>
      </c>
      <c r="C25" s="1249"/>
      <c r="D25" s="1249"/>
      <c r="E25" s="1253"/>
      <c r="F25" s="1253"/>
      <c r="G25" s="1253"/>
      <c r="H25" s="1253"/>
      <c r="I25" s="1249"/>
      <c r="J25" s="1249"/>
      <c r="K25" s="1253"/>
      <c r="L25" s="1253"/>
      <c r="M25" s="1253"/>
      <c r="N25" s="1257"/>
    </row>
    <row r="26" spans="1:14" ht="47.25" x14ac:dyDescent="0.25">
      <c r="A26" s="1258"/>
      <c r="B26" s="1259" t="s">
        <v>1449</v>
      </c>
      <c r="C26" s="1249"/>
      <c r="D26" s="1249"/>
      <c r="E26" s="1253"/>
      <c r="F26" s="1253"/>
      <c r="G26" s="1253"/>
      <c r="H26" s="1253"/>
      <c r="I26" s="1249">
        <v>10</v>
      </c>
      <c r="J26" s="1249">
        <f t="shared" si="1"/>
        <v>1130</v>
      </c>
      <c r="K26" s="1253">
        <f>11300/1000</f>
        <v>11.3</v>
      </c>
      <c r="L26" s="1253">
        <v>11.3</v>
      </c>
      <c r="M26" s="1253">
        <v>11.3</v>
      </c>
      <c r="N26" s="1257"/>
    </row>
    <row r="27" spans="1:14" x14ac:dyDescent="0.25">
      <c r="A27" s="1258"/>
      <c r="B27" s="1259" t="s">
        <v>1298</v>
      </c>
      <c r="C27" s="1249"/>
      <c r="D27" s="1249"/>
      <c r="E27" s="1253"/>
      <c r="F27" s="1253"/>
      <c r="G27" s="1253"/>
      <c r="H27" s="1253"/>
      <c r="I27" s="1249">
        <v>1</v>
      </c>
      <c r="J27" s="1249">
        <f t="shared" si="1"/>
        <v>7000</v>
      </c>
      <c r="K27" s="1260">
        <v>7</v>
      </c>
      <c r="L27" s="1260">
        <v>7</v>
      </c>
      <c r="M27" s="1260">
        <v>7</v>
      </c>
      <c r="N27" s="1257"/>
    </row>
    <row r="28" spans="1:14" ht="47.25" x14ac:dyDescent="0.25">
      <c r="A28" s="1258"/>
      <c r="B28" s="1259" t="s">
        <v>1450</v>
      </c>
      <c r="C28" s="1249"/>
      <c r="D28" s="1249"/>
      <c r="E28" s="1253"/>
      <c r="F28" s="1253"/>
      <c r="G28" s="1253"/>
      <c r="H28" s="1253"/>
      <c r="I28" s="1249">
        <v>1</v>
      </c>
      <c r="J28" s="1249">
        <f t="shared" si="1"/>
        <v>20000</v>
      </c>
      <c r="K28" s="1260">
        <v>20</v>
      </c>
      <c r="L28" s="1260">
        <v>20</v>
      </c>
      <c r="M28" s="1260">
        <v>20</v>
      </c>
      <c r="N28" s="1257"/>
    </row>
    <row r="29" spans="1:14" ht="47.25" x14ac:dyDescent="0.25">
      <c r="A29" s="1258"/>
      <c r="B29" s="1259" t="s">
        <v>1451</v>
      </c>
      <c r="C29" s="1249"/>
      <c r="D29" s="1249"/>
      <c r="E29" s="1253"/>
      <c r="F29" s="1253"/>
      <c r="G29" s="1253"/>
      <c r="H29" s="1253"/>
      <c r="I29" s="1249">
        <v>1</v>
      </c>
      <c r="J29" s="1249">
        <f t="shared" si="1"/>
        <v>10000</v>
      </c>
      <c r="K29" s="1260">
        <f>10000/1000</f>
        <v>10</v>
      </c>
      <c r="L29" s="1260">
        <v>10</v>
      </c>
      <c r="M29" s="1260">
        <v>10</v>
      </c>
      <c r="N29" s="1257"/>
    </row>
    <row r="30" spans="1:14" x14ac:dyDescent="0.25">
      <c r="A30" s="1258"/>
      <c r="B30" s="1259" t="s">
        <v>1186</v>
      </c>
      <c r="C30" s="2147"/>
      <c r="D30" s="2147"/>
      <c r="E30" s="2146"/>
      <c r="F30" s="2146"/>
      <c r="G30" s="2146"/>
      <c r="H30" s="2146"/>
      <c r="I30" s="2147">
        <v>1</v>
      </c>
      <c r="J30" s="2147">
        <v>5000</v>
      </c>
      <c r="K30" s="1260">
        <f>I30*J30/1000</f>
        <v>5</v>
      </c>
      <c r="L30" s="1260"/>
      <c r="M30" s="1260"/>
      <c r="N30" s="1257"/>
    </row>
    <row r="31" spans="1:14" x14ac:dyDescent="0.25">
      <c r="A31" s="1249"/>
      <c r="B31" s="1261" t="s">
        <v>230</v>
      </c>
      <c r="C31" s="1249"/>
      <c r="D31" s="1249"/>
      <c r="E31" s="1249"/>
      <c r="F31" s="1249"/>
      <c r="G31" s="1249"/>
      <c r="H31" s="1249"/>
      <c r="I31" s="1249"/>
      <c r="J31" s="1249"/>
      <c r="K31" s="1249">
        <f>SUM(K9:K30)</f>
        <v>222.3</v>
      </c>
      <c r="L31" s="1249">
        <f t="shared" ref="L31:M31" si="2">SUM(L9:L29)</f>
        <v>217.3</v>
      </c>
      <c r="M31" s="1249">
        <f t="shared" si="2"/>
        <v>217.3</v>
      </c>
      <c r="N31" s="1257"/>
    </row>
    <row r="32" spans="1:14" s="1262" customFormat="1" ht="18.75" customHeight="1" x14ac:dyDescent="0.25">
      <c r="A32" s="2877" t="s">
        <v>216</v>
      </c>
      <c r="B32" s="2877"/>
      <c r="C32" s="2877"/>
      <c r="D32" s="2877"/>
      <c r="E32" s="2877"/>
      <c r="F32" s="2877"/>
      <c r="G32" s="2877"/>
      <c r="H32" s="2877"/>
      <c r="I32" s="2877"/>
      <c r="J32" s="2877"/>
      <c r="K32" s="2877"/>
      <c r="L32" s="2877"/>
      <c r="M32" s="2877"/>
    </row>
    <row r="33" spans="1:13" ht="18.75" x14ac:dyDescent="0.3">
      <c r="A33" s="1263"/>
    </row>
    <row r="34" spans="1:13" ht="18.75" x14ac:dyDescent="0.3">
      <c r="A34" s="1263"/>
      <c r="J34" s="1257" t="s">
        <v>1214</v>
      </c>
      <c r="K34" s="1250">
        <v>2020</v>
      </c>
      <c r="L34" s="1250">
        <v>2021</v>
      </c>
      <c r="M34" s="1250">
        <v>2022</v>
      </c>
    </row>
    <row r="35" spans="1:13" ht="18.75" x14ac:dyDescent="0.3">
      <c r="A35" s="1263"/>
      <c r="J35" s="1257" t="s">
        <v>1310</v>
      </c>
      <c r="K35" s="1264">
        <f>K31</f>
        <v>222.3</v>
      </c>
      <c r="L35" s="1264">
        <f t="shared" ref="L35:M35" si="3">L31</f>
        <v>217.3</v>
      </c>
      <c r="M35" s="1264">
        <f t="shared" si="3"/>
        <v>217.3</v>
      </c>
    </row>
    <row r="36" spans="1:13" ht="18.75" x14ac:dyDescent="0.3">
      <c r="A36" s="1263"/>
      <c r="J36" s="1257" t="s">
        <v>1312</v>
      </c>
      <c r="K36" s="1264">
        <f>'расходы самоокупаемые (01.01.20'!H25+'расходы самоокупаемые (01.01.20'!H26+'расходы самоокупаемые (01.01.20'!H27</f>
        <v>123.91</v>
      </c>
      <c r="L36" s="1264">
        <f>'расходы самоокупаемые (01.01.20'!I25+'расходы самоокупаемые (01.01.20'!I26+'расходы самоокупаемые (01.01.20'!I27</f>
        <v>123.91</v>
      </c>
      <c r="M36" s="1264">
        <f>'расходы самоокупаемые (01.01.20'!J25+'расходы самоокупаемые (01.01.20'!J26+'расходы самоокупаемые (01.01.20'!J27</f>
        <v>123.91</v>
      </c>
    </row>
    <row r="37" spans="1:13" ht="18.75" x14ac:dyDescent="0.3">
      <c r="A37" s="1263"/>
      <c r="J37" s="1257" t="s">
        <v>97</v>
      </c>
      <c r="K37" s="1264">
        <f>SUM(K35:K36)</f>
        <v>346.21</v>
      </c>
      <c r="L37" s="1264">
        <f t="shared" ref="L37:M37" si="4">SUM(L35:L36)</f>
        <v>341.21</v>
      </c>
      <c r="M37" s="1264">
        <f t="shared" si="4"/>
        <v>341.21</v>
      </c>
    </row>
    <row r="38" spans="1:13" ht="18.75" x14ac:dyDescent="0.3">
      <c r="A38" s="1263"/>
    </row>
    <row r="39" spans="1:13" x14ac:dyDescent="0.25">
      <c r="B39" s="1180" t="s">
        <v>1398</v>
      </c>
      <c r="C39" s="2780"/>
      <c r="D39" s="2780"/>
      <c r="E39" s="2780"/>
      <c r="F39" s="1180"/>
      <c r="G39" s="1180"/>
      <c r="H39" s="1180"/>
    </row>
    <row r="40" spans="1:13" x14ac:dyDescent="0.25">
      <c r="B40" s="1180"/>
      <c r="C40" s="2873" t="s">
        <v>217</v>
      </c>
      <c r="D40" s="2873"/>
      <c r="E40" s="2873"/>
      <c r="F40" s="1180"/>
      <c r="G40" s="1180"/>
      <c r="H40" s="1180"/>
    </row>
    <row r="41" spans="1:13" ht="31.5" x14ac:dyDescent="0.25">
      <c r="B41" s="830" t="s">
        <v>1452</v>
      </c>
      <c r="C41" s="1180"/>
      <c r="D41" s="1180"/>
      <c r="E41" s="1180"/>
      <c r="F41" s="1180"/>
      <c r="G41" s="1180"/>
      <c r="H41" s="1180"/>
    </row>
    <row r="42" spans="1:13" x14ac:dyDescent="0.25">
      <c r="B42" s="1180"/>
      <c r="C42" s="1180"/>
      <c r="D42" s="1180"/>
      <c r="E42" s="1180"/>
      <c r="F42" s="1180"/>
      <c r="G42" s="1180"/>
      <c r="H42" s="1180"/>
    </row>
  </sheetData>
  <mergeCells count="18">
    <mergeCell ref="J6:J7"/>
    <mergeCell ref="K6:K7"/>
    <mergeCell ref="A32:M32"/>
    <mergeCell ref="A2:N2"/>
    <mergeCell ref="B3:M3"/>
    <mergeCell ref="A5:A7"/>
    <mergeCell ref="B5:B7"/>
    <mergeCell ref="C5:H5"/>
    <mergeCell ref="I5:K5"/>
    <mergeCell ref="L5:L7"/>
    <mergeCell ref="M5:M7"/>
    <mergeCell ref="N5:N7"/>
    <mergeCell ref="C6:C7"/>
    <mergeCell ref="C39:E39"/>
    <mergeCell ref="C40:E40"/>
    <mergeCell ref="D6:D7"/>
    <mergeCell ref="E6:H6"/>
    <mergeCell ref="I6:I7"/>
  </mergeCells>
  <pageMargins left="0.70866141732283472" right="0.70866141732283472" top="0.74803149606299213" bottom="0.74803149606299213" header="0.31496062992125984" footer="0.31496062992125984"/>
  <pageSetup paperSize="9" scale="4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7" tint="0.39997558519241921"/>
    <pageSetUpPr fitToPage="1"/>
  </sheetPr>
  <dimension ref="A1:J18"/>
  <sheetViews>
    <sheetView view="pageBreakPreview" zoomScale="110" zoomScaleNormal="85" zoomScaleSheetLayoutView="110" workbookViewId="0">
      <selection activeCell="N6" sqref="N6"/>
    </sheetView>
  </sheetViews>
  <sheetFormatPr defaultColWidth="12" defaultRowHeight="15" x14ac:dyDescent="0.25"/>
  <cols>
    <col min="1" max="1" width="4.6640625" style="425" customWidth="1"/>
    <col min="2" max="2" width="25" style="426" customWidth="1"/>
    <col min="3" max="8" width="14.33203125" style="428" customWidth="1"/>
    <col min="9" max="9" width="13.33203125" style="428" customWidth="1"/>
    <col min="10" max="16384" width="12" style="428"/>
  </cols>
  <sheetData>
    <row r="1" spans="1:10" ht="16.5" customHeight="1" x14ac:dyDescent="0.25">
      <c r="E1" s="1265"/>
      <c r="F1" s="1265"/>
      <c r="G1" s="1265"/>
      <c r="H1" s="1265"/>
    </row>
    <row r="2" spans="1:10" ht="64.5" customHeight="1" x14ac:dyDescent="0.25">
      <c r="A2" s="2887" t="s">
        <v>1453</v>
      </c>
      <c r="B2" s="2887"/>
      <c r="C2" s="2887"/>
      <c r="D2" s="2887"/>
      <c r="E2" s="2887"/>
      <c r="F2" s="2887"/>
      <c r="G2" s="2887"/>
      <c r="H2" s="2887"/>
    </row>
    <row r="3" spans="1:10" ht="12" customHeight="1" x14ac:dyDescent="0.25">
      <c r="A3" s="2888" t="s">
        <v>1256</v>
      </c>
      <c r="B3" s="2888"/>
      <c r="C3" s="2888"/>
      <c r="D3" s="2888"/>
      <c r="E3" s="2888"/>
      <c r="F3" s="2888"/>
      <c r="G3" s="2888"/>
      <c r="H3" s="2888"/>
      <c r="I3" s="429"/>
    </row>
    <row r="4" spans="1:10" ht="12" customHeight="1" x14ac:dyDescent="0.25">
      <c r="H4" s="2075">
        <v>43829</v>
      </c>
      <c r="I4" s="429"/>
    </row>
    <row r="5" spans="1:10" s="432" customFormat="1" ht="24" customHeight="1" x14ac:dyDescent="0.2">
      <c r="A5" s="2889" t="s">
        <v>219</v>
      </c>
      <c r="B5" s="2889" t="s">
        <v>231</v>
      </c>
      <c r="C5" s="2891" t="s">
        <v>750</v>
      </c>
      <c r="D5" s="2892"/>
      <c r="E5" s="2891" t="s">
        <v>751</v>
      </c>
      <c r="F5" s="2893"/>
      <c r="G5" s="2891" t="s">
        <v>752</v>
      </c>
      <c r="H5" s="2893"/>
      <c r="I5" s="430"/>
      <c r="J5" s="431"/>
    </row>
    <row r="6" spans="1:10" s="432" customFormat="1" ht="36.75" customHeight="1" x14ac:dyDescent="0.2">
      <c r="A6" s="2890"/>
      <c r="B6" s="2890"/>
      <c r="C6" s="2894" t="s">
        <v>357</v>
      </c>
      <c r="D6" s="2895"/>
      <c r="E6" s="2896" t="s">
        <v>357</v>
      </c>
      <c r="F6" s="2897"/>
      <c r="G6" s="2896" t="s">
        <v>357</v>
      </c>
      <c r="H6" s="2897"/>
      <c r="I6" s="430"/>
      <c r="J6" s="431"/>
    </row>
    <row r="7" spans="1:10" s="432" customFormat="1" ht="24" x14ac:dyDescent="0.2">
      <c r="A7" s="2890"/>
      <c r="B7" s="2890"/>
      <c r="C7" s="1266" t="s">
        <v>593</v>
      </c>
      <c r="D7" s="1266" t="s">
        <v>557</v>
      </c>
      <c r="E7" s="1266" t="s">
        <v>593</v>
      </c>
      <c r="F7" s="1266" t="s">
        <v>557</v>
      </c>
      <c r="G7" s="1266" t="s">
        <v>593</v>
      </c>
      <c r="H7" s="1266" t="s">
        <v>557</v>
      </c>
      <c r="I7" s="430"/>
      <c r="J7" s="431"/>
    </row>
    <row r="8" spans="1:10" s="432" customFormat="1" ht="12.75" x14ac:dyDescent="0.2">
      <c r="A8" s="774">
        <v>1</v>
      </c>
      <c r="B8" s="774">
        <v>2</v>
      </c>
      <c r="C8" s="774">
        <v>3</v>
      </c>
      <c r="D8" s="774">
        <v>4</v>
      </c>
      <c r="E8" s="774">
        <v>5</v>
      </c>
      <c r="F8" s="774">
        <v>6</v>
      </c>
      <c r="G8" s="774">
        <v>7</v>
      </c>
      <c r="H8" s="774">
        <v>8</v>
      </c>
      <c r="I8" s="430"/>
      <c r="J8" s="431"/>
    </row>
    <row r="9" spans="1:10" s="432" customFormat="1" ht="13.5" customHeight="1" x14ac:dyDescent="0.2">
      <c r="A9" s="435"/>
      <c r="B9" s="1267" t="s">
        <v>1454</v>
      </c>
      <c r="C9" s="1268">
        <f>C10+C11</f>
        <v>15</v>
      </c>
      <c r="D9" s="1268">
        <v>1.6</v>
      </c>
      <c r="E9" s="1268">
        <v>15</v>
      </c>
      <c r="F9" s="1269">
        <f>F10+F11</f>
        <v>1.6</v>
      </c>
      <c r="G9" s="1269">
        <v>15</v>
      </c>
      <c r="H9" s="1269">
        <f>H10+H11</f>
        <v>1.6</v>
      </c>
      <c r="I9" s="430"/>
      <c r="J9" s="431"/>
    </row>
    <row r="10" spans="1:10" s="432" customFormat="1" ht="12" customHeight="1" x14ac:dyDescent="0.2">
      <c r="A10" s="444"/>
      <c r="B10" s="440" t="s">
        <v>759</v>
      </c>
      <c r="C10" s="774"/>
      <c r="D10" s="774"/>
      <c r="E10" s="1270"/>
      <c r="F10" s="444"/>
      <c r="G10" s="444"/>
      <c r="H10" s="444"/>
      <c r="I10" s="430"/>
      <c r="J10" s="431"/>
    </row>
    <row r="11" spans="1:10" s="432" customFormat="1" ht="12" customHeight="1" x14ac:dyDescent="0.2">
      <c r="A11" s="444"/>
      <c r="B11" s="440" t="s">
        <v>760</v>
      </c>
      <c r="C11" s="1271">
        <v>15</v>
      </c>
      <c r="D11" s="774">
        <f>1600/1000</f>
        <v>1.6</v>
      </c>
      <c r="E11" s="1271">
        <v>15</v>
      </c>
      <c r="F11" s="1272">
        <v>1.6</v>
      </c>
      <c r="G11" s="1272">
        <v>15</v>
      </c>
      <c r="H11" s="1272">
        <v>1.6</v>
      </c>
      <c r="I11" s="430"/>
      <c r="J11" s="431"/>
    </row>
    <row r="12" spans="1:10" s="432" customFormat="1" ht="12" customHeight="1" x14ac:dyDescent="0.2">
      <c r="A12" s="444"/>
      <c r="B12" s="440" t="s">
        <v>761</v>
      </c>
      <c r="C12" s="774"/>
      <c r="D12" s="774"/>
      <c r="E12" s="1270"/>
      <c r="F12" s="1272"/>
      <c r="G12" s="1272"/>
      <c r="H12" s="1272"/>
      <c r="I12" s="430"/>
      <c r="J12" s="431"/>
    </row>
    <row r="13" spans="1:10" s="432" customFormat="1" ht="12" customHeight="1" x14ac:dyDescent="0.2">
      <c r="A13" s="435"/>
      <c r="B13" s="443"/>
      <c r="C13" s="435"/>
      <c r="D13" s="435"/>
      <c r="E13" s="1270"/>
      <c r="F13" s="1272"/>
      <c r="G13" s="1272"/>
      <c r="H13" s="1272"/>
      <c r="I13" s="430"/>
      <c r="J13" s="431"/>
    </row>
    <row r="14" spans="1:10" s="432" customFormat="1" ht="12" customHeight="1" x14ac:dyDescent="0.2">
      <c r="A14" s="445"/>
      <c r="B14" s="773"/>
      <c r="C14" s="445"/>
      <c r="D14" s="445"/>
      <c r="E14" s="448"/>
      <c r="F14" s="450"/>
      <c r="G14" s="450"/>
      <c r="H14" s="450"/>
      <c r="I14" s="430"/>
      <c r="J14" s="431"/>
    </row>
    <row r="15" spans="1:10" s="1273" customFormat="1" ht="12" x14ac:dyDescent="0.2">
      <c r="B15" s="1274" t="s">
        <v>1455</v>
      </c>
    </row>
    <row r="16" spans="1:10" s="1273" customFormat="1" ht="12" x14ac:dyDescent="0.2">
      <c r="B16" s="1274"/>
    </row>
    <row r="17" spans="1:3" s="1273" customFormat="1" ht="12" x14ac:dyDescent="0.2">
      <c r="B17" s="1274" t="s">
        <v>1445</v>
      </c>
      <c r="C17" s="1274"/>
    </row>
    <row r="18" spans="1:3" s="430" customFormat="1" ht="12" x14ac:dyDescent="0.2">
      <c r="A18" s="425"/>
      <c r="B18" s="425"/>
    </row>
  </sheetData>
  <mergeCells count="10">
    <mergeCell ref="A2:H2"/>
    <mergeCell ref="A3:H3"/>
    <mergeCell ref="A5:A7"/>
    <mergeCell ref="B5:B7"/>
    <mergeCell ref="C5:D5"/>
    <mergeCell ref="E5:F5"/>
    <mergeCell ref="G5:H5"/>
    <mergeCell ref="C6:D6"/>
    <mergeCell ref="E6:F6"/>
    <mergeCell ref="G6:H6"/>
  </mergeCells>
  <pageMargins left="0.59055118110236227" right="0.39370078740157483" top="0.78740157480314965" bottom="0.23622047244094491" header="0.19685039370078741" footer="0.15748031496062992"/>
  <pageSetup paperSize="9" scale="89"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7" tint="0.39997558519241921"/>
    <pageSetUpPr fitToPage="1"/>
  </sheetPr>
  <dimension ref="A1:N41"/>
  <sheetViews>
    <sheetView view="pageBreakPreview" topLeftCell="A2" zoomScale="80" zoomScaleNormal="80" zoomScaleSheetLayoutView="80" workbookViewId="0">
      <pane xSplit="3" ySplit="7" topLeftCell="D24" activePane="bottomRight" state="frozen"/>
      <selection activeCell="K20" sqref="K20"/>
      <selection pane="topRight" activeCell="K20" sqref="K20"/>
      <selection pane="bottomLeft" activeCell="K20" sqref="K20"/>
      <selection pane="bottomRight" activeCell="R21" sqref="R21"/>
    </sheetView>
  </sheetViews>
  <sheetFormatPr defaultRowHeight="12.75" x14ac:dyDescent="0.2"/>
  <cols>
    <col min="1" max="1" width="7" style="974" bestFit="1" customWidth="1"/>
    <col min="2" max="2" width="52.33203125" style="974" customWidth="1"/>
    <col min="3" max="3" width="9" style="974" customWidth="1"/>
    <col min="4" max="4" width="14.5" style="974" customWidth="1"/>
    <col min="5" max="5" width="12.5" style="974" bestFit="1" customWidth="1"/>
    <col min="6" max="6" width="12" style="974" bestFit="1" customWidth="1"/>
    <col min="7" max="7" width="16.5" style="974" customWidth="1"/>
    <col min="8" max="8" width="29.1640625" style="974" customWidth="1"/>
    <col min="9" max="9" width="12.5" style="974" bestFit="1" customWidth="1"/>
    <col min="10" max="10" width="12" style="974" bestFit="1" customWidth="1"/>
    <col min="11" max="11" width="16.5" style="974" customWidth="1"/>
    <col min="12" max="12" width="12.5" style="974" bestFit="1" customWidth="1"/>
    <col min="13" max="13" width="12" style="974" bestFit="1" customWidth="1"/>
    <col min="14" max="14" width="18" style="974" customWidth="1"/>
    <col min="15" max="16384" width="9.33203125" style="974"/>
  </cols>
  <sheetData>
    <row r="1" spans="1:14" ht="52.5" customHeight="1" x14ac:dyDescent="0.2">
      <c r="I1" s="2899" t="s">
        <v>1179</v>
      </c>
      <c r="J1" s="2899"/>
      <c r="K1" s="2899"/>
      <c r="L1" s="2899"/>
      <c r="M1" s="2899"/>
      <c r="N1" s="2899"/>
    </row>
    <row r="3" spans="1:14" ht="35.25" customHeight="1" x14ac:dyDescent="0.2">
      <c r="A3" s="2900" t="s">
        <v>1456</v>
      </c>
      <c r="B3" s="2900"/>
      <c r="C3" s="2900"/>
      <c r="D3" s="2900"/>
      <c r="E3" s="2900"/>
      <c r="F3" s="2900"/>
      <c r="G3" s="2900"/>
      <c r="H3" s="2900"/>
      <c r="I3" s="2900"/>
      <c r="J3" s="2900"/>
      <c r="K3" s="2900"/>
      <c r="L3" s="2900"/>
      <c r="M3" s="2900"/>
      <c r="N3" s="2900"/>
    </row>
    <row r="4" spans="1:14" ht="15.75" x14ac:dyDescent="0.2">
      <c r="A4" s="2901" t="s">
        <v>1256</v>
      </c>
      <c r="B4" s="2901"/>
      <c r="C4" s="2901"/>
      <c r="D4" s="2901"/>
      <c r="E4" s="2901"/>
      <c r="F4" s="2901"/>
      <c r="G4" s="2901"/>
      <c r="H4" s="2901"/>
      <c r="I4" s="2901"/>
      <c r="J4" s="2901"/>
      <c r="K4" s="2901"/>
      <c r="L4" s="2901"/>
      <c r="M4" s="2901"/>
      <c r="N4" s="2901"/>
    </row>
    <row r="5" spans="1:14" x14ac:dyDescent="0.2">
      <c r="N5" s="1275">
        <v>43829</v>
      </c>
    </row>
    <row r="6" spans="1:14" ht="12.75" customHeight="1" x14ac:dyDescent="0.2">
      <c r="A6" s="2681" t="s">
        <v>78</v>
      </c>
      <c r="B6" s="2681" t="s">
        <v>248</v>
      </c>
      <c r="C6" s="2664" t="s">
        <v>221</v>
      </c>
      <c r="D6" s="2902" t="s">
        <v>1180</v>
      </c>
      <c r="E6" s="2902"/>
      <c r="F6" s="2902"/>
      <c r="G6" s="2902"/>
      <c r="H6" s="2902"/>
      <c r="I6" s="2903" t="s">
        <v>1181</v>
      </c>
      <c r="J6" s="2903"/>
      <c r="K6" s="2903"/>
      <c r="L6" s="2903" t="s">
        <v>1182</v>
      </c>
      <c r="M6" s="2903"/>
      <c r="N6" s="2903"/>
    </row>
    <row r="7" spans="1:14" ht="12.75" customHeight="1" x14ac:dyDescent="0.2">
      <c r="A7" s="2681"/>
      <c r="B7" s="2681"/>
      <c r="C7" s="2664"/>
      <c r="D7" s="2664" t="s">
        <v>1183</v>
      </c>
      <c r="E7" s="2664" t="s">
        <v>1184</v>
      </c>
      <c r="F7" s="2664" t="s">
        <v>1185</v>
      </c>
      <c r="G7" s="2664" t="s">
        <v>467</v>
      </c>
      <c r="H7" s="2664" t="s">
        <v>182</v>
      </c>
      <c r="I7" s="2664" t="s">
        <v>1184</v>
      </c>
      <c r="J7" s="2664" t="s">
        <v>1185</v>
      </c>
      <c r="K7" s="2664" t="s">
        <v>467</v>
      </c>
      <c r="L7" s="2664" t="s">
        <v>1184</v>
      </c>
      <c r="M7" s="2664" t="s">
        <v>1185</v>
      </c>
      <c r="N7" s="2664" t="s">
        <v>467</v>
      </c>
    </row>
    <row r="8" spans="1:14" ht="68.25" customHeight="1" x14ac:dyDescent="0.2">
      <c r="A8" s="2681"/>
      <c r="B8" s="2681"/>
      <c r="C8" s="2664"/>
      <c r="D8" s="2664"/>
      <c r="E8" s="2664"/>
      <c r="F8" s="2664"/>
      <c r="G8" s="2664"/>
      <c r="H8" s="2664"/>
      <c r="I8" s="2664"/>
      <c r="J8" s="2664"/>
      <c r="K8" s="2664"/>
      <c r="L8" s="2664"/>
      <c r="M8" s="2664"/>
      <c r="N8" s="2664"/>
    </row>
    <row r="9" spans="1:14" ht="12.75" customHeight="1" x14ac:dyDescent="0.2">
      <c r="A9" s="984">
        <v>1</v>
      </c>
      <c r="B9" s="984">
        <v>2</v>
      </c>
      <c r="C9" s="984">
        <v>3</v>
      </c>
      <c r="D9" s="984">
        <v>4</v>
      </c>
      <c r="E9" s="984">
        <v>5</v>
      </c>
      <c r="F9" s="984">
        <v>6</v>
      </c>
      <c r="G9" s="984">
        <v>7</v>
      </c>
      <c r="H9" s="984">
        <v>8</v>
      </c>
      <c r="I9" s="984">
        <v>9</v>
      </c>
      <c r="J9" s="984">
        <v>10</v>
      </c>
      <c r="K9" s="984">
        <v>11</v>
      </c>
      <c r="L9" s="984">
        <v>12</v>
      </c>
      <c r="M9" s="984">
        <v>13</v>
      </c>
      <c r="N9" s="984">
        <v>14</v>
      </c>
    </row>
    <row r="10" spans="1:14" s="1279" customFormat="1" ht="15.75" x14ac:dyDescent="0.2">
      <c r="A10" s="1276"/>
      <c r="B10" s="1277" t="s">
        <v>1186</v>
      </c>
      <c r="C10" s="1276"/>
      <c r="D10" s="1278"/>
      <c r="E10" s="1278"/>
      <c r="F10" s="1036"/>
      <c r="G10" s="1278"/>
      <c r="H10" s="1278"/>
      <c r="I10" s="1278"/>
      <c r="J10" s="1036"/>
      <c r="K10" s="1278"/>
      <c r="L10" s="1278"/>
      <c r="M10" s="1036"/>
      <c r="N10" s="1278"/>
    </row>
    <row r="11" spans="1:14" s="1279" customFormat="1" ht="36.75" customHeight="1" x14ac:dyDescent="0.2">
      <c r="A11" s="984">
        <v>1</v>
      </c>
      <c r="B11" s="1280" t="s">
        <v>1457</v>
      </c>
      <c r="C11" s="1276"/>
      <c r="D11" s="1278"/>
      <c r="E11" s="1278"/>
      <c r="F11" s="1036"/>
      <c r="G11" s="1278"/>
      <c r="H11" s="1036" t="s">
        <v>1458</v>
      </c>
      <c r="I11" s="1278"/>
      <c r="J11" s="1036"/>
      <c r="K11" s="1278"/>
      <c r="L11" s="1278"/>
      <c r="M11" s="1036"/>
      <c r="N11" s="1278"/>
    </row>
    <row r="12" spans="1:14" s="1279" customFormat="1" x14ac:dyDescent="0.2">
      <c r="A12" s="984"/>
      <c r="B12" s="1280" t="s">
        <v>1188</v>
      </c>
      <c r="C12" s="1276"/>
      <c r="D12" s="1278"/>
      <c r="E12" s="1278"/>
      <c r="F12" s="1036"/>
      <c r="G12" s="1278"/>
      <c r="H12" s="1278"/>
      <c r="I12" s="1278"/>
      <c r="J12" s="1036"/>
      <c r="K12" s="1278"/>
      <c r="L12" s="1278"/>
      <c r="M12" s="1036"/>
      <c r="N12" s="1278"/>
    </row>
    <row r="13" spans="1:14" x14ac:dyDescent="0.2">
      <c r="A13" s="984">
        <v>2</v>
      </c>
      <c r="B13" s="1280" t="s">
        <v>1187</v>
      </c>
      <c r="C13" s="807"/>
      <c r="D13" s="807"/>
      <c r="E13" s="807"/>
      <c r="F13" s="807"/>
      <c r="G13" s="807"/>
      <c r="H13" s="807"/>
      <c r="I13" s="807"/>
      <c r="J13" s="807"/>
      <c r="K13" s="807"/>
      <c r="L13" s="807"/>
      <c r="M13" s="807"/>
      <c r="N13" s="807"/>
    </row>
    <row r="14" spans="1:14" x14ac:dyDescent="0.2">
      <c r="A14" s="984"/>
      <c r="B14" s="1280" t="s">
        <v>1188</v>
      </c>
      <c r="C14" s="807"/>
      <c r="D14" s="807"/>
      <c r="E14" s="807"/>
      <c r="F14" s="807"/>
      <c r="G14" s="807"/>
      <c r="H14" s="807"/>
      <c r="I14" s="807"/>
      <c r="J14" s="807"/>
      <c r="K14" s="807"/>
      <c r="L14" s="807"/>
      <c r="M14" s="807"/>
      <c r="N14" s="807"/>
    </row>
    <row r="15" spans="1:14" x14ac:dyDescent="0.2">
      <c r="A15" s="984">
        <v>3</v>
      </c>
      <c r="B15" s="1280" t="s">
        <v>1190</v>
      </c>
      <c r="C15" s="807"/>
      <c r="D15" s="807"/>
      <c r="E15" s="807"/>
      <c r="F15" s="807"/>
      <c r="G15" s="807"/>
      <c r="H15" s="807"/>
      <c r="I15" s="807"/>
      <c r="J15" s="807"/>
      <c r="K15" s="807"/>
      <c r="L15" s="807"/>
      <c r="M15" s="807"/>
      <c r="N15" s="807"/>
    </row>
    <row r="16" spans="1:14" x14ac:dyDescent="0.2">
      <c r="A16" s="984"/>
      <c r="B16" s="1280" t="s">
        <v>1188</v>
      </c>
      <c r="C16" s="807"/>
      <c r="D16" s="807"/>
      <c r="E16" s="807"/>
      <c r="F16" s="807"/>
      <c r="G16" s="807"/>
      <c r="H16" s="807"/>
      <c r="I16" s="807"/>
      <c r="J16" s="807"/>
      <c r="K16" s="807"/>
      <c r="L16" s="807"/>
      <c r="M16" s="807"/>
      <c r="N16" s="807"/>
    </row>
    <row r="17" spans="1:14" ht="25.5" x14ac:dyDescent="0.2">
      <c r="A17" s="984">
        <v>4</v>
      </c>
      <c r="B17" s="1280" t="s">
        <v>1459</v>
      </c>
      <c r="C17" s="807"/>
      <c r="D17" s="807"/>
      <c r="E17" s="807"/>
      <c r="F17" s="807"/>
      <c r="G17" s="807"/>
      <c r="H17" s="807"/>
      <c r="I17" s="807"/>
      <c r="J17" s="807"/>
      <c r="K17" s="807"/>
      <c r="L17" s="807"/>
      <c r="M17" s="807"/>
      <c r="N17" s="807"/>
    </row>
    <row r="18" spans="1:14" x14ac:dyDescent="0.2">
      <c r="A18" s="984"/>
      <c r="B18" s="1280" t="s">
        <v>1188</v>
      </c>
      <c r="C18" s="807"/>
      <c r="D18" s="807"/>
      <c r="E18" s="807"/>
      <c r="F18" s="807"/>
      <c r="G18" s="807"/>
      <c r="H18" s="807"/>
      <c r="I18" s="807"/>
      <c r="J18" s="807"/>
      <c r="K18" s="807"/>
      <c r="L18" s="807"/>
      <c r="M18" s="807"/>
      <c r="N18" s="807"/>
    </row>
    <row r="19" spans="1:14" x14ac:dyDescent="0.2">
      <c r="A19" s="984">
        <v>5</v>
      </c>
      <c r="B19" s="1280" t="s">
        <v>1193</v>
      </c>
      <c r="C19" s="807"/>
      <c r="D19" s="807"/>
      <c r="E19" s="807"/>
      <c r="F19" s="807"/>
      <c r="G19" s="807"/>
      <c r="H19" s="807"/>
      <c r="I19" s="807"/>
      <c r="J19" s="807"/>
      <c r="K19" s="807"/>
      <c r="L19" s="807"/>
      <c r="M19" s="807"/>
      <c r="N19" s="807"/>
    </row>
    <row r="20" spans="1:14" x14ac:dyDescent="0.2">
      <c r="A20" s="984"/>
      <c r="B20" s="1280" t="s">
        <v>1188</v>
      </c>
      <c r="C20" s="807"/>
      <c r="D20" s="807"/>
      <c r="E20" s="807"/>
      <c r="F20" s="807"/>
      <c r="G20" s="807"/>
      <c r="H20" s="807"/>
      <c r="I20" s="807"/>
      <c r="J20" s="807"/>
      <c r="K20" s="807"/>
      <c r="L20" s="807"/>
      <c r="M20" s="807"/>
      <c r="N20" s="807"/>
    </row>
    <row r="21" spans="1:14" ht="38.25" x14ac:dyDescent="0.2">
      <c r="A21" s="984">
        <v>6</v>
      </c>
      <c r="B21" s="1280" t="s">
        <v>1460</v>
      </c>
      <c r="C21" s="984"/>
      <c r="D21" s="984"/>
      <c r="E21" s="984"/>
      <c r="F21" s="984"/>
      <c r="G21" s="984"/>
      <c r="H21" s="984"/>
      <c r="I21" s="984"/>
      <c r="J21" s="984"/>
      <c r="K21" s="984"/>
      <c r="L21" s="984"/>
      <c r="M21" s="984"/>
      <c r="N21" s="984"/>
    </row>
    <row r="22" spans="1:14" x14ac:dyDescent="0.2">
      <c r="A22" s="984"/>
      <c r="B22" s="1280" t="s">
        <v>1188</v>
      </c>
      <c r="C22" s="984"/>
      <c r="D22" s="984"/>
      <c r="E22" s="984"/>
      <c r="F22" s="984"/>
      <c r="G22" s="984"/>
      <c r="H22" s="984"/>
      <c r="I22" s="984"/>
      <c r="J22" s="984"/>
      <c r="K22" s="984"/>
      <c r="L22" s="984"/>
      <c r="M22" s="984"/>
      <c r="N22" s="984"/>
    </row>
    <row r="23" spans="1:14" x14ac:dyDescent="0.2">
      <c r="A23" s="984">
        <v>7</v>
      </c>
      <c r="B23" s="1280" t="s">
        <v>1461</v>
      </c>
      <c r="C23" s="984"/>
      <c r="D23" s="984"/>
      <c r="E23" s="984"/>
      <c r="F23" s="984"/>
      <c r="G23" s="984"/>
      <c r="H23" s="984"/>
      <c r="I23" s="984"/>
      <c r="J23" s="984"/>
      <c r="K23" s="984"/>
      <c r="L23" s="984"/>
      <c r="M23" s="984"/>
      <c r="N23" s="984"/>
    </row>
    <row r="24" spans="1:14" x14ac:dyDescent="0.2">
      <c r="A24" s="984"/>
      <c r="B24" s="1280" t="s">
        <v>1188</v>
      </c>
      <c r="C24" s="984"/>
      <c r="D24" s="984"/>
      <c r="E24" s="984"/>
      <c r="F24" s="984"/>
      <c r="G24" s="984"/>
      <c r="H24" s="984"/>
      <c r="I24" s="984"/>
      <c r="J24" s="984"/>
      <c r="K24" s="984"/>
      <c r="L24" s="984"/>
      <c r="M24" s="984"/>
      <c r="N24" s="984"/>
    </row>
    <row r="25" spans="1:14" ht="38.25" x14ac:dyDescent="0.2">
      <c r="A25" s="984">
        <v>8</v>
      </c>
      <c r="B25" s="1280" t="s">
        <v>1462</v>
      </c>
      <c r="C25" s="984"/>
      <c r="D25" s="984"/>
      <c r="E25" s="984"/>
      <c r="F25" s="984"/>
      <c r="G25" s="984"/>
      <c r="H25" s="984"/>
      <c r="I25" s="984"/>
      <c r="J25" s="984"/>
      <c r="K25" s="984"/>
      <c r="L25" s="984"/>
      <c r="M25" s="984"/>
      <c r="N25" s="984"/>
    </row>
    <row r="26" spans="1:14" x14ac:dyDescent="0.2">
      <c r="A26" s="984"/>
      <c r="B26" s="1280" t="s">
        <v>1188</v>
      </c>
      <c r="C26" s="984"/>
      <c r="D26" s="984"/>
      <c r="E26" s="984"/>
      <c r="F26" s="984"/>
      <c r="G26" s="984"/>
      <c r="H26" s="984"/>
      <c r="I26" s="984"/>
      <c r="J26" s="984"/>
      <c r="K26" s="984"/>
      <c r="L26" s="984"/>
      <c r="M26" s="984"/>
      <c r="N26" s="984"/>
    </row>
    <row r="27" spans="1:14" ht="25.5" x14ac:dyDescent="0.2">
      <c r="A27" s="984">
        <v>9</v>
      </c>
      <c r="B27" s="1280" t="s">
        <v>1463</v>
      </c>
      <c r="C27" s="984"/>
      <c r="D27" s="984"/>
      <c r="E27" s="984"/>
      <c r="F27" s="984"/>
      <c r="G27" s="984"/>
      <c r="H27" s="984"/>
      <c r="I27" s="984"/>
      <c r="J27" s="984"/>
      <c r="K27" s="984"/>
      <c r="L27" s="984"/>
      <c r="M27" s="984"/>
      <c r="N27" s="984"/>
    </row>
    <row r="28" spans="1:14" x14ac:dyDescent="0.2">
      <c r="A28" s="984"/>
      <c r="B28" s="1280" t="s">
        <v>1188</v>
      </c>
      <c r="C28" s="984"/>
      <c r="D28" s="984"/>
      <c r="E28" s="984"/>
      <c r="F28" s="984"/>
      <c r="G28" s="984"/>
      <c r="H28" s="984"/>
      <c r="I28" s="984"/>
      <c r="J28" s="984"/>
      <c r="K28" s="984"/>
      <c r="L28" s="984"/>
      <c r="M28" s="984"/>
      <c r="N28" s="984"/>
    </row>
    <row r="29" spans="1:14" x14ac:dyDescent="0.2">
      <c r="A29" s="984">
        <v>10</v>
      </c>
      <c r="B29" s="807" t="s">
        <v>1464</v>
      </c>
      <c r="C29" s="984"/>
      <c r="D29" s="984"/>
      <c r="E29" s="984"/>
      <c r="F29" s="984"/>
      <c r="G29" s="984"/>
      <c r="H29" s="984"/>
      <c r="I29" s="984"/>
      <c r="J29" s="984"/>
      <c r="K29" s="984"/>
      <c r="L29" s="984"/>
      <c r="M29" s="984"/>
      <c r="N29" s="984"/>
    </row>
    <row r="30" spans="1:14" x14ac:dyDescent="0.2">
      <c r="A30" s="984"/>
      <c r="B30" s="1280" t="s">
        <v>1188</v>
      </c>
      <c r="C30" s="984"/>
      <c r="D30" s="984"/>
      <c r="E30" s="984"/>
      <c r="F30" s="984"/>
      <c r="G30" s="984"/>
      <c r="H30" s="984"/>
      <c r="I30" s="984"/>
      <c r="J30" s="984"/>
      <c r="K30" s="984"/>
      <c r="L30" s="984"/>
      <c r="M30" s="984"/>
      <c r="N30" s="984"/>
    </row>
    <row r="31" spans="1:14" x14ac:dyDescent="0.2">
      <c r="A31" s="984">
        <v>11</v>
      </c>
      <c r="B31" s="807" t="s">
        <v>1465</v>
      </c>
      <c r="C31" s="984"/>
      <c r="D31" s="984"/>
      <c r="E31" s="984"/>
      <c r="F31" s="984"/>
      <c r="G31" s="984"/>
      <c r="H31" s="984"/>
      <c r="I31" s="984"/>
      <c r="J31" s="984"/>
      <c r="K31" s="984"/>
      <c r="L31" s="984"/>
      <c r="M31" s="984"/>
      <c r="N31" s="984"/>
    </row>
    <row r="32" spans="1:14" x14ac:dyDescent="0.2">
      <c r="A32" s="984"/>
      <c r="B32" s="1280" t="s">
        <v>1188</v>
      </c>
      <c r="C32" s="984"/>
      <c r="D32" s="984"/>
      <c r="E32" s="984"/>
      <c r="F32" s="984"/>
      <c r="G32" s="984"/>
      <c r="H32" s="984"/>
      <c r="I32" s="984"/>
      <c r="J32" s="984"/>
      <c r="K32" s="984"/>
      <c r="L32" s="984"/>
      <c r="M32" s="984"/>
      <c r="N32" s="984"/>
    </row>
    <row r="33" spans="1:14" ht="15" x14ac:dyDescent="0.2">
      <c r="A33" s="1141">
        <v>12</v>
      </c>
      <c r="B33" s="1148" t="s">
        <v>1466</v>
      </c>
      <c r="C33" s="1141"/>
      <c r="D33" s="1141"/>
      <c r="E33" s="1141"/>
      <c r="F33" s="1141"/>
      <c r="G33" s="1141"/>
      <c r="H33" s="984"/>
      <c r="I33" s="1141"/>
      <c r="J33" s="1141"/>
      <c r="K33" s="1141"/>
      <c r="L33" s="1141"/>
      <c r="M33" s="1141"/>
      <c r="N33" s="1141"/>
    </row>
    <row r="34" spans="1:14" ht="15" x14ac:dyDescent="0.2">
      <c r="A34" s="1141"/>
      <c r="B34" s="1148" t="s">
        <v>1467</v>
      </c>
      <c r="C34" s="1141" t="s">
        <v>336</v>
      </c>
      <c r="D34" s="1141">
        <v>250</v>
      </c>
      <c r="E34" s="1141">
        <v>30</v>
      </c>
      <c r="F34" s="1141">
        <v>255</v>
      </c>
      <c r="G34" s="1281">
        <f>15000/1000</f>
        <v>15</v>
      </c>
      <c r="H34" s="984"/>
      <c r="I34" s="1141">
        <v>30</v>
      </c>
      <c r="J34" s="1141">
        <v>255</v>
      </c>
      <c r="K34" s="1281">
        <f>15000/1000</f>
        <v>15</v>
      </c>
      <c r="L34" s="1141">
        <v>30</v>
      </c>
      <c r="M34" s="1141">
        <v>255</v>
      </c>
      <c r="N34" s="1281">
        <f>15000/1000</f>
        <v>15</v>
      </c>
    </row>
    <row r="35" spans="1:14" ht="15.75" customHeight="1" x14ac:dyDescent="0.2">
      <c r="A35" s="984"/>
      <c r="B35" s="1282" t="s">
        <v>97</v>
      </c>
      <c r="C35" s="984"/>
      <c r="D35" s="984"/>
      <c r="E35" s="984"/>
      <c r="F35" s="1283"/>
      <c r="G35" s="1283"/>
      <c r="H35" s="1148"/>
      <c r="I35" s="984"/>
      <c r="J35" s="1283"/>
      <c r="K35" s="1283"/>
      <c r="L35" s="984"/>
      <c r="M35" s="1283"/>
      <c r="N35" s="1283"/>
    </row>
    <row r="36" spans="1:14" s="1285" customFormat="1" ht="33.75" customHeight="1" x14ac:dyDescent="0.2">
      <c r="A36" s="1284"/>
      <c r="B36" s="2898" t="s">
        <v>1194</v>
      </c>
      <c r="C36" s="2898"/>
      <c r="D36" s="2898"/>
      <c r="E36" s="2898"/>
      <c r="F36" s="2898"/>
      <c r="G36" s="2898"/>
      <c r="H36" s="2898"/>
      <c r="I36" s="2898"/>
      <c r="J36" s="2898"/>
    </row>
    <row r="37" spans="1:14" x14ac:dyDescent="0.2">
      <c r="A37" s="1286"/>
      <c r="B37" s="1286"/>
      <c r="C37" s="1286"/>
      <c r="D37" s="1286"/>
      <c r="E37" s="1286"/>
    </row>
    <row r="38" spans="1:14" ht="25.5" customHeight="1" x14ac:dyDescent="0.2">
      <c r="B38" s="778" t="s">
        <v>1468</v>
      </c>
    </row>
    <row r="39" spans="1:14" x14ac:dyDescent="0.2">
      <c r="B39" s="778"/>
    </row>
    <row r="40" spans="1:14" x14ac:dyDescent="0.2">
      <c r="B40" s="975" t="s">
        <v>1469</v>
      </c>
    </row>
    <row r="41" spans="1:14" x14ac:dyDescent="0.2">
      <c r="B41" s="975"/>
    </row>
  </sheetData>
  <mergeCells count="21">
    <mergeCell ref="I1:N1"/>
    <mergeCell ref="A3:N3"/>
    <mergeCell ref="A4:N4"/>
    <mergeCell ref="A6:A8"/>
    <mergeCell ref="B6:B8"/>
    <mergeCell ref="C6:C8"/>
    <mergeCell ref="D6:H6"/>
    <mergeCell ref="I6:K6"/>
    <mergeCell ref="L6:N6"/>
    <mergeCell ref="D7:D8"/>
    <mergeCell ref="K7:K8"/>
    <mergeCell ref="L7:L8"/>
    <mergeCell ref="M7:M8"/>
    <mergeCell ref="N7:N8"/>
    <mergeCell ref="B36:J36"/>
    <mergeCell ref="E7:E8"/>
    <mergeCell ref="F7:F8"/>
    <mergeCell ref="G7:G8"/>
    <mergeCell ref="H7:H8"/>
    <mergeCell ref="I7:I8"/>
    <mergeCell ref="J7:J8"/>
  </mergeCells>
  <pageMargins left="0.70866141732283472" right="0.70866141732283472" top="0.74803149606299213" bottom="0.74803149606299213" header="0.31496062992125984" footer="0.31496062992125984"/>
  <pageSetup paperSize="9" scale="61" fitToHeight="0"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7" tint="0.39997558519241921"/>
    <pageSetUpPr fitToPage="1"/>
  </sheetPr>
  <dimension ref="A1:H19"/>
  <sheetViews>
    <sheetView view="pageBreakPreview" zoomScale="80" zoomScaleNormal="100" zoomScaleSheetLayoutView="80" workbookViewId="0">
      <selection activeCell="E11" sqref="E11:G14"/>
    </sheetView>
  </sheetViews>
  <sheetFormatPr defaultRowHeight="15.75" x14ac:dyDescent="0.25"/>
  <cols>
    <col min="1" max="1" width="9.33203125" style="1244"/>
    <col min="2" max="2" width="45.33203125" style="1244" customWidth="1"/>
    <col min="3" max="3" width="14.33203125" style="1244" customWidth="1"/>
    <col min="4" max="4" width="15.83203125" style="1244" customWidth="1"/>
    <col min="5" max="5" width="20" style="1244" customWidth="1"/>
    <col min="6" max="7" width="15.83203125" style="1244" customWidth="1"/>
    <col min="8" max="8" width="27.83203125" style="1244" customWidth="1"/>
    <col min="9" max="16384" width="9.33203125" style="1244"/>
  </cols>
  <sheetData>
    <row r="1" spans="1:8" ht="31.5" customHeight="1" x14ac:dyDescent="0.25">
      <c r="A1" s="2878" t="s">
        <v>411</v>
      </c>
      <c r="B1" s="2878"/>
      <c r="C1" s="2878"/>
      <c r="D1" s="2878"/>
      <c r="E1" s="2878"/>
      <c r="F1" s="2878"/>
      <c r="G1" s="2878"/>
      <c r="H1" s="2878"/>
    </row>
    <row r="2" spans="1:8" ht="31.5" customHeight="1" x14ac:dyDescent="0.25">
      <c r="A2" s="2878" t="s">
        <v>1256</v>
      </c>
      <c r="B2" s="2878"/>
      <c r="C2" s="2878"/>
      <c r="D2" s="2878"/>
      <c r="E2" s="2878"/>
      <c r="F2" s="2878"/>
      <c r="G2" s="2878"/>
      <c r="H2" s="2878"/>
    </row>
    <row r="3" spans="1:8" x14ac:dyDescent="0.25">
      <c r="H3" s="1246">
        <v>43829</v>
      </c>
    </row>
    <row r="4" spans="1:8" ht="15.75" customHeight="1" x14ac:dyDescent="0.25">
      <c r="A4" s="2876" t="s">
        <v>78</v>
      </c>
      <c r="B4" s="2874" t="s">
        <v>213</v>
      </c>
      <c r="C4" s="2880" t="s">
        <v>187</v>
      </c>
      <c r="D4" s="2881"/>
      <c r="E4" s="2882"/>
      <c r="F4" s="2904" t="s">
        <v>356</v>
      </c>
      <c r="G4" s="2904" t="s">
        <v>362</v>
      </c>
      <c r="H4" s="2884" t="s">
        <v>182</v>
      </c>
    </row>
    <row r="5" spans="1:8" ht="34.5" customHeight="1" x14ac:dyDescent="0.25">
      <c r="A5" s="2876"/>
      <c r="B5" s="2879"/>
      <c r="C5" s="2874" t="s">
        <v>214</v>
      </c>
      <c r="D5" s="2874" t="s">
        <v>359</v>
      </c>
      <c r="E5" s="2874" t="s">
        <v>360</v>
      </c>
      <c r="F5" s="2905"/>
      <c r="G5" s="2905"/>
      <c r="H5" s="2885"/>
    </row>
    <row r="6" spans="1:8" ht="33" customHeight="1" x14ac:dyDescent="0.25">
      <c r="A6" s="2876"/>
      <c r="B6" s="2875"/>
      <c r="C6" s="2875"/>
      <c r="D6" s="2875"/>
      <c r="E6" s="2875"/>
      <c r="F6" s="2906"/>
      <c r="G6" s="2906"/>
      <c r="H6" s="2886"/>
    </row>
    <row r="7" spans="1:8" x14ac:dyDescent="0.25">
      <c r="A7" s="1249">
        <v>1</v>
      </c>
      <c r="B7" s="1247">
        <v>2</v>
      </c>
      <c r="C7" s="1249">
        <v>3</v>
      </c>
      <c r="D7" s="1247">
        <v>4</v>
      </c>
      <c r="E7" s="1249">
        <v>5</v>
      </c>
      <c r="F7" s="1247">
        <v>6</v>
      </c>
      <c r="G7" s="1249">
        <v>7</v>
      </c>
      <c r="H7" s="1247">
        <v>8</v>
      </c>
    </row>
    <row r="8" spans="1:8" x14ac:dyDescent="0.25">
      <c r="A8" s="1251" t="s">
        <v>392</v>
      </c>
      <c r="B8" s="1252" t="s">
        <v>412</v>
      </c>
      <c r="C8" s="1249"/>
      <c r="D8" s="1249"/>
      <c r="E8" s="1253"/>
      <c r="F8" s="1253"/>
      <c r="G8" s="1253"/>
      <c r="H8" s="1287"/>
    </row>
    <row r="9" spans="1:8" x14ac:dyDescent="0.25">
      <c r="A9" s="1249">
        <v>1</v>
      </c>
      <c r="B9" s="1256" t="s">
        <v>1444</v>
      </c>
      <c r="C9" s="1249"/>
      <c r="D9" s="1249"/>
      <c r="E9" s="1253"/>
      <c r="F9" s="1253"/>
      <c r="G9" s="1253"/>
      <c r="H9" s="1288"/>
    </row>
    <row r="10" spans="1:8" x14ac:dyDescent="0.25">
      <c r="A10" s="1251" t="s">
        <v>394</v>
      </c>
      <c r="B10" s="1252" t="s">
        <v>413</v>
      </c>
      <c r="C10" s="1249"/>
      <c r="D10" s="1249"/>
      <c r="E10" s="1253"/>
      <c r="F10" s="1253"/>
      <c r="G10" s="1253"/>
      <c r="H10" s="1288"/>
    </row>
    <row r="11" spans="1:8" x14ac:dyDescent="0.25">
      <c r="A11" s="1249">
        <v>1</v>
      </c>
      <c r="B11" s="1256" t="s">
        <v>1448</v>
      </c>
      <c r="C11" s="1249">
        <v>6</v>
      </c>
      <c r="D11" s="1249">
        <f>E11/C11*1000</f>
        <v>3600</v>
      </c>
      <c r="E11" s="2076">
        <f>21600/1000</f>
        <v>21.6</v>
      </c>
      <c r="F11" s="2076">
        <f t="shared" ref="F11:G11" si="0">21600/1000</f>
        <v>21.6</v>
      </c>
      <c r="G11" s="2076">
        <f t="shared" si="0"/>
        <v>21.6</v>
      </c>
      <c r="H11" s="1288"/>
    </row>
    <row r="12" spans="1:8" x14ac:dyDescent="0.25">
      <c r="A12" s="1258" t="s">
        <v>400</v>
      </c>
      <c r="B12" s="1259" t="s">
        <v>408</v>
      </c>
      <c r="C12" s="1249"/>
      <c r="D12" s="1249"/>
      <c r="E12" s="2076"/>
      <c r="F12" s="2076"/>
      <c r="G12" s="2076"/>
      <c r="H12" s="1288"/>
    </row>
    <row r="13" spans="1:8" x14ac:dyDescent="0.25">
      <c r="A13" s="1249">
        <v>1</v>
      </c>
      <c r="B13" s="1256" t="s">
        <v>1448</v>
      </c>
      <c r="C13" s="1249"/>
      <c r="D13" s="1249"/>
      <c r="E13" s="2076"/>
      <c r="F13" s="2076"/>
      <c r="G13" s="2076"/>
      <c r="H13" s="1288"/>
    </row>
    <row r="14" spans="1:8" x14ac:dyDescent="0.25">
      <c r="A14" s="1257"/>
      <c r="B14" s="1261" t="s">
        <v>230</v>
      </c>
      <c r="C14" s="1257"/>
      <c r="D14" s="1257"/>
      <c r="E14" s="1250">
        <v>21.6</v>
      </c>
      <c r="F14" s="1250">
        <v>21.6</v>
      </c>
      <c r="G14" s="1250">
        <v>21.6</v>
      </c>
      <c r="H14" s="1257"/>
    </row>
    <row r="15" spans="1:8" x14ac:dyDescent="0.25">
      <c r="A15" s="1289" t="s">
        <v>414</v>
      </c>
      <c r="B15" s="1290"/>
      <c r="C15" s="1289"/>
      <c r="D15" s="1289"/>
      <c r="E15" s="1289"/>
      <c r="F15" s="1289"/>
      <c r="G15" s="1289"/>
      <c r="H15" s="1289"/>
    </row>
    <row r="16" spans="1:8" s="1294" customFormat="1" ht="18.75" x14ac:dyDescent="0.3">
      <c r="A16" s="1291"/>
      <c r="B16" s="1292"/>
      <c r="C16" s="1293"/>
      <c r="D16" s="1293"/>
      <c r="E16" s="1293"/>
      <c r="F16" s="1293"/>
      <c r="G16" s="1293"/>
      <c r="H16" s="1293"/>
    </row>
    <row r="17" spans="1:2" s="1296" customFormat="1" x14ac:dyDescent="0.25">
      <c r="A17" s="1295" t="s">
        <v>1470</v>
      </c>
    </row>
    <row r="18" spans="1:2" s="1102" customFormat="1" x14ac:dyDescent="0.25">
      <c r="A18" s="1295"/>
      <c r="B18" s="1297"/>
    </row>
    <row r="19" spans="1:2" s="1102" customFormat="1" x14ac:dyDescent="0.25">
      <c r="A19" s="1295" t="s">
        <v>1445</v>
      </c>
      <c r="B19" s="1295"/>
    </row>
  </sheetData>
  <mergeCells count="11">
    <mergeCell ref="E5:E6"/>
    <mergeCell ref="A1:H1"/>
    <mergeCell ref="A2:H2"/>
    <mergeCell ref="A4:A6"/>
    <mergeCell ref="B4:B6"/>
    <mergeCell ref="C4:E4"/>
    <mergeCell ref="F4:F6"/>
    <mergeCell ref="G4:G6"/>
    <mergeCell ref="H4:H6"/>
    <mergeCell ref="C5:C6"/>
    <mergeCell ref="D5:D6"/>
  </mergeCells>
  <pageMargins left="0.70866141732283472" right="0.70866141732283472" top="0.35433070866141736" bottom="0.35433070866141736" header="0.31496062992125984" footer="0.31496062992125984"/>
  <pageSetup paperSize="9" scale="8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AA111"/>
  <sheetViews>
    <sheetView view="pageBreakPreview" zoomScale="60" zoomScaleNormal="100" workbookViewId="0">
      <selection activeCell="D11" sqref="D11:M13"/>
    </sheetView>
  </sheetViews>
  <sheetFormatPr defaultRowHeight="15.75" x14ac:dyDescent="0.2"/>
  <cols>
    <col min="1" max="1" width="77.33203125" style="566" customWidth="1"/>
    <col min="2" max="2" width="9.33203125" style="2081" customWidth="1"/>
    <col min="3" max="3" width="16.33203125" style="566" customWidth="1"/>
    <col min="4" max="4" width="23.1640625" style="566" customWidth="1"/>
    <col min="5" max="5" width="23.6640625" style="566" customWidth="1"/>
    <col min="6" max="6" width="21.1640625" style="566" customWidth="1"/>
    <col min="7" max="7" width="24.83203125" style="566" customWidth="1"/>
    <col min="8" max="8" width="19.33203125" style="566" customWidth="1"/>
    <col min="9" max="9" width="30.1640625" style="566" customWidth="1"/>
    <col min="10" max="10" width="24.33203125" style="566" customWidth="1"/>
    <col min="11" max="11" width="26.83203125" style="566" customWidth="1"/>
    <col min="12" max="13" width="23.1640625" style="566" customWidth="1"/>
    <col min="14" max="14" width="19.33203125" style="566" bestFit="1" customWidth="1"/>
    <col min="15" max="16384" width="9.33203125" style="566"/>
  </cols>
  <sheetData>
    <row r="1" spans="1:13" x14ac:dyDescent="0.2">
      <c r="D1" s="568"/>
      <c r="E1" s="568"/>
      <c r="F1" s="568"/>
      <c r="G1" s="568"/>
      <c r="H1" s="568"/>
      <c r="I1" s="568"/>
      <c r="J1" s="568"/>
      <c r="K1" s="568"/>
      <c r="L1" s="568"/>
      <c r="M1" s="568"/>
    </row>
    <row r="2" spans="1:13" x14ac:dyDescent="0.2">
      <c r="D2" s="568"/>
      <c r="E2" s="568"/>
      <c r="F2" s="568"/>
      <c r="G2" s="568"/>
      <c r="H2" s="568"/>
      <c r="I2" s="568"/>
      <c r="J2" s="2290"/>
      <c r="K2" s="2290"/>
      <c r="L2" s="2290"/>
      <c r="M2" s="2290"/>
    </row>
    <row r="3" spans="1:13" ht="18.75" hidden="1" customHeight="1" x14ac:dyDescent="0.2">
      <c r="D3" s="568"/>
      <c r="E3" s="2290"/>
      <c r="F3" s="2290"/>
      <c r="G3" s="2290"/>
      <c r="H3" s="2290"/>
      <c r="I3" s="2290"/>
      <c r="J3" s="568"/>
      <c r="K3" s="568"/>
      <c r="L3" s="568"/>
      <c r="M3" s="568"/>
    </row>
    <row r="4" spans="1:13" ht="40.5" customHeight="1" x14ac:dyDescent="0.2">
      <c r="D4" s="568"/>
      <c r="E4" s="568"/>
      <c r="F4" s="568"/>
      <c r="G4" s="568"/>
      <c r="H4" s="568"/>
      <c r="I4" s="568"/>
      <c r="J4" s="568"/>
      <c r="K4" s="568"/>
      <c r="L4" s="568"/>
      <c r="M4" s="2078"/>
    </row>
    <row r="5" spans="1:13" x14ac:dyDescent="0.2">
      <c r="A5" s="566" t="s">
        <v>948</v>
      </c>
      <c r="D5" s="568"/>
      <c r="E5" s="568"/>
      <c r="F5" s="568"/>
      <c r="G5" s="568"/>
      <c r="H5" s="568"/>
      <c r="I5" s="568"/>
      <c r="J5" s="568"/>
      <c r="K5" s="2274"/>
      <c r="L5" s="2274"/>
      <c r="M5" s="568"/>
    </row>
    <row r="6" spans="1:13" x14ac:dyDescent="0.2">
      <c r="A6" s="566" t="s">
        <v>1675</v>
      </c>
      <c r="B6" s="568"/>
      <c r="C6" s="568"/>
      <c r="D6" s="568"/>
      <c r="E6" s="568"/>
      <c r="F6" s="568"/>
      <c r="G6" s="568"/>
      <c r="H6" s="568"/>
      <c r="I6" s="568"/>
      <c r="J6" s="568"/>
      <c r="K6" s="2274"/>
      <c r="L6" s="2274"/>
      <c r="M6" s="568"/>
    </row>
    <row r="7" spans="1:13" x14ac:dyDescent="0.2">
      <c r="D7" s="568"/>
      <c r="E7" s="568"/>
      <c r="F7" s="568"/>
      <c r="G7" s="568"/>
      <c r="H7" s="568"/>
      <c r="I7" s="568"/>
      <c r="J7" s="568"/>
      <c r="K7" s="568"/>
      <c r="L7" s="2079"/>
      <c r="M7" s="568"/>
    </row>
    <row r="8" spans="1:13" x14ac:dyDescent="0.2">
      <c r="D8" s="568"/>
      <c r="E8" s="568"/>
      <c r="F8" s="568"/>
      <c r="G8" s="568"/>
      <c r="H8" s="568"/>
      <c r="I8" s="568"/>
      <c r="J8" s="568"/>
      <c r="K8" s="568"/>
      <c r="L8" s="2212"/>
      <c r="M8" s="568"/>
    </row>
    <row r="9" spans="1:13" x14ac:dyDescent="0.2">
      <c r="A9" s="566" t="s">
        <v>1674</v>
      </c>
      <c r="B9" s="568"/>
      <c r="C9" s="568"/>
      <c r="D9" s="568"/>
      <c r="E9" s="568"/>
      <c r="F9" s="568"/>
      <c r="G9" s="568"/>
      <c r="H9" s="568"/>
      <c r="I9" s="568"/>
      <c r="J9" s="568"/>
      <c r="K9" s="568"/>
      <c r="L9" s="2212"/>
      <c r="M9" s="568"/>
    </row>
    <row r="10" spans="1:13" x14ac:dyDescent="0.2">
      <c r="A10" s="566" t="s">
        <v>952</v>
      </c>
      <c r="D10" s="568"/>
      <c r="E10" s="568"/>
      <c r="F10" s="568"/>
      <c r="G10" s="568"/>
      <c r="H10" s="568"/>
      <c r="I10" s="568"/>
      <c r="J10" s="568"/>
      <c r="K10" s="568"/>
      <c r="L10" s="2212"/>
      <c r="M10" s="568"/>
    </row>
    <row r="11" spans="1:13" x14ac:dyDescent="0.2">
      <c r="D11" s="753">
        <f t="shared" ref="D11:M11" si="0">D22-D46</f>
        <v>0</v>
      </c>
      <c r="E11" s="753">
        <f t="shared" si="0"/>
        <v>0</v>
      </c>
      <c r="F11" s="753">
        <f t="shared" si="0"/>
        <v>0</v>
      </c>
      <c r="G11" s="753">
        <f t="shared" si="0"/>
        <v>0</v>
      </c>
      <c r="H11" s="753">
        <f t="shared" si="0"/>
        <v>0</v>
      </c>
      <c r="I11" s="753">
        <f t="shared" si="0"/>
        <v>0</v>
      </c>
      <c r="J11" s="753">
        <f t="shared" si="0"/>
        <v>0</v>
      </c>
      <c r="K11" s="753">
        <f t="shared" si="0"/>
        <v>0</v>
      </c>
      <c r="L11" s="753">
        <f t="shared" si="0"/>
        <v>0</v>
      </c>
      <c r="M11" s="753">
        <f t="shared" si="0"/>
        <v>0</v>
      </c>
    </row>
    <row r="12" spans="1:13" x14ac:dyDescent="0.2">
      <c r="D12" s="753">
        <f>E23+F23+G23+H23+J23+L23+M23-D23+I23+K23</f>
        <v>0</v>
      </c>
      <c r="E12" s="753">
        <f>36257900-E22</f>
        <v>36257900</v>
      </c>
      <c r="F12" s="753">
        <f>0-F22</f>
        <v>0</v>
      </c>
      <c r="G12" s="753">
        <f>760500-G22</f>
        <v>760500</v>
      </c>
      <c r="H12" s="753">
        <f>0-H22</f>
        <v>0</v>
      </c>
      <c r="I12" s="753">
        <f>145800-I22</f>
        <v>145800</v>
      </c>
      <c r="J12" s="756"/>
      <c r="K12" s="753">
        <f>0-K22</f>
        <v>0</v>
      </c>
      <c r="L12" s="757">
        <f>3044300-L22</f>
        <v>3044300</v>
      </c>
      <c r="M12" s="754"/>
    </row>
    <row r="13" spans="1:13" x14ac:dyDescent="0.2">
      <c r="D13" s="756"/>
      <c r="E13" s="756"/>
      <c r="F13" s="756"/>
      <c r="G13" s="756"/>
      <c r="H13" s="756"/>
      <c r="I13" s="756"/>
      <c r="J13" s="756"/>
      <c r="K13" s="756"/>
      <c r="L13" s="756"/>
      <c r="M13" s="756"/>
    </row>
    <row r="14" spans="1:13" ht="31.5" customHeight="1" x14ac:dyDescent="0.2">
      <c r="A14" s="2269" t="s">
        <v>955</v>
      </c>
      <c r="B14" s="2269"/>
      <c r="C14" s="2269"/>
      <c r="D14" s="2269"/>
      <c r="E14" s="2269"/>
      <c r="F14" s="2269"/>
      <c r="G14" s="2269"/>
      <c r="H14" s="2269"/>
      <c r="I14" s="2269"/>
      <c r="J14" s="2269"/>
      <c r="K14" s="2269"/>
      <c r="L14" s="2269"/>
      <c r="M14" s="2269"/>
    </row>
    <row r="15" spans="1:13" ht="17.25" customHeight="1" x14ac:dyDescent="0.2">
      <c r="A15" s="2275" t="s">
        <v>416</v>
      </c>
      <c r="B15" s="2278" t="s">
        <v>417</v>
      </c>
      <c r="C15" s="2278" t="s">
        <v>956</v>
      </c>
      <c r="D15" s="2281" t="s">
        <v>957</v>
      </c>
      <c r="E15" s="2281"/>
      <c r="F15" s="2281"/>
      <c r="G15" s="2281"/>
      <c r="H15" s="2281"/>
      <c r="I15" s="2281"/>
      <c r="J15" s="2281"/>
      <c r="K15" s="2281"/>
      <c r="L15" s="2281"/>
      <c r="M15" s="2281"/>
    </row>
    <row r="16" spans="1:13" ht="30" customHeight="1" x14ac:dyDescent="0.2">
      <c r="A16" s="2276"/>
      <c r="B16" s="2279"/>
      <c r="C16" s="2279"/>
      <c r="D16" s="2282"/>
      <c r="E16" s="2283"/>
      <c r="F16" s="2283"/>
      <c r="G16" s="2283"/>
      <c r="H16" s="2283"/>
      <c r="I16" s="2283"/>
      <c r="J16" s="2283"/>
      <c r="K16" s="2283"/>
      <c r="L16" s="2283"/>
      <c r="M16" s="2284"/>
    </row>
    <row r="17" spans="1:27" ht="24.75" customHeight="1" x14ac:dyDescent="0.2">
      <c r="A17" s="2276"/>
      <c r="B17" s="2279"/>
      <c r="C17" s="2279"/>
      <c r="D17" s="2282" t="s">
        <v>1040</v>
      </c>
      <c r="E17" s="2283"/>
      <c r="F17" s="2283"/>
      <c r="G17" s="2283"/>
      <c r="H17" s="2283"/>
      <c r="I17" s="2283"/>
      <c r="J17" s="2283"/>
      <c r="K17" s="2283"/>
      <c r="L17" s="2283"/>
      <c r="M17" s="2284"/>
    </row>
    <row r="18" spans="1:27" ht="179.25" customHeight="1" x14ac:dyDescent="0.2">
      <c r="A18" s="2277"/>
      <c r="B18" s="2280"/>
      <c r="C18" s="2280"/>
      <c r="D18" s="2080" t="s">
        <v>244</v>
      </c>
      <c r="E18" s="2080" t="s">
        <v>962</v>
      </c>
      <c r="F18" s="2080" t="s">
        <v>963</v>
      </c>
      <c r="G18" s="2080" t="s">
        <v>906</v>
      </c>
      <c r="H18" s="2080" t="s">
        <v>907</v>
      </c>
      <c r="I18" s="2080" t="s">
        <v>908</v>
      </c>
      <c r="J18" s="2080" t="s">
        <v>910</v>
      </c>
      <c r="K18" s="2080" t="s">
        <v>912</v>
      </c>
      <c r="L18" s="2080" t="s">
        <v>931</v>
      </c>
      <c r="M18" s="573" t="s">
        <v>932</v>
      </c>
    </row>
    <row r="19" spans="1:27" ht="17.25" customHeight="1" x14ac:dyDescent="0.2">
      <c r="A19" s="574">
        <v>1</v>
      </c>
      <c r="B19" s="2080">
        <v>2</v>
      </c>
      <c r="C19" s="2080">
        <v>3</v>
      </c>
      <c r="D19" s="2080">
        <v>26</v>
      </c>
      <c r="E19" s="2080">
        <v>27</v>
      </c>
      <c r="F19" s="2080">
        <v>28</v>
      </c>
      <c r="G19" s="2080">
        <v>29</v>
      </c>
      <c r="H19" s="2080">
        <v>30</v>
      </c>
      <c r="I19" s="2080">
        <v>31</v>
      </c>
      <c r="J19" s="2080">
        <v>33</v>
      </c>
      <c r="K19" s="2080">
        <v>34</v>
      </c>
      <c r="L19" s="2080">
        <v>35</v>
      </c>
      <c r="M19" s="2080">
        <v>36</v>
      </c>
    </row>
    <row r="20" spans="1:27" ht="22.5" customHeight="1" x14ac:dyDescent="0.3">
      <c r="A20" s="575" t="s">
        <v>964</v>
      </c>
      <c r="B20" s="2080" t="s">
        <v>965</v>
      </c>
      <c r="C20" s="2080" t="s">
        <v>859</v>
      </c>
      <c r="D20" s="576"/>
      <c r="E20" s="577"/>
      <c r="F20" s="577"/>
      <c r="G20" s="577"/>
      <c r="H20" s="577"/>
      <c r="I20" s="577"/>
      <c r="J20" s="577"/>
      <c r="K20" s="578"/>
      <c r="L20" s="577"/>
      <c r="M20" s="577"/>
      <c r="N20" s="579"/>
    </row>
    <row r="21" spans="1:27" ht="31.5" customHeight="1" x14ac:dyDescent="0.2">
      <c r="A21" s="575" t="s">
        <v>966</v>
      </c>
      <c r="B21" s="2080" t="s">
        <v>967</v>
      </c>
      <c r="C21" s="2080" t="s">
        <v>859</v>
      </c>
      <c r="D21" s="576"/>
      <c r="E21" s="578"/>
      <c r="F21" s="578"/>
      <c r="G21" s="578"/>
      <c r="H21" s="578"/>
      <c r="I21" s="578"/>
      <c r="J21" s="578"/>
      <c r="L21" s="578"/>
      <c r="M21" s="578"/>
    </row>
    <row r="22" spans="1:27" s="584" customFormat="1" ht="27" customHeight="1" x14ac:dyDescent="0.2">
      <c r="A22" s="580" t="s">
        <v>968</v>
      </c>
      <c r="B22" s="581" t="s">
        <v>969</v>
      </c>
      <c r="C22" s="581"/>
      <c r="D22" s="582">
        <f>SUM(E22:M22)</f>
        <v>0</v>
      </c>
      <c r="E22" s="583">
        <f t="shared" ref="E22:M22" si="1">E23+E26+E32+E35+E40+E42</f>
        <v>0</v>
      </c>
      <c r="F22" s="583">
        <f t="shared" si="1"/>
        <v>0</v>
      </c>
      <c r="G22" s="583">
        <f t="shared" si="1"/>
        <v>0</v>
      </c>
      <c r="H22" s="583">
        <f t="shared" si="1"/>
        <v>0</v>
      </c>
      <c r="I22" s="583">
        <f t="shared" si="1"/>
        <v>0</v>
      </c>
      <c r="J22" s="583">
        <f t="shared" si="1"/>
        <v>0</v>
      </c>
      <c r="K22" s="583">
        <f t="shared" si="1"/>
        <v>0</v>
      </c>
      <c r="L22" s="583">
        <f t="shared" si="1"/>
        <v>0</v>
      </c>
      <c r="M22" s="583">
        <f t="shared" si="1"/>
        <v>0</v>
      </c>
    </row>
    <row r="23" spans="1:27" s="589" customFormat="1" ht="31.5" x14ac:dyDescent="0.2">
      <c r="A23" s="585" t="s">
        <v>970</v>
      </c>
      <c r="B23" s="586" t="s">
        <v>971</v>
      </c>
      <c r="C23" s="586">
        <v>120</v>
      </c>
      <c r="D23" s="587">
        <f>SUM(E23:M23)</f>
        <v>0</v>
      </c>
      <c r="E23" s="587">
        <f>E25</f>
        <v>0</v>
      </c>
      <c r="F23" s="587">
        <f t="shared" ref="F23:M23" si="2">F25</f>
        <v>0</v>
      </c>
      <c r="G23" s="587">
        <f t="shared" si="2"/>
        <v>0</v>
      </c>
      <c r="H23" s="587">
        <f t="shared" si="2"/>
        <v>0</v>
      </c>
      <c r="I23" s="587">
        <f t="shared" si="2"/>
        <v>0</v>
      </c>
      <c r="J23" s="587">
        <f t="shared" si="2"/>
        <v>0</v>
      </c>
      <c r="K23" s="587">
        <f t="shared" si="2"/>
        <v>0</v>
      </c>
      <c r="L23" s="587">
        <f t="shared" si="2"/>
        <v>0</v>
      </c>
      <c r="M23" s="587">
        <f t="shared" si="2"/>
        <v>0</v>
      </c>
      <c r="N23" s="588"/>
      <c r="O23" s="588"/>
      <c r="P23" s="588"/>
      <c r="Q23" s="588"/>
      <c r="R23" s="588"/>
      <c r="S23" s="588"/>
    </row>
    <row r="24" spans="1:27" s="592" customFormat="1" ht="22.5" customHeight="1" x14ac:dyDescent="0.2">
      <c r="A24" s="575" t="s">
        <v>440</v>
      </c>
      <c r="B24" s="574"/>
      <c r="C24" s="574"/>
      <c r="D24" s="577"/>
      <c r="E24" s="578"/>
      <c r="F24" s="578"/>
      <c r="G24" s="578"/>
      <c r="H24" s="578"/>
      <c r="I24" s="578"/>
      <c r="J24" s="578"/>
      <c r="K24" s="578"/>
      <c r="L24" s="578"/>
      <c r="M24" s="578"/>
      <c r="N24" s="590"/>
      <c r="O24" s="590"/>
      <c r="P24" s="590"/>
      <c r="Q24" s="590"/>
      <c r="R24" s="591"/>
      <c r="S24" s="591"/>
    </row>
    <row r="25" spans="1:27" s="592" customFormat="1" x14ac:dyDescent="0.2">
      <c r="A25" s="575" t="s">
        <v>972</v>
      </c>
      <c r="B25" s="574" t="s">
        <v>973</v>
      </c>
      <c r="C25" s="593" t="s">
        <v>1740</v>
      </c>
      <c r="D25" s="577">
        <f>SUM(E25:M25)</f>
        <v>0</v>
      </c>
      <c r="E25" s="578"/>
      <c r="F25" s="578"/>
      <c r="G25" s="577"/>
      <c r="H25" s="577"/>
      <c r="I25" s="577"/>
      <c r="J25" s="577"/>
      <c r="K25" s="577"/>
      <c r="L25" s="577">
        <f>'строка 1100 (120)+'!O13</f>
        <v>0</v>
      </c>
      <c r="M25" s="577"/>
      <c r="N25" s="591"/>
      <c r="O25" s="590"/>
      <c r="P25" s="591"/>
      <c r="Q25" s="590"/>
      <c r="R25" s="591"/>
      <c r="S25" s="591"/>
    </row>
    <row r="26" spans="1:27" s="599" customFormat="1" ht="31.5" x14ac:dyDescent="0.2">
      <c r="A26" s="585" t="s">
        <v>974</v>
      </c>
      <c r="B26" s="594">
        <v>1200</v>
      </c>
      <c r="C26" s="595" t="s">
        <v>975</v>
      </c>
      <c r="D26" s="596">
        <f>SUM(E26:M26)</f>
        <v>0</v>
      </c>
      <c r="E26" s="587">
        <f>E28+E29+E30+E31</f>
        <v>0</v>
      </c>
      <c r="F26" s="587">
        <f t="shared" ref="F26:M26" si="3">F28+F29+F30+F31</f>
        <v>0</v>
      </c>
      <c r="G26" s="587">
        <f t="shared" si="3"/>
        <v>0</v>
      </c>
      <c r="H26" s="587">
        <f t="shared" si="3"/>
        <v>0</v>
      </c>
      <c r="I26" s="587">
        <f t="shared" si="3"/>
        <v>0</v>
      </c>
      <c r="J26" s="587">
        <f t="shared" si="3"/>
        <v>0</v>
      </c>
      <c r="K26" s="587">
        <f t="shared" si="3"/>
        <v>0</v>
      </c>
      <c r="L26" s="587">
        <f t="shared" si="3"/>
        <v>0</v>
      </c>
      <c r="M26" s="587">
        <f t="shared" si="3"/>
        <v>0</v>
      </c>
      <c r="N26" s="588"/>
      <c r="O26" s="597"/>
      <c r="P26" s="588"/>
      <c r="Q26" s="597"/>
      <c r="R26" s="588"/>
      <c r="S26" s="598"/>
    </row>
    <row r="27" spans="1:27" s="602" customFormat="1" ht="15.75" customHeight="1" x14ac:dyDescent="0.2">
      <c r="A27" s="575" t="s">
        <v>440</v>
      </c>
      <c r="B27" s="574"/>
      <c r="C27" s="600"/>
      <c r="D27" s="577"/>
      <c r="E27" s="578"/>
      <c r="F27" s="578"/>
      <c r="G27" s="578"/>
      <c r="H27" s="578"/>
      <c r="I27" s="578"/>
      <c r="J27" s="578"/>
      <c r="K27" s="578"/>
      <c r="L27" s="578"/>
      <c r="M27" s="578"/>
      <c r="N27" s="591"/>
      <c r="O27" s="590"/>
      <c r="P27" s="591"/>
      <c r="Q27" s="590"/>
      <c r="R27" s="591"/>
      <c r="S27" s="601"/>
    </row>
    <row r="28" spans="1:27" s="602" customFormat="1" ht="68.25" customHeight="1" x14ac:dyDescent="0.2">
      <c r="A28" s="575" t="s">
        <v>976</v>
      </c>
      <c r="B28" s="574">
        <v>1210</v>
      </c>
      <c r="C28" s="593" t="s">
        <v>975</v>
      </c>
      <c r="D28" s="577">
        <f>SUM(E28:M28)</f>
        <v>0</v>
      </c>
      <c r="E28" s="578">
        <f>'строка 1200(130)'!O12</f>
        <v>0</v>
      </c>
      <c r="F28" s="578">
        <f>'строка 1200(130)'!O13</f>
        <v>0</v>
      </c>
      <c r="G28" s="578"/>
      <c r="H28" s="578"/>
      <c r="I28" s="578"/>
      <c r="J28" s="578"/>
      <c r="K28" s="578"/>
      <c r="M28" s="578"/>
      <c r="N28" s="591"/>
      <c r="O28" s="590"/>
      <c r="P28" s="591"/>
      <c r="Q28" s="590"/>
      <c r="R28" s="591"/>
      <c r="S28" s="601"/>
    </row>
    <row r="29" spans="1:27" x14ac:dyDescent="0.2">
      <c r="A29" s="575" t="s">
        <v>977</v>
      </c>
      <c r="B29" s="574">
        <v>1220</v>
      </c>
      <c r="C29" s="593" t="s">
        <v>1741</v>
      </c>
      <c r="D29" s="603">
        <f>SUM(E29:M29)</f>
        <v>0</v>
      </c>
      <c r="E29" s="603"/>
      <c r="F29" s="603"/>
      <c r="G29" s="603"/>
      <c r="H29" s="603"/>
      <c r="I29" s="603"/>
      <c r="J29" s="603"/>
      <c r="K29" s="603"/>
      <c r="L29" s="578">
        <f>'строка 1200(130)'!O14+'строка 1200(130)'!O15</f>
        <v>0</v>
      </c>
      <c r="M29" s="603"/>
      <c r="N29" s="2288"/>
      <c r="O29" s="2289"/>
      <c r="P29" s="2289"/>
      <c r="Q29" s="2289"/>
      <c r="R29" s="2289"/>
      <c r="S29" s="2289"/>
      <c r="T29" s="2289"/>
      <c r="U29" s="2289"/>
      <c r="V29" s="2289"/>
    </row>
    <row r="30" spans="1:27" ht="15.75" customHeight="1" x14ac:dyDescent="0.2">
      <c r="A30" s="575" t="s">
        <v>978</v>
      </c>
      <c r="B30" s="574">
        <v>1230</v>
      </c>
      <c r="C30" s="574">
        <v>135</v>
      </c>
      <c r="D30" s="603"/>
      <c r="E30" s="603"/>
      <c r="F30" s="603"/>
      <c r="G30" s="603"/>
      <c r="H30" s="603"/>
      <c r="I30" s="603"/>
      <c r="J30" s="603"/>
      <c r="K30" s="603"/>
      <c r="L30" s="603">
        <f>'возмещ ком услстрока 1230(135)'!Y9</f>
        <v>0</v>
      </c>
      <c r="M30" s="603"/>
      <c r="N30" s="604"/>
      <c r="O30" s="605"/>
      <c r="P30" s="605"/>
      <c r="Q30" s="605"/>
      <c r="R30" s="605"/>
      <c r="S30" s="605"/>
      <c r="T30" s="605"/>
      <c r="U30" s="605"/>
      <c r="V30" s="605"/>
      <c r="W30" s="605"/>
      <c r="X30" s="605"/>
      <c r="Y30" s="605"/>
      <c r="Z30" s="605"/>
      <c r="AA30" s="605"/>
    </row>
    <row r="31" spans="1:27" ht="31.5" x14ac:dyDescent="0.2">
      <c r="A31" s="575" t="s">
        <v>979</v>
      </c>
      <c r="B31" s="574">
        <v>1240</v>
      </c>
      <c r="C31" s="574">
        <v>136</v>
      </c>
      <c r="D31" s="603">
        <f>SUM(E31:M31)</f>
        <v>0</v>
      </c>
      <c r="E31" s="603"/>
      <c r="F31" s="603"/>
      <c r="G31" s="603"/>
      <c r="H31" s="603"/>
      <c r="I31" s="603"/>
      <c r="J31" s="603"/>
      <c r="K31" s="603"/>
      <c r="L31" s="603"/>
      <c r="M31" s="603"/>
      <c r="N31" s="568"/>
      <c r="O31" s="606"/>
      <c r="P31" s="568"/>
      <c r="Q31" s="606"/>
      <c r="R31" s="568"/>
      <c r="S31" s="568"/>
    </row>
    <row r="32" spans="1:27" s="589" customFormat="1" ht="31.5" x14ac:dyDescent="0.2">
      <c r="A32" s="585" t="s">
        <v>980</v>
      </c>
      <c r="B32" s="594">
        <v>1300</v>
      </c>
      <c r="C32" s="594">
        <v>140</v>
      </c>
      <c r="D32" s="607">
        <f>SUM(E32:M32)</f>
        <v>0</v>
      </c>
      <c r="E32" s="607">
        <f>E34</f>
        <v>0</v>
      </c>
      <c r="F32" s="607">
        <f t="shared" ref="F32:M32" si="4">F34</f>
        <v>0</v>
      </c>
      <c r="G32" s="607">
        <f t="shared" si="4"/>
        <v>0</v>
      </c>
      <c r="H32" s="607">
        <f t="shared" si="4"/>
        <v>0</v>
      </c>
      <c r="I32" s="607">
        <f t="shared" si="4"/>
        <v>0</v>
      </c>
      <c r="J32" s="607">
        <f t="shared" si="4"/>
        <v>0</v>
      </c>
      <c r="K32" s="607">
        <f t="shared" si="4"/>
        <v>0</v>
      </c>
      <c r="L32" s="607">
        <f t="shared" si="4"/>
        <v>0</v>
      </c>
      <c r="M32" s="607">
        <f t="shared" si="4"/>
        <v>0</v>
      </c>
      <c r="N32" s="608"/>
      <c r="O32" s="597"/>
      <c r="P32" s="588"/>
      <c r="Q32" s="597"/>
      <c r="R32" s="588"/>
      <c r="S32" s="588"/>
    </row>
    <row r="33" spans="1:19" x14ac:dyDescent="0.2">
      <c r="A33" s="609" t="s">
        <v>440</v>
      </c>
      <c r="B33" s="574"/>
      <c r="C33" s="574"/>
      <c r="D33" s="603"/>
      <c r="E33" s="603"/>
      <c r="F33" s="603"/>
      <c r="G33" s="603"/>
      <c r="H33" s="603"/>
      <c r="I33" s="603"/>
      <c r="J33" s="603"/>
      <c r="K33" s="603"/>
      <c r="L33" s="603"/>
      <c r="M33" s="603"/>
      <c r="N33" s="568"/>
      <c r="O33" s="606"/>
      <c r="P33" s="568"/>
      <c r="Q33" s="606"/>
      <c r="R33" s="568"/>
      <c r="S33" s="568"/>
    </row>
    <row r="34" spans="1:19" x14ac:dyDescent="0.2">
      <c r="A34" s="609"/>
      <c r="B34" s="574">
        <v>1310</v>
      </c>
      <c r="C34" s="574">
        <v>140</v>
      </c>
      <c r="D34" s="603">
        <f>SUM(E34:M34)</f>
        <v>0</v>
      </c>
      <c r="E34" s="603"/>
      <c r="F34" s="603"/>
      <c r="G34" s="603"/>
      <c r="H34" s="603"/>
      <c r="I34" s="603"/>
      <c r="J34" s="603"/>
      <c r="K34" s="603"/>
      <c r="L34" s="603"/>
      <c r="M34" s="603"/>
      <c r="N34" s="568"/>
      <c r="O34" s="606"/>
      <c r="P34" s="568"/>
      <c r="Q34" s="606"/>
      <c r="R34" s="568"/>
      <c r="S34" s="568"/>
    </row>
    <row r="35" spans="1:19" s="589" customFormat="1" x14ac:dyDescent="0.2">
      <c r="A35" s="585" t="s">
        <v>981</v>
      </c>
      <c r="B35" s="594">
        <v>1400</v>
      </c>
      <c r="C35" s="594">
        <v>150</v>
      </c>
      <c r="D35" s="607">
        <f>SUM(E35:M35)</f>
        <v>0</v>
      </c>
      <c r="E35" s="607">
        <f>E39</f>
        <v>0</v>
      </c>
      <c r="F35" s="607">
        <f t="shared" ref="F35:M35" si="5">F39</f>
        <v>0</v>
      </c>
      <c r="G35" s="607">
        <f t="shared" si="5"/>
        <v>0</v>
      </c>
      <c r="H35" s="607">
        <f t="shared" si="5"/>
        <v>0</v>
      </c>
      <c r="I35" s="607">
        <f t="shared" si="5"/>
        <v>0</v>
      </c>
      <c r="J35" s="607">
        <f t="shared" si="5"/>
        <v>0</v>
      </c>
      <c r="K35" s="607">
        <f t="shared" si="5"/>
        <v>0</v>
      </c>
      <c r="L35" s="607">
        <f t="shared" si="5"/>
        <v>0</v>
      </c>
      <c r="M35" s="607">
        <f t="shared" si="5"/>
        <v>0</v>
      </c>
      <c r="N35" s="588"/>
      <c r="O35" s="597"/>
      <c r="P35" s="588"/>
      <c r="Q35" s="597"/>
      <c r="R35" s="588"/>
      <c r="S35" s="588"/>
    </row>
    <row r="36" spans="1:19" x14ac:dyDescent="0.2">
      <c r="A36" s="575" t="s">
        <v>440</v>
      </c>
      <c r="B36" s="574"/>
      <c r="C36" s="574"/>
      <c r="D36" s="603"/>
      <c r="E36" s="603"/>
      <c r="F36" s="603"/>
      <c r="G36" s="603"/>
      <c r="H36" s="603"/>
      <c r="I36" s="603"/>
      <c r="J36" s="603"/>
      <c r="K36" s="603"/>
      <c r="L36" s="603"/>
      <c r="M36" s="603"/>
      <c r="N36" s="568"/>
      <c r="O36" s="606"/>
      <c r="P36" s="568"/>
      <c r="Q36" s="606"/>
      <c r="R36" s="568"/>
      <c r="S36" s="568"/>
    </row>
    <row r="37" spans="1:19" x14ac:dyDescent="0.2">
      <c r="A37" s="575" t="s">
        <v>905</v>
      </c>
      <c r="B37" s="574">
        <v>1410</v>
      </c>
      <c r="C37" s="593" t="s">
        <v>1742</v>
      </c>
      <c r="D37" s="603">
        <f>SUM(E37:M37)</f>
        <v>0</v>
      </c>
      <c r="E37" s="603"/>
      <c r="F37" s="603"/>
      <c r="G37" s="603">
        <f>'безвоз строка 1400 (150)'!O13</f>
        <v>0</v>
      </c>
      <c r="H37" s="603">
        <f>'безвоз строка 1400 (150)'!O14</f>
        <v>0</v>
      </c>
      <c r="I37" s="603">
        <f>'безвоз строка 1400 (150)'!O15</f>
        <v>0</v>
      </c>
      <c r="J37" s="603"/>
      <c r="L37" s="603"/>
      <c r="M37" s="603"/>
      <c r="N37" s="568"/>
      <c r="O37" s="606"/>
      <c r="P37" s="568"/>
      <c r="Q37" s="606"/>
      <c r="R37" s="568"/>
      <c r="S37" s="568"/>
    </row>
    <row r="38" spans="1:19" x14ac:dyDescent="0.2">
      <c r="A38" s="575" t="s">
        <v>911</v>
      </c>
      <c r="B38" s="574">
        <v>1420</v>
      </c>
      <c r="C38" s="593" t="s">
        <v>1742</v>
      </c>
      <c r="D38" s="603">
        <f>SUM(E38:M38)</f>
        <v>0</v>
      </c>
      <c r="E38" s="603"/>
      <c r="F38" s="603"/>
      <c r="G38" s="603"/>
      <c r="H38" s="603"/>
      <c r="I38" s="603"/>
      <c r="J38" s="603"/>
      <c r="K38" s="603">
        <f>'безвоз строка 1400 (150)'!O18</f>
        <v>0</v>
      </c>
      <c r="L38" s="610"/>
      <c r="M38" s="610"/>
      <c r="N38" s="568"/>
      <c r="O38" s="606"/>
      <c r="P38" s="568"/>
      <c r="Q38" s="606"/>
      <c r="R38" s="568"/>
      <c r="S38" s="568"/>
    </row>
    <row r="39" spans="1:19" s="592" customFormat="1" x14ac:dyDescent="0.2">
      <c r="A39" s="575" t="s">
        <v>982</v>
      </c>
      <c r="B39" s="574">
        <v>1430</v>
      </c>
      <c r="C39" s="593" t="s">
        <v>1731</v>
      </c>
      <c r="D39" s="603">
        <f>SUM(E39:M39)</f>
        <v>0</v>
      </c>
      <c r="E39" s="603"/>
      <c r="F39" s="603"/>
      <c r="G39" s="603"/>
      <c r="H39" s="603"/>
      <c r="I39" s="603"/>
      <c r="J39" s="603"/>
      <c r="K39" s="603"/>
      <c r="L39" s="603"/>
      <c r="M39" s="603"/>
      <c r="N39" s="591"/>
      <c r="O39" s="590"/>
      <c r="P39" s="591"/>
      <c r="Q39" s="590"/>
      <c r="R39" s="591"/>
      <c r="S39" s="591"/>
    </row>
    <row r="40" spans="1:19" s="589" customFormat="1" x14ac:dyDescent="0.2">
      <c r="A40" s="585" t="s">
        <v>983</v>
      </c>
      <c r="B40" s="594">
        <v>1500</v>
      </c>
      <c r="C40" s="595" t="s">
        <v>1760</v>
      </c>
      <c r="D40" s="607">
        <f>SUM(E40:M40)</f>
        <v>0</v>
      </c>
      <c r="E40" s="607">
        <f t="shared" ref="E40:M40" si="6">E37+E38</f>
        <v>0</v>
      </c>
      <c r="F40" s="607">
        <f t="shared" si="6"/>
        <v>0</v>
      </c>
      <c r="G40" s="607">
        <f t="shared" si="6"/>
        <v>0</v>
      </c>
      <c r="H40" s="607">
        <f t="shared" si="6"/>
        <v>0</v>
      </c>
      <c r="I40" s="607">
        <f t="shared" si="6"/>
        <v>0</v>
      </c>
      <c r="J40" s="607">
        <f t="shared" si="6"/>
        <v>0</v>
      </c>
      <c r="K40" s="607">
        <f t="shared" si="6"/>
        <v>0</v>
      </c>
      <c r="L40" s="607">
        <f t="shared" si="6"/>
        <v>0</v>
      </c>
      <c r="M40" s="607">
        <f t="shared" si="6"/>
        <v>0</v>
      </c>
      <c r="N40" s="588"/>
      <c r="O40" s="597"/>
      <c r="P40" s="588"/>
      <c r="Q40" s="597"/>
      <c r="R40" s="588"/>
      <c r="S40" s="588"/>
    </row>
    <row r="41" spans="1:19" s="592" customFormat="1" x14ac:dyDescent="0.2">
      <c r="A41" s="575" t="s">
        <v>440</v>
      </c>
      <c r="B41" s="574"/>
      <c r="C41" s="593"/>
      <c r="D41" s="603"/>
      <c r="E41" s="603"/>
      <c r="F41" s="603"/>
      <c r="G41" s="610"/>
      <c r="H41" s="610"/>
      <c r="I41" s="610"/>
      <c r="J41" s="610"/>
      <c r="K41" s="610"/>
      <c r="L41" s="610"/>
      <c r="M41" s="610"/>
      <c r="N41" s="591"/>
      <c r="O41" s="590"/>
      <c r="P41" s="591"/>
      <c r="Q41" s="590"/>
      <c r="R41" s="591"/>
      <c r="S41" s="591"/>
    </row>
    <row r="42" spans="1:19" s="589" customFormat="1" ht="18.75" x14ac:dyDescent="0.2">
      <c r="A42" s="585" t="s">
        <v>984</v>
      </c>
      <c r="B42" s="594">
        <v>1980</v>
      </c>
      <c r="C42" s="594" t="s">
        <v>859</v>
      </c>
      <c r="D42" s="607">
        <f>SUM(E42:M42)</f>
        <v>0</v>
      </c>
      <c r="E42" s="607">
        <f>E44</f>
        <v>0</v>
      </c>
      <c r="F42" s="607">
        <f t="shared" ref="F42:M42" si="7">F44</f>
        <v>0</v>
      </c>
      <c r="G42" s="607">
        <f t="shared" si="7"/>
        <v>0</v>
      </c>
      <c r="H42" s="607">
        <f t="shared" si="7"/>
        <v>0</v>
      </c>
      <c r="I42" s="607">
        <f t="shared" si="7"/>
        <v>0</v>
      </c>
      <c r="J42" s="607">
        <f t="shared" si="7"/>
        <v>0</v>
      </c>
      <c r="K42" s="607">
        <f t="shared" si="7"/>
        <v>0</v>
      </c>
      <c r="L42" s="607">
        <f t="shared" si="7"/>
        <v>0</v>
      </c>
      <c r="M42" s="607">
        <f t="shared" si="7"/>
        <v>0</v>
      </c>
      <c r="N42" s="608"/>
      <c r="O42" s="597"/>
      <c r="P42" s="588"/>
      <c r="Q42" s="597"/>
      <c r="R42" s="588"/>
      <c r="S42" s="588"/>
    </row>
    <row r="43" spans="1:19" x14ac:dyDescent="0.2">
      <c r="A43" s="575" t="s">
        <v>800</v>
      </c>
      <c r="B43" s="574"/>
      <c r="C43" s="574"/>
      <c r="D43" s="577"/>
      <c r="E43" s="577"/>
      <c r="F43" s="577"/>
      <c r="G43" s="577"/>
      <c r="H43" s="577"/>
      <c r="I43" s="577"/>
      <c r="J43" s="577"/>
      <c r="K43" s="577"/>
      <c r="L43" s="577"/>
      <c r="M43" s="577"/>
      <c r="N43" s="568"/>
      <c r="O43" s="606"/>
      <c r="P43" s="568"/>
      <c r="Q43" s="606"/>
      <c r="R43" s="568"/>
      <c r="S43" s="568"/>
    </row>
    <row r="44" spans="1:19" s="592" customFormat="1" ht="36.75" customHeight="1" x14ac:dyDescent="0.2">
      <c r="A44" s="575" t="s">
        <v>985</v>
      </c>
      <c r="B44" s="574">
        <v>1981</v>
      </c>
      <c r="C44" s="593" t="s">
        <v>986</v>
      </c>
      <c r="D44" s="612">
        <f>SUM(E44:M44)</f>
        <v>0</v>
      </c>
      <c r="E44" s="612"/>
      <c r="F44" s="612"/>
      <c r="G44" s="612"/>
      <c r="H44" s="612"/>
      <c r="I44" s="612"/>
      <c r="J44" s="612"/>
      <c r="K44" s="612"/>
      <c r="L44" s="612"/>
      <c r="M44" s="612"/>
      <c r="N44" s="591"/>
      <c r="O44" s="590"/>
      <c r="P44" s="591"/>
      <c r="Q44" s="590"/>
      <c r="R44" s="591"/>
      <c r="S44" s="591"/>
    </row>
    <row r="45" spans="1:19" x14ac:dyDescent="0.2">
      <c r="A45" s="575"/>
      <c r="B45" s="574"/>
      <c r="C45" s="574"/>
      <c r="D45" s="577"/>
      <c r="E45" s="577"/>
      <c r="F45" s="577"/>
      <c r="G45" s="577"/>
      <c r="H45" s="577"/>
      <c r="I45" s="577"/>
      <c r="J45" s="577"/>
      <c r="K45" s="577"/>
      <c r="L45" s="577"/>
      <c r="M45" s="577"/>
      <c r="N45" s="568"/>
      <c r="O45" s="606"/>
      <c r="P45" s="568"/>
      <c r="Q45" s="606"/>
      <c r="R45" s="568"/>
      <c r="S45" s="568"/>
    </row>
    <row r="46" spans="1:19" s="584" customFormat="1" x14ac:dyDescent="0.2">
      <c r="A46" s="580" t="s">
        <v>987</v>
      </c>
      <c r="B46" s="613">
        <v>2000</v>
      </c>
      <c r="C46" s="613" t="s">
        <v>859</v>
      </c>
      <c r="D46" s="614">
        <f>SUM(E46:M46)</f>
        <v>0</v>
      </c>
      <c r="E46" s="614">
        <f>E48+E57+E61+E65+E68+E70+E79+E83</f>
        <v>0</v>
      </c>
      <c r="F46" s="614">
        <f t="shared" ref="F46:M46" si="8">F48+F57+F61+F65+F68+F70+F79+F83</f>
        <v>0</v>
      </c>
      <c r="G46" s="614">
        <f t="shared" si="8"/>
        <v>0</v>
      </c>
      <c r="H46" s="614">
        <f t="shared" si="8"/>
        <v>0</v>
      </c>
      <c r="I46" s="614">
        <f t="shared" si="8"/>
        <v>0</v>
      </c>
      <c r="J46" s="614">
        <f t="shared" si="8"/>
        <v>0</v>
      </c>
      <c r="K46" s="614">
        <f t="shared" si="8"/>
        <v>0</v>
      </c>
      <c r="L46" s="614">
        <f t="shared" si="8"/>
        <v>0</v>
      </c>
      <c r="M46" s="614">
        <f t="shared" si="8"/>
        <v>0</v>
      </c>
      <c r="N46" s="615"/>
      <c r="O46" s="616"/>
      <c r="P46" s="615"/>
      <c r="Q46" s="616"/>
      <c r="R46" s="615"/>
      <c r="S46" s="615"/>
    </row>
    <row r="47" spans="1:19" x14ac:dyDescent="0.2">
      <c r="A47" s="575" t="s">
        <v>440</v>
      </c>
      <c r="B47" s="574"/>
      <c r="C47" s="574"/>
      <c r="D47" s="577"/>
      <c r="E47" s="577"/>
      <c r="F47" s="577"/>
      <c r="G47" s="577"/>
      <c r="H47" s="577"/>
      <c r="I47" s="577"/>
      <c r="J47" s="577"/>
      <c r="K47" s="577"/>
      <c r="L47" s="577"/>
      <c r="M47" s="577"/>
      <c r="N47" s="568"/>
      <c r="O47" s="606"/>
      <c r="P47" s="568"/>
      <c r="Q47" s="606"/>
      <c r="R47" s="568"/>
      <c r="S47" s="568"/>
    </row>
    <row r="48" spans="1:19" s="589" customFormat="1" ht="36.75" customHeight="1" x14ac:dyDescent="0.2">
      <c r="A48" s="585" t="s">
        <v>988</v>
      </c>
      <c r="B48" s="594">
        <v>2100</v>
      </c>
      <c r="C48" s="594" t="s">
        <v>859</v>
      </c>
      <c r="D48" s="596">
        <f>SUM(E48:M48)</f>
        <v>0</v>
      </c>
      <c r="E48" s="596">
        <f>+E50+E51+E52+E53</f>
        <v>0</v>
      </c>
      <c r="F48" s="596">
        <f t="shared" ref="F48:M48" si="9">+F50+F51+F52+F53</f>
        <v>0</v>
      </c>
      <c r="G48" s="596">
        <f t="shared" si="9"/>
        <v>0</v>
      </c>
      <c r="H48" s="596">
        <f t="shared" si="9"/>
        <v>0</v>
      </c>
      <c r="I48" s="596">
        <f t="shared" si="9"/>
        <v>0</v>
      </c>
      <c r="J48" s="596">
        <f t="shared" si="9"/>
        <v>0</v>
      </c>
      <c r="K48" s="596">
        <f t="shared" si="9"/>
        <v>0</v>
      </c>
      <c r="L48" s="596">
        <f t="shared" si="9"/>
        <v>0</v>
      </c>
      <c r="M48" s="596">
        <f t="shared" si="9"/>
        <v>0</v>
      </c>
      <c r="N48" s="588"/>
      <c r="O48" s="597"/>
      <c r="P48" s="588"/>
      <c r="Q48" s="597"/>
      <c r="R48" s="588"/>
      <c r="S48" s="588"/>
    </row>
    <row r="49" spans="1:19" ht="20.25" customHeight="1" x14ac:dyDescent="0.2">
      <c r="A49" s="575" t="s">
        <v>440</v>
      </c>
      <c r="B49" s="574"/>
      <c r="C49" s="574"/>
      <c r="D49" s="577"/>
      <c r="E49" s="577"/>
      <c r="F49" s="577"/>
      <c r="G49" s="577"/>
      <c r="H49" s="577"/>
      <c r="I49" s="577"/>
      <c r="J49" s="577"/>
      <c r="K49" s="577"/>
      <c r="L49" s="577"/>
      <c r="M49" s="577"/>
      <c r="N49" s="568"/>
      <c r="O49" s="606"/>
      <c r="P49" s="568"/>
      <c r="Q49" s="606"/>
      <c r="R49" s="568"/>
      <c r="S49" s="568"/>
    </row>
    <row r="50" spans="1:19" ht="20.25" customHeight="1" x14ac:dyDescent="0.2">
      <c r="A50" s="575" t="s">
        <v>989</v>
      </c>
      <c r="B50" s="574">
        <v>2110</v>
      </c>
      <c r="C50" s="574">
        <v>111</v>
      </c>
      <c r="D50" s="577">
        <f>SUM(E50:M50)</f>
        <v>0</v>
      </c>
      <c r="E50" s="577">
        <f>'субс РК КВР 111 (14.02.20)'!O13</f>
        <v>0</v>
      </c>
      <c r="F50" s="577"/>
      <c r="G50" s="577"/>
      <c r="H50" s="577"/>
      <c r="I50" s="577"/>
      <c r="J50" s="577"/>
      <c r="K50" s="577"/>
      <c r="L50" s="577">
        <v>0</v>
      </c>
      <c r="M50" s="577"/>
      <c r="N50" s="568"/>
      <c r="O50" s="606"/>
      <c r="P50" s="568"/>
      <c r="Q50" s="606"/>
      <c r="R50" s="568"/>
      <c r="S50" s="568"/>
    </row>
    <row r="51" spans="1:19" ht="33.75" customHeight="1" x14ac:dyDescent="0.2">
      <c r="A51" s="575" t="s">
        <v>990</v>
      </c>
      <c r="B51" s="574">
        <v>2120</v>
      </c>
      <c r="C51" s="574">
        <v>112</v>
      </c>
      <c r="D51" s="577">
        <f>SUM(E51:M51)</f>
        <v>0</v>
      </c>
      <c r="E51" s="577">
        <v>0</v>
      </c>
      <c r="F51" s="577"/>
      <c r="G51" s="577">
        <f>'иные КВР 112 (01.01.20)'!O12</f>
        <v>0</v>
      </c>
      <c r="H51" s="577"/>
      <c r="I51" s="577"/>
      <c r="J51" s="577"/>
      <c r="K51" s="577"/>
      <c r="L51" s="577"/>
      <c r="M51" s="577"/>
      <c r="N51" s="568"/>
      <c r="O51" s="606"/>
      <c r="P51" s="568"/>
      <c r="Q51" s="606"/>
      <c r="R51" s="568"/>
      <c r="S51" s="568"/>
    </row>
    <row r="52" spans="1:19" ht="31.5" x14ac:dyDescent="0.2">
      <c r="A52" s="575" t="s">
        <v>991</v>
      </c>
      <c r="B52" s="574">
        <v>2130</v>
      </c>
      <c r="C52" s="574">
        <v>113</v>
      </c>
      <c r="D52" s="577">
        <f>SUM(E52:M52)</f>
        <v>0</v>
      </c>
      <c r="E52" s="577">
        <f>'субс РК КВР 113(01.01.20)'!O14</f>
        <v>0</v>
      </c>
      <c r="F52" s="577">
        <f>'субс РТ КВР 113(01.01.20)'!O14</f>
        <v>0</v>
      </c>
      <c r="G52" s="577"/>
      <c r="H52" s="577"/>
      <c r="I52" s="577">
        <f>'ОД КВР 113(01.01.20)'!O14</f>
        <v>0</v>
      </c>
      <c r="J52" s="577"/>
      <c r="K52" s="577"/>
      <c r="L52" s="577">
        <v>0</v>
      </c>
      <c r="M52" s="577"/>
      <c r="N52" s="568"/>
      <c r="O52" s="606"/>
      <c r="P52" s="568"/>
      <c r="Q52" s="606"/>
      <c r="R52" s="568"/>
      <c r="S52" s="568"/>
    </row>
    <row r="53" spans="1:19" ht="47.25" x14ac:dyDescent="0.2">
      <c r="A53" s="575" t="s">
        <v>992</v>
      </c>
      <c r="B53" s="574">
        <v>2140</v>
      </c>
      <c r="C53" s="574">
        <v>119</v>
      </c>
      <c r="D53" s="577">
        <f>SUM(E53:M53)</f>
        <v>0</v>
      </c>
      <c r="E53" s="662">
        <f>E55</f>
        <v>0</v>
      </c>
      <c r="F53" s="577"/>
      <c r="G53" s="577"/>
      <c r="H53" s="577"/>
      <c r="I53" s="577"/>
      <c r="J53" s="577"/>
      <c r="K53" s="577"/>
      <c r="L53" s="577">
        <v>0</v>
      </c>
      <c r="M53" s="577"/>
      <c r="N53" s="568"/>
      <c r="O53" s="606"/>
      <c r="P53" s="568"/>
      <c r="Q53" s="606"/>
      <c r="R53" s="568"/>
      <c r="S53" s="568"/>
    </row>
    <row r="54" spans="1:19" x14ac:dyDescent="0.2">
      <c r="A54" s="575" t="s">
        <v>440</v>
      </c>
      <c r="B54" s="574"/>
      <c r="C54" s="574"/>
      <c r="D54" s="577"/>
      <c r="E54" s="577"/>
      <c r="F54" s="577"/>
      <c r="G54" s="577"/>
      <c r="H54" s="577"/>
      <c r="I54" s="577"/>
      <c r="J54" s="577"/>
      <c r="K54" s="577"/>
      <c r="L54" s="577"/>
      <c r="M54" s="577"/>
      <c r="N54" s="568"/>
      <c r="O54" s="606"/>
      <c r="P54" s="568"/>
      <c r="Q54" s="606"/>
      <c r="R54" s="568"/>
      <c r="S54" s="568"/>
    </row>
    <row r="55" spans="1:19" x14ac:dyDescent="0.2">
      <c r="A55" s="575" t="s">
        <v>993</v>
      </c>
      <c r="B55" s="574">
        <v>2141</v>
      </c>
      <c r="C55" s="574">
        <v>119</v>
      </c>
      <c r="D55" s="577">
        <f>SUM(E55:M55)</f>
        <v>0</v>
      </c>
      <c r="E55" s="577">
        <f>'субс РК КВР 119 (14.02.20)'!O13</f>
        <v>0</v>
      </c>
      <c r="F55" s="577"/>
      <c r="G55" s="577"/>
      <c r="H55" s="577"/>
      <c r="I55" s="577"/>
      <c r="J55" s="577"/>
      <c r="K55" s="577"/>
      <c r="L55" s="577">
        <v>0</v>
      </c>
      <c r="M55" s="577"/>
      <c r="N55" s="568"/>
      <c r="O55" s="606"/>
      <c r="P55" s="568"/>
      <c r="Q55" s="606"/>
      <c r="R55" s="568"/>
      <c r="S55" s="568"/>
    </row>
    <row r="56" spans="1:19" x14ac:dyDescent="0.2">
      <c r="A56" s="575" t="s">
        <v>994</v>
      </c>
      <c r="B56" s="574">
        <v>2142</v>
      </c>
      <c r="C56" s="574">
        <v>119</v>
      </c>
      <c r="D56" s="577"/>
      <c r="E56" s="577"/>
      <c r="F56" s="577"/>
      <c r="G56" s="577"/>
      <c r="H56" s="577"/>
      <c r="I56" s="577"/>
      <c r="J56" s="577"/>
      <c r="K56" s="577"/>
      <c r="L56" s="577"/>
      <c r="M56" s="577"/>
      <c r="N56" s="568"/>
      <c r="O56" s="606"/>
      <c r="P56" s="568"/>
      <c r="Q56" s="606"/>
      <c r="R56" s="568"/>
      <c r="S56" s="568"/>
    </row>
    <row r="57" spans="1:19" s="589" customFormat="1" x14ac:dyDescent="0.2">
      <c r="A57" s="585" t="s">
        <v>995</v>
      </c>
      <c r="B57" s="594">
        <v>2200</v>
      </c>
      <c r="C57" s="594">
        <v>300</v>
      </c>
      <c r="D57" s="596">
        <f>SUM(E57:M57)</f>
        <v>0</v>
      </c>
      <c r="E57" s="596">
        <f>E59+E60</f>
        <v>0</v>
      </c>
      <c r="F57" s="596">
        <f t="shared" ref="F57:M57" si="10">F59+F60</f>
        <v>0</v>
      </c>
      <c r="G57" s="596">
        <f t="shared" si="10"/>
        <v>0</v>
      </c>
      <c r="H57" s="596">
        <f t="shared" si="10"/>
        <v>0</v>
      </c>
      <c r="I57" s="596">
        <f t="shared" si="10"/>
        <v>0</v>
      </c>
      <c r="J57" s="596">
        <f t="shared" si="10"/>
        <v>0</v>
      </c>
      <c r="K57" s="596">
        <f t="shared" si="10"/>
        <v>0</v>
      </c>
      <c r="L57" s="596">
        <f t="shared" si="10"/>
        <v>0</v>
      </c>
      <c r="M57" s="596">
        <f t="shared" si="10"/>
        <v>0</v>
      </c>
      <c r="N57" s="588"/>
      <c r="O57" s="597"/>
      <c r="P57" s="588"/>
      <c r="Q57" s="597"/>
      <c r="R57" s="588"/>
      <c r="S57" s="588"/>
    </row>
    <row r="58" spans="1:19" x14ac:dyDescent="0.2">
      <c r="A58" s="575" t="s">
        <v>440</v>
      </c>
      <c r="B58" s="574"/>
      <c r="C58" s="574"/>
      <c r="D58" s="577"/>
      <c r="E58" s="577"/>
      <c r="F58" s="577"/>
      <c r="G58" s="577"/>
      <c r="H58" s="577"/>
      <c r="I58" s="577"/>
      <c r="J58" s="577"/>
      <c r="K58" s="577"/>
      <c r="L58" s="577"/>
      <c r="M58" s="577"/>
      <c r="N58" s="568"/>
      <c r="O58" s="606"/>
      <c r="P58" s="568"/>
      <c r="Q58" s="606"/>
      <c r="R58" s="568"/>
      <c r="S58" s="568"/>
    </row>
    <row r="59" spans="1:19" ht="31.5" x14ac:dyDescent="0.2">
      <c r="A59" s="575" t="s">
        <v>996</v>
      </c>
      <c r="B59" s="574">
        <v>2210</v>
      </c>
      <c r="C59" s="574">
        <v>320</v>
      </c>
      <c r="D59" s="577">
        <f t="shared" ref="D59:D84" si="11">SUM(E59:M59)</f>
        <v>0</v>
      </c>
      <c r="E59" s="577"/>
      <c r="F59" s="577"/>
      <c r="G59" s="577"/>
      <c r="H59" s="577"/>
      <c r="I59" s="577"/>
      <c r="J59" s="577"/>
      <c r="K59" s="577"/>
      <c r="L59" s="577"/>
      <c r="M59" s="577"/>
      <c r="N59" s="568"/>
      <c r="O59" s="606"/>
      <c r="P59" s="568"/>
      <c r="Q59" s="606"/>
      <c r="R59" s="568"/>
      <c r="S59" s="568"/>
    </row>
    <row r="60" spans="1:19" ht="54.75" customHeight="1" x14ac:dyDescent="0.2">
      <c r="A60" s="575" t="s">
        <v>997</v>
      </c>
      <c r="B60" s="574">
        <v>2211</v>
      </c>
      <c r="C60" s="574">
        <v>321</v>
      </c>
      <c r="D60" s="577">
        <f t="shared" si="11"/>
        <v>0</v>
      </c>
      <c r="E60" s="577"/>
      <c r="F60" s="577"/>
      <c r="G60" s="577">
        <v>0</v>
      </c>
      <c r="H60" s="577"/>
      <c r="I60" s="577"/>
      <c r="J60" s="577"/>
      <c r="K60" s="577"/>
      <c r="L60" s="577"/>
      <c r="M60" s="577"/>
      <c r="N60" s="568"/>
      <c r="O60" s="606"/>
      <c r="P60" s="568"/>
      <c r="Q60" s="606"/>
      <c r="R60" s="568"/>
      <c r="S60" s="568"/>
    </row>
    <row r="61" spans="1:19" s="589" customFormat="1" x14ac:dyDescent="0.2">
      <c r="A61" s="585" t="s">
        <v>998</v>
      </c>
      <c r="B61" s="594">
        <v>2300</v>
      </c>
      <c r="C61" s="594">
        <v>850</v>
      </c>
      <c r="D61" s="596">
        <f t="shared" si="11"/>
        <v>0</v>
      </c>
      <c r="E61" s="596">
        <f>E62+E63+E64</f>
        <v>0</v>
      </c>
      <c r="F61" s="596">
        <f t="shared" ref="F61:M61" si="12">F62+F63+F64</f>
        <v>0</v>
      </c>
      <c r="G61" s="596">
        <f t="shared" si="12"/>
        <v>0</v>
      </c>
      <c r="H61" s="596">
        <f t="shared" si="12"/>
        <v>0</v>
      </c>
      <c r="I61" s="596">
        <f t="shared" si="12"/>
        <v>0</v>
      </c>
      <c r="J61" s="596">
        <f t="shared" si="12"/>
        <v>0</v>
      </c>
      <c r="K61" s="596">
        <f t="shared" si="12"/>
        <v>0</v>
      </c>
      <c r="L61" s="596">
        <f t="shared" si="12"/>
        <v>0</v>
      </c>
      <c r="M61" s="596">
        <f t="shared" si="12"/>
        <v>0</v>
      </c>
      <c r="N61" s="588"/>
      <c r="O61" s="597"/>
      <c r="P61" s="588"/>
      <c r="Q61" s="597"/>
      <c r="R61" s="588"/>
      <c r="S61" s="588"/>
    </row>
    <row r="62" spans="1:19" ht="31.5" x14ac:dyDescent="0.2">
      <c r="A62" s="575" t="s">
        <v>999</v>
      </c>
      <c r="B62" s="574">
        <v>2310</v>
      </c>
      <c r="C62" s="574">
        <v>851</v>
      </c>
      <c r="D62" s="577">
        <f t="shared" si="11"/>
        <v>0</v>
      </c>
      <c r="E62" s="577"/>
      <c r="F62" s="577"/>
      <c r="G62" s="577"/>
      <c r="H62" s="577"/>
      <c r="I62" s="577"/>
      <c r="J62" s="577"/>
      <c r="K62" s="577"/>
      <c r="L62" s="577"/>
      <c r="M62" s="577"/>
      <c r="N62" s="568"/>
      <c r="O62" s="606"/>
      <c r="P62" s="568"/>
      <c r="Q62" s="606"/>
      <c r="R62" s="568"/>
      <c r="S62" s="568"/>
    </row>
    <row r="63" spans="1:19" ht="47.25" x14ac:dyDescent="0.2">
      <c r="A63" s="575" t="s">
        <v>1000</v>
      </c>
      <c r="B63" s="574">
        <v>2320</v>
      </c>
      <c r="C63" s="574">
        <v>852</v>
      </c>
      <c r="D63" s="577">
        <f t="shared" si="11"/>
        <v>0</v>
      </c>
      <c r="E63" s="577"/>
      <c r="F63" s="577"/>
      <c r="G63" s="577"/>
      <c r="H63" s="577"/>
      <c r="I63" s="577"/>
      <c r="J63" s="577"/>
      <c r="K63" s="577"/>
      <c r="L63" s="577"/>
      <c r="M63" s="577"/>
      <c r="N63" s="568"/>
      <c r="O63" s="606"/>
      <c r="P63" s="568"/>
      <c r="Q63" s="606"/>
      <c r="R63" s="568"/>
      <c r="S63" s="568"/>
    </row>
    <row r="64" spans="1:19" ht="31.5" x14ac:dyDescent="0.2">
      <c r="A64" s="575" t="s">
        <v>1001</v>
      </c>
      <c r="B64" s="574">
        <v>2330</v>
      </c>
      <c r="C64" s="574">
        <v>853</v>
      </c>
      <c r="D64" s="577">
        <f t="shared" si="11"/>
        <v>0</v>
      </c>
      <c r="E64" s="577"/>
      <c r="F64" s="577"/>
      <c r="G64" s="577"/>
      <c r="H64" s="577"/>
      <c r="I64" s="577"/>
      <c r="J64" s="577"/>
      <c r="K64" s="577"/>
      <c r="L64" s="577"/>
      <c r="M64" s="577"/>
      <c r="N64" s="568"/>
      <c r="O64" s="606"/>
      <c r="P64" s="568"/>
      <c r="Q64" s="606"/>
      <c r="R64" s="568"/>
      <c r="S64" s="568"/>
    </row>
    <row r="65" spans="1:19" s="589" customFormat="1" ht="31.5" x14ac:dyDescent="0.2">
      <c r="A65" s="585" t="s">
        <v>1002</v>
      </c>
      <c r="B65" s="594">
        <v>2400</v>
      </c>
      <c r="C65" s="594" t="s">
        <v>859</v>
      </c>
      <c r="D65" s="596">
        <f t="shared" si="11"/>
        <v>0</v>
      </c>
      <c r="E65" s="596">
        <f>E66+E67</f>
        <v>0</v>
      </c>
      <c r="F65" s="596">
        <f t="shared" ref="F65:M65" si="13">F66+F67</f>
        <v>0</v>
      </c>
      <c r="G65" s="596">
        <f t="shared" si="13"/>
        <v>0</v>
      </c>
      <c r="H65" s="596">
        <f t="shared" si="13"/>
        <v>0</v>
      </c>
      <c r="I65" s="596">
        <f t="shared" si="13"/>
        <v>0</v>
      </c>
      <c r="J65" s="596">
        <f t="shared" si="13"/>
        <v>0</v>
      </c>
      <c r="K65" s="596">
        <f t="shared" si="13"/>
        <v>0</v>
      </c>
      <c r="L65" s="596">
        <f t="shared" si="13"/>
        <v>0</v>
      </c>
      <c r="M65" s="596">
        <f t="shared" si="13"/>
        <v>0</v>
      </c>
      <c r="N65" s="588"/>
      <c r="O65" s="597"/>
      <c r="P65" s="588"/>
      <c r="Q65" s="597"/>
      <c r="R65" s="588"/>
      <c r="S65" s="588"/>
    </row>
    <row r="66" spans="1:19" ht="47.25" x14ac:dyDescent="0.2">
      <c r="A66" s="575" t="s">
        <v>1761</v>
      </c>
      <c r="B66" s="574">
        <v>2410</v>
      </c>
      <c r="C66" s="574">
        <v>613</v>
      </c>
      <c r="D66" s="577">
        <f t="shared" si="11"/>
        <v>0</v>
      </c>
      <c r="E66" s="577"/>
      <c r="F66" s="577"/>
      <c r="G66" s="577"/>
      <c r="H66" s="577"/>
      <c r="I66" s="577"/>
      <c r="J66" s="577"/>
      <c r="K66" s="577"/>
      <c r="L66" s="577"/>
      <c r="M66" s="577"/>
      <c r="N66" s="568"/>
      <c r="O66" s="606"/>
      <c r="P66" s="568"/>
      <c r="Q66" s="606"/>
      <c r="R66" s="568"/>
      <c r="S66" s="568"/>
    </row>
    <row r="67" spans="1:19" ht="23.25" customHeight="1" x14ac:dyDescent="0.2">
      <c r="A67" s="575" t="s">
        <v>1762</v>
      </c>
      <c r="B67" s="574">
        <v>2420</v>
      </c>
      <c r="C67" s="574">
        <v>623</v>
      </c>
      <c r="D67" s="577">
        <f t="shared" si="11"/>
        <v>0</v>
      </c>
      <c r="E67" s="577"/>
      <c r="F67" s="577"/>
      <c r="G67" s="577"/>
      <c r="H67" s="577"/>
      <c r="I67" s="577"/>
      <c r="J67" s="577"/>
      <c r="K67" s="577"/>
      <c r="L67" s="577"/>
      <c r="M67" s="577"/>
      <c r="N67" s="568"/>
      <c r="O67" s="606"/>
      <c r="P67" s="568"/>
      <c r="Q67" s="606"/>
      <c r="R67" s="568"/>
      <c r="S67" s="568"/>
    </row>
    <row r="68" spans="1:19" s="589" customFormat="1" ht="31.5" x14ac:dyDescent="0.2">
      <c r="A68" s="585" t="s">
        <v>1005</v>
      </c>
      <c r="B68" s="594">
        <v>2500</v>
      </c>
      <c r="C68" s="594" t="s">
        <v>859</v>
      </c>
      <c r="D68" s="596">
        <f t="shared" si="11"/>
        <v>0</v>
      </c>
      <c r="E68" s="596">
        <f>E69</f>
        <v>0</v>
      </c>
      <c r="F68" s="596">
        <f t="shared" ref="F68:M68" si="14">F69</f>
        <v>0</v>
      </c>
      <c r="G68" s="596">
        <f t="shared" si="14"/>
        <v>0</v>
      </c>
      <c r="H68" s="596">
        <f t="shared" si="14"/>
        <v>0</v>
      </c>
      <c r="I68" s="596">
        <f t="shared" si="14"/>
        <v>0</v>
      </c>
      <c r="J68" s="596">
        <f t="shared" si="14"/>
        <v>0</v>
      </c>
      <c r="K68" s="596">
        <f t="shared" si="14"/>
        <v>0</v>
      </c>
      <c r="L68" s="596">
        <f t="shared" si="14"/>
        <v>0</v>
      </c>
      <c r="M68" s="596">
        <f t="shared" si="14"/>
        <v>0</v>
      </c>
      <c r="N68" s="588"/>
      <c r="O68" s="597"/>
      <c r="P68" s="588"/>
      <c r="Q68" s="597"/>
      <c r="R68" s="588"/>
      <c r="S68" s="588"/>
    </row>
    <row r="69" spans="1:19" ht="47.25" x14ac:dyDescent="0.2">
      <c r="A69" s="575" t="s">
        <v>1006</v>
      </c>
      <c r="B69" s="574">
        <v>252</v>
      </c>
      <c r="C69" s="574">
        <v>831</v>
      </c>
      <c r="D69" s="577">
        <f t="shared" si="11"/>
        <v>0</v>
      </c>
      <c r="E69" s="577"/>
      <c r="F69" s="577"/>
      <c r="G69" s="577"/>
      <c r="H69" s="577"/>
      <c r="I69" s="577"/>
      <c r="J69" s="577"/>
      <c r="K69" s="577"/>
      <c r="L69" s="577"/>
      <c r="M69" s="577"/>
      <c r="N69" s="568"/>
      <c r="O69" s="606"/>
      <c r="P69" s="568"/>
      <c r="Q69" s="606"/>
      <c r="R69" s="568"/>
      <c r="S69" s="568"/>
    </row>
    <row r="70" spans="1:19" s="589" customFormat="1" ht="18.75" x14ac:dyDescent="0.2">
      <c r="A70" s="585" t="s">
        <v>1007</v>
      </c>
      <c r="B70" s="594">
        <v>2600</v>
      </c>
      <c r="C70" s="594" t="s">
        <v>859</v>
      </c>
      <c r="D70" s="596">
        <f t="shared" si="11"/>
        <v>0</v>
      </c>
      <c r="E70" s="596">
        <f>E71+E72+E73+E74</f>
        <v>0</v>
      </c>
      <c r="F70" s="596">
        <f t="shared" ref="F70:M70" si="15">F71+F72+F73+F74</f>
        <v>0</v>
      </c>
      <c r="G70" s="596">
        <f t="shared" si="15"/>
        <v>0</v>
      </c>
      <c r="H70" s="596">
        <f t="shared" si="15"/>
        <v>0</v>
      </c>
      <c r="I70" s="596">
        <f t="shared" si="15"/>
        <v>0</v>
      </c>
      <c r="J70" s="596">
        <f t="shared" si="15"/>
        <v>0</v>
      </c>
      <c r="K70" s="596">
        <f t="shared" si="15"/>
        <v>0</v>
      </c>
      <c r="L70" s="596">
        <f t="shared" si="15"/>
        <v>0</v>
      </c>
      <c r="M70" s="596">
        <f t="shared" si="15"/>
        <v>0</v>
      </c>
      <c r="N70" s="588"/>
      <c r="O70" s="597"/>
      <c r="P70" s="588"/>
      <c r="Q70" s="597"/>
      <c r="R70" s="588"/>
      <c r="S70" s="588"/>
    </row>
    <row r="71" spans="1:19" ht="47.25" x14ac:dyDescent="0.2">
      <c r="A71" s="575" t="s">
        <v>1008</v>
      </c>
      <c r="B71" s="574">
        <v>2610</v>
      </c>
      <c r="C71" s="574">
        <v>241</v>
      </c>
      <c r="D71" s="577">
        <f t="shared" si="11"/>
        <v>0</v>
      </c>
      <c r="E71" s="577"/>
      <c r="F71" s="577"/>
      <c r="G71" s="577"/>
      <c r="H71" s="577"/>
      <c r="I71" s="577"/>
      <c r="J71" s="577"/>
      <c r="K71" s="577"/>
      <c r="L71" s="577"/>
      <c r="M71" s="577"/>
      <c r="N71" s="568"/>
      <c r="O71" s="606"/>
      <c r="P71" s="568"/>
      <c r="Q71" s="606"/>
      <c r="R71" s="568"/>
      <c r="S71" s="568"/>
    </row>
    <row r="72" spans="1:19" ht="31.5" x14ac:dyDescent="0.2">
      <c r="A72" s="575" t="s">
        <v>1009</v>
      </c>
      <c r="B72" s="574">
        <v>2620</v>
      </c>
      <c r="C72" s="574">
        <v>242</v>
      </c>
      <c r="D72" s="577">
        <f t="shared" si="11"/>
        <v>0</v>
      </c>
      <c r="E72" s="577"/>
      <c r="F72" s="577"/>
      <c r="G72" s="577"/>
      <c r="H72" s="577"/>
      <c r="I72" s="577"/>
      <c r="J72" s="577"/>
      <c r="K72" s="577"/>
      <c r="L72" s="577"/>
      <c r="M72" s="577"/>
      <c r="N72" s="568"/>
      <c r="O72" s="606"/>
      <c r="P72" s="568"/>
      <c r="Q72" s="606"/>
      <c r="R72" s="568"/>
      <c r="S72" s="568"/>
    </row>
    <row r="73" spans="1:19" ht="31.5" x14ac:dyDescent="0.2">
      <c r="A73" s="575" t="s">
        <v>1010</v>
      </c>
      <c r="B73" s="574">
        <v>2630</v>
      </c>
      <c r="C73" s="574">
        <v>243</v>
      </c>
      <c r="D73" s="577">
        <f t="shared" si="11"/>
        <v>0</v>
      </c>
      <c r="E73" s="577"/>
      <c r="F73" s="577"/>
      <c r="G73" s="577"/>
      <c r="H73" s="577"/>
      <c r="I73" s="577"/>
      <c r="J73" s="577"/>
      <c r="K73" s="577"/>
      <c r="L73" s="577"/>
      <c r="M73" s="577"/>
      <c r="N73" s="568"/>
      <c r="O73" s="606"/>
      <c r="P73" s="568"/>
      <c r="Q73" s="606"/>
      <c r="R73" s="568"/>
      <c r="S73" s="568"/>
    </row>
    <row r="74" spans="1:19" x14ac:dyDescent="0.2">
      <c r="A74" s="575" t="s">
        <v>1011</v>
      </c>
      <c r="B74" s="574">
        <v>2640</v>
      </c>
      <c r="C74" s="574">
        <v>244</v>
      </c>
      <c r="D74" s="577">
        <f t="shared" si="11"/>
        <v>0</v>
      </c>
      <c r="E74" s="577">
        <f>'субс РК КВР 244 (01.01.20)'!O33</f>
        <v>0</v>
      </c>
      <c r="F74" s="577">
        <f>'субс РТ КВР 244 (01.01.20)'!N10</f>
        <v>0</v>
      </c>
      <c r="G74" s="577"/>
      <c r="H74" s="577"/>
      <c r="I74" s="577"/>
      <c r="J74" s="577"/>
      <c r="K74" s="577">
        <f>K76</f>
        <v>0</v>
      </c>
      <c r="L74" s="577">
        <f>'внеб КВР 244'!O30</f>
        <v>0</v>
      </c>
      <c r="M74" s="577"/>
      <c r="N74" s="568"/>
      <c r="O74" s="606"/>
      <c r="P74" s="568"/>
      <c r="Q74" s="606"/>
      <c r="R74" s="568"/>
      <c r="S74" s="568"/>
    </row>
    <row r="75" spans="1:19" x14ac:dyDescent="0.2">
      <c r="A75" s="575" t="s">
        <v>800</v>
      </c>
      <c r="B75" s="574"/>
      <c r="C75" s="574"/>
      <c r="D75" s="577">
        <f t="shared" si="11"/>
        <v>0</v>
      </c>
      <c r="E75" s="577"/>
      <c r="F75" s="577"/>
      <c r="G75" s="577"/>
      <c r="H75" s="577"/>
      <c r="I75" s="577"/>
      <c r="J75" s="577"/>
      <c r="K75" s="577"/>
      <c r="L75" s="577"/>
      <c r="M75" s="577"/>
      <c r="N75" s="568"/>
      <c r="O75" s="606"/>
      <c r="P75" s="568"/>
      <c r="Q75" s="606"/>
      <c r="R75" s="568"/>
      <c r="S75" s="568"/>
    </row>
    <row r="76" spans="1:19" ht="31.5" x14ac:dyDescent="0.2">
      <c r="A76" s="575" t="s">
        <v>1012</v>
      </c>
      <c r="B76" s="574">
        <v>2650</v>
      </c>
      <c r="C76" s="574">
        <v>400</v>
      </c>
      <c r="D76" s="577">
        <f t="shared" si="11"/>
        <v>0</v>
      </c>
      <c r="E76" s="577">
        <v>0</v>
      </c>
      <c r="F76" s="577"/>
      <c r="G76" s="577"/>
      <c r="H76" s="577"/>
      <c r="I76" s="577"/>
      <c r="J76" s="577"/>
      <c r="K76" s="577">
        <f>'(81600) КВР 244 (01.01.20)'!O10</f>
        <v>0</v>
      </c>
      <c r="L76" s="577">
        <f>'внеб КВР 244'!O26</f>
        <v>0</v>
      </c>
      <c r="M76" s="577"/>
      <c r="N76" s="568"/>
      <c r="O76" s="606"/>
      <c r="P76" s="568"/>
      <c r="Q76" s="606"/>
      <c r="R76" s="568"/>
      <c r="S76" s="568"/>
    </row>
    <row r="77" spans="1:19" ht="55.5" customHeight="1" x14ac:dyDescent="0.2">
      <c r="A77" s="617" t="s">
        <v>1013</v>
      </c>
      <c r="B77" s="574">
        <v>2651</v>
      </c>
      <c r="C77" s="574">
        <v>406</v>
      </c>
      <c r="D77" s="577">
        <f t="shared" si="11"/>
        <v>0</v>
      </c>
      <c r="E77" s="577"/>
      <c r="F77" s="577"/>
      <c r="G77" s="577"/>
      <c r="H77" s="577"/>
      <c r="I77" s="577"/>
      <c r="J77" s="577"/>
      <c r="K77" s="577"/>
      <c r="L77" s="577"/>
      <c r="M77" s="577"/>
      <c r="N77" s="568"/>
      <c r="O77" s="606"/>
      <c r="P77" s="568"/>
      <c r="Q77" s="606"/>
      <c r="R77" s="568"/>
      <c r="S77" s="568"/>
    </row>
    <row r="78" spans="1:19" ht="31.5" x14ac:dyDescent="0.2">
      <c r="A78" s="575" t="s">
        <v>1014</v>
      </c>
      <c r="B78" s="574">
        <v>2652</v>
      </c>
      <c r="C78" s="574">
        <v>407</v>
      </c>
      <c r="D78" s="577">
        <f t="shared" si="11"/>
        <v>0</v>
      </c>
      <c r="E78" s="577"/>
      <c r="F78" s="577"/>
      <c r="G78" s="577"/>
      <c r="H78" s="577"/>
      <c r="I78" s="577"/>
      <c r="J78" s="577"/>
      <c r="K78" s="577"/>
      <c r="L78" s="577"/>
      <c r="M78" s="577"/>
      <c r="N78" s="568"/>
      <c r="O78" s="606"/>
      <c r="P78" s="568"/>
      <c r="Q78" s="606"/>
      <c r="R78" s="568"/>
      <c r="S78" s="568"/>
    </row>
    <row r="79" spans="1:19" s="589" customFormat="1" ht="30.75" customHeight="1" x14ac:dyDescent="0.2">
      <c r="A79" s="585" t="s">
        <v>1015</v>
      </c>
      <c r="B79" s="594">
        <v>3000</v>
      </c>
      <c r="C79" s="594">
        <v>100</v>
      </c>
      <c r="D79" s="596">
        <f t="shared" si="11"/>
        <v>0</v>
      </c>
      <c r="E79" s="596">
        <f>E80+E81+E82</f>
        <v>0</v>
      </c>
      <c r="F79" s="596">
        <f t="shared" ref="F79:M79" si="16">F80+F81+F82</f>
        <v>0</v>
      </c>
      <c r="G79" s="596">
        <f t="shared" si="16"/>
        <v>0</v>
      </c>
      <c r="H79" s="596">
        <f t="shared" si="16"/>
        <v>0</v>
      </c>
      <c r="I79" s="596">
        <f t="shared" si="16"/>
        <v>0</v>
      </c>
      <c r="J79" s="596">
        <f t="shared" si="16"/>
        <v>0</v>
      </c>
      <c r="K79" s="596">
        <f t="shared" si="16"/>
        <v>0</v>
      </c>
      <c r="L79" s="596">
        <f t="shared" si="16"/>
        <v>0</v>
      </c>
      <c r="M79" s="596">
        <f t="shared" si="16"/>
        <v>0</v>
      </c>
      <c r="N79" s="588"/>
      <c r="O79" s="597"/>
      <c r="P79" s="588"/>
      <c r="Q79" s="597"/>
      <c r="R79" s="588"/>
      <c r="S79" s="588"/>
    </row>
    <row r="80" spans="1:19" ht="44.25" customHeight="1" x14ac:dyDescent="0.2">
      <c r="A80" s="575" t="s">
        <v>1016</v>
      </c>
      <c r="B80" s="574">
        <v>3010</v>
      </c>
      <c r="C80" s="574"/>
      <c r="D80" s="577">
        <f t="shared" si="11"/>
        <v>0</v>
      </c>
      <c r="E80" s="577"/>
      <c r="F80" s="577"/>
      <c r="G80" s="577"/>
      <c r="H80" s="577"/>
      <c r="I80" s="577"/>
      <c r="J80" s="577"/>
      <c r="K80" s="577"/>
      <c r="L80" s="577"/>
      <c r="M80" s="577"/>
      <c r="N80" s="568"/>
      <c r="O80" s="606"/>
      <c r="P80" s="568"/>
      <c r="Q80" s="606"/>
      <c r="R80" s="568"/>
      <c r="S80" s="568"/>
    </row>
    <row r="81" spans="1:19" ht="43.5" customHeight="1" x14ac:dyDescent="0.2">
      <c r="A81" s="575" t="s">
        <v>1017</v>
      </c>
      <c r="B81" s="574">
        <v>3020</v>
      </c>
      <c r="C81" s="574"/>
      <c r="D81" s="577">
        <f t="shared" si="11"/>
        <v>0</v>
      </c>
      <c r="E81" s="577"/>
      <c r="F81" s="577"/>
      <c r="G81" s="577"/>
      <c r="H81" s="577"/>
      <c r="I81" s="577"/>
      <c r="J81" s="577"/>
      <c r="K81" s="577"/>
      <c r="L81" s="577"/>
      <c r="M81" s="577"/>
      <c r="N81" s="568"/>
      <c r="O81" s="606"/>
      <c r="P81" s="568"/>
      <c r="Q81" s="606"/>
      <c r="R81" s="568"/>
      <c r="S81" s="568"/>
    </row>
    <row r="82" spans="1:19" ht="15.75" customHeight="1" x14ac:dyDescent="0.2">
      <c r="A82" s="575" t="s">
        <v>1018</v>
      </c>
      <c r="B82" s="574">
        <v>3030</v>
      </c>
      <c r="C82" s="574"/>
      <c r="D82" s="577">
        <f t="shared" si="11"/>
        <v>0</v>
      </c>
      <c r="E82" s="577"/>
      <c r="F82" s="577"/>
      <c r="G82" s="577"/>
      <c r="H82" s="577"/>
      <c r="I82" s="577"/>
      <c r="J82" s="577"/>
      <c r="K82" s="577"/>
      <c r="L82" s="577"/>
      <c r="M82" s="577"/>
      <c r="N82" s="568"/>
      <c r="O82" s="606"/>
      <c r="P82" s="568"/>
      <c r="Q82" s="606"/>
      <c r="R82" s="568"/>
      <c r="S82" s="568"/>
    </row>
    <row r="83" spans="1:19" s="589" customFormat="1" ht="15.75" customHeight="1" x14ac:dyDescent="0.2">
      <c r="A83" s="585" t="s">
        <v>1019</v>
      </c>
      <c r="B83" s="594">
        <v>4000</v>
      </c>
      <c r="C83" s="594" t="s">
        <v>859</v>
      </c>
      <c r="D83" s="596">
        <f t="shared" si="11"/>
        <v>0</v>
      </c>
      <c r="E83" s="596">
        <f>E84</f>
        <v>0</v>
      </c>
      <c r="F83" s="596">
        <f t="shared" ref="F83:M83" si="17">F84</f>
        <v>0</v>
      </c>
      <c r="G83" s="596">
        <f t="shared" si="17"/>
        <v>0</v>
      </c>
      <c r="H83" s="596">
        <f t="shared" si="17"/>
        <v>0</v>
      </c>
      <c r="I83" s="596">
        <f t="shared" si="17"/>
        <v>0</v>
      </c>
      <c r="J83" s="596">
        <f t="shared" si="17"/>
        <v>0</v>
      </c>
      <c r="K83" s="596">
        <f t="shared" si="17"/>
        <v>0</v>
      </c>
      <c r="L83" s="596">
        <f t="shared" si="17"/>
        <v>0</v>
      </c>
      <c r="M83" s="596">
        <f t="shared" si="17"/>
        <v>0</v>
      </c>
      <c r="N83" s="588"/>
      <c r="O83" s="597"/>
      <c r="P83" s="588"/>
      <c r="Q83" s="597"/>
      <c r="R83" s="588"/>
      <c r="S83" s="588"/>
    </row>
    <row r="84" spans="1:19" ht="32.25" customHeight="1" x14ac:dyDescent="0.2">
      <c r="A84" s="575" t="s">
        <v>1020</v>
      </c>
      <c r="B84" s="574">
        <v>4010</v>
      </c>
      <c r="C84" s="574">
        <v>610</v>
      </c>
      <c r="D84" s="577">
        <f t="shared" si="11"/>
        <v>0</v>
      </c>
      <c r="E84" s="577"/>
      <c r="F84" s="577"/>
      <c r="G84" s="577"/>
      <c r="H84" s="577"/>
      <c r="I84" s="577"/>
      <c r="J84" s="577"/>
      <c r="K84" s="577"/>
      <c r="L84" s="577"/>
      <c r="M84" s="577"/>
      <c r="N84" s="568"/>
      <c r="O84" s="606"/>
      <c r="P84" s="568"/>
      <c r="Q84" s="606"/>
      <c r="R84" s="568"/>
      <c r="S84" s="568"/>
    </row>
    <row r="85" spans="1:19" ht="15.75" customHeight="1" x14ac:dyDescent="0.2">
      <c r="A85" s="575"/>
      <c r="B85" s="574"/>
      <c r="C85" s="574"/>
      <c r="D85" s="577"/>
      <c r="E85" s="577"/>
      <c r="F85" s="577"/>
      <c r="G85" s="577"/>
      <c r="H85" s="577"/>
      <c r="I85" s="577"/>
      <c r="J85" s="577"/>
      <c r="K85" s="577"/>
      <c r="L85" s="577"/>
      <c r="M85" s="577"/>
      <c r="N85" s="568"/>
      <c r="O85" s="606"/>
      <c r="P85" s="568"/>
      <c r="Q85" s="606"/>
      <c r="R85" s="568"/>
      <c r="S85" s="568"/>
    </row>
    <row r="86" spans="1:19" s="592" customFormat="1" ht="22.5" customHeight="1" x14ac:dyDescent="0.2">
      <c r="D86" s="618"/>
      <c r="E86" s="618"/>
      <c r="F86" s="618"/>
      <c r="G86" s="618"/>
      <c r="H86" s="618"/>
      <c r="I86" s="618"/>
      <c r="J86" s="618"/>
      <c r="K86" s="618"/>
      <c r="L86" s="618"/>
      <c r="M86" s="618"/>
      <c r="N86" s="619"/>
      <c r="O86" s="619"/>
      <c r="P86" s="619"/>
      <c r="Q86" s="619"/>
      <c r="R86" s="591"/>
      <c r="S86" s="591"/>
    </row>
    <row r="87" spans="1:19" x14ac:dyDescent="0.2">
      <c r="D87" s="2083"/>
    </row>
    <row r="88" spans="1:19" x14ac:dyDescent="0.2">
      <c r="D88" s="2082"/>
    </row>
    <row r="90" spans="1:19" x14ac:dyDescent="0.2">
      <c r="A90" s="566" t="s">
        <v>1730</v>
      </c>
      <c r="B90" s="2272" t="s">
        <v>166</v>
      </c>
      <c r="C90" s="2272"/>
      <c r="D90" s="2272"/>
    </row>
    <row r="92" spans="1:19" ht="42" customHeight="1" x14ac:dyDescent="0.2">
      <c r="B92" s="2272"/>
      <c r="C92" s="2272"/>
      <c r="D92" s="2084"/>
      <c r="E92" s="2084"/>
      <c r="F92" s="2084"/>
      <c r="G92" s="2084"/>
      <c r="H92" s="2084"/>
      <c r="I92" s="2084"/>
      <c r="J92" s="2084"/>
      <c r="K92" s="2084"/>
      <c r="L92" s="2084"/>
      <c r="M92" s="2084"/>
    </row>
    <row r="94" spans="1:19" ht="33" customHeight="1" x14ac:dyDescent="0.2">
      <c r="D94" s="2084"/>
      <c r="E94" s="2084"/>
      <c r="F94" s="2084"/>
      <c r="G94" s="2084"/>
      <c r="H94" s="2084"/>
      <c r="I94" s="2084"/>
      <c r="J94" s="2084"/>
      <c r="K94" s="2084"/>
      <c r="L94" s="2084"/>
      <c r="M94" s="2084"/>
    </row>
    <row r="95" spans="1:19" ht="30.75" customHeight="1" x14ac:dyDescent="0.2">
      <c r="D95" s="2084"/>
      <c r="E95" s="2084"/>
      <c r="F95" s="2084"/>
      <c r="G95" s="2084"/>
      <c r="H95" s="2084"/>
      <c r="I95" s="2084"/>
      <c r="J95" s="2084"/>
      <c r="K95" s="2084"/>
      <c r="L95" s="2084"/>
      <c r="M95" s="2084"/>
    </row>
    <row r="98" spans="1:13" ht="33.75" customHeight="1" x14ac:dyDescent="0.2">
      <c r="D98" s="2085"/>
      <c r="E98" s="2085"/>
      <c r="F98" s="2085"/>
      <c r="G98" s="2085"/>
      <c r="H98" s="2085"/>
      <c r="I98" s="2085"/>
      <c r="J98" s="2085"/>
      <c r="K98" s="2085"/>
      <c r="L98" s="2085"/>
      <c r="M98" s="2085"/>
    </row>
    <row r="99" spans="1:13" x14ac:dyDescent="0.2">
      <c r="A99" s="2286" t="s">
        <v>1021</v>
      </c>
      <c r="B99" s="2286"/>
      <c r="C99" s="2286"/>
    </row>
    <row r="100" spans="1:13" x14ac:dyDescent="0.2">
      <c r="A100" s="2272" t="s">
        <v>1022</v>
      </c>
      <c r="B100" s="2272"/>
      <c r="C100" s="2272"/>
    </row>
    <row r="101" spans="1:13" x14ac:dyDescent="0.2">
      <c r="A101" s="2272" t="s">
        <v>1023</v>
      </c>
      <c r="B101" s="2272"/>
      <c r="C101" s="2272"/>
    </row>
    <row r="102" spans="1:13" x14ac:dyDescent="0.2">
      <c r="A102" s="2272" t="s">
        <v>1024</v>
      </c>
      <c r="B102" s="2272"/>
      <c r="C102" s="2272"/>
    </row>
    <row r="103" spans="1:13" x14ac:dyDescent="0.2">
      <c r="A103" s="2272" t="s">
        <v>1025</v>
      </c>
      <c r="B103" s="2272"/>
      <c r="C103" s="2272"/>
    </row>
    <row r="104" spans="1:13" x14ac:dyDescent="0.2">
      <c r="A104" s="2272" t="s">
        <v>1026</v>
      </c>
      <c r="B104" s="2272"/>
      <c r="C104" s="2272"/>
    </row>
    <row r="105" spans="1:13" x14ac:dyDescent="0.2">
      <c r="A105" s="2285" t="s">
        <v>1027</v>
      </c>
      <c r="B105" s="2285"/>
      <c r="C105" s="2285"/>
    </row>
    <row r="106" spans="1:13" x14ac:dyDescent="0.2">
      <c r="A106" s="2272" t="s">
        <v>1028</v>
      </c>
      <c r="B106" s="2272"/>
      <c r="C106" s="2272"/>
    </row>
    <row r="107" spans="1:13" x14ac:dyDescent="0.2">
      <c r="A107" s="2285" t="s">
        <v>1029</v>
      </c>
      <c r="B107" s="2285"/>
      <c r="C107" s="2285"/>
    </row>
    <row r="108" spans="1:13" x14ac:dyDescent="0.2">
      <c r="A108" s="2285" t="s">
        <v>1030</v>
      </c>
      <c r="B108" s="2285"/>
      <c r="C108" s="2285"/>
    </row>
    <row r="109" spans="1:13" x14ac:dyDescent="0.2">
      <c r="A109" s="2272" t="s">
        <v>1031</v>
      </c>
      <c r="B109" s="2272"/>
      <c r="C109" s="2272"/>
    </row>
    <row r="110" spans="1:13" x14ac:dyDescent="0.2">
      <c r="A110" s="2272" t="s">
        <v>1032</v>
      </c>
      <c r="B110" s="2272"/>
      <c r="C110" s="2272"/>
    </row>
    <row r="111" spans="1:13" x14ac:dyDescent="0.2">
      <c r="A111" s="2285" t="s">
        <v>1033</v>
      </c>
      <c r="B111" s="2285"/>
      <c r="C111" s="2285"/>
    </row>
  </sheetData>
  <mergeCells count="27">
    <mergeCell ref="N29:V29"/>
    <mergeCell ref="B90:D90"/>
    <mergeCell ref="K5:L5"/>
    <mergeCell ref="K6:L6"/>
    <mergeCell ref="E3:I3"/>
    <mergeCell ref="J2:M2"/>
    <mergeCell ref="D15:M15"/>
    <mergeCell ref="D16:M16"/>
    <mergeCell ref="D17:M17"/>
    <mergeCell ref="B15:B18"/>
    <mergeCell ref="C15:C18"/>
    <mergeCell ref="A108:C108"/>
    <mergeCell ref="A109:C109"/>
    <mergeCell ref="A110:C110"/>
    <mergeCell ref="A111:C111"/>
    <mergeCell ref="A14:M14"/>
    <mergeCell ref="A102:C102"/>
    <mergeCell ref="A103:C103"/>
    <mergeCell ref="A104:C104"/>
    <mergeCell ref="A105:C105"/>
    <mergeCell ref="A106:C106"/>
    <mergeCell ref="A107:C107"/>
    <mergeCell ref="A99:C99"/>
    <mergeCell ref="A100:C100"/>
    <mergeCell ref="A101:C101"/>
    <mergeCell ref="B92:C92"/>
    <mergeCell ref="A15:A18"/>
  </mergeCells>
  <printOptions horizontalCentered="1"/>
  <pageMargins left="0.19685039370078741" right="0.15748031496062992" top="0.23622047244094491" bottom="0.31496062992125984" header="0.27559055118110237" footer="0"/>
  <pageSetup paperSize="9" scale="33" fitToHeight="2" orientation="landscape" r:id="rId1"/>
  <headerFooter alignWithMargins="0"/>
  <rowBreaks count="1" manualBreakCount="1">
    <brk id="56" max="12"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7" tint="0.39997558519241921"/>
  </sheetPr>
  <dimension ref="A1:H26"/>
  <sheetViews>
    <sheetView view="pageBreakPreview" zoomScale="80" zoomScaleNormal="80" zoomScaleSheetLayoutView="80" workbookViewId="0">
      <pane ySplit="9" topLeftCell="A10" activePane="bottomLeft" state="frozen"/>
      <selection activeCell="K20" sqref="K20"/>
      <selection pane="bottomLeft" activeCell="K17" sqref="K17"/>
    </sheetView>
  </sheetViews>
  <sheetFormatPr defaultRowHeight="15.75" x14ac:dyDescent="0.25"/>
  <cols>
    <col min="1" max="1" width="9.33203125" style="1244"/>
    <col min="2" max="2" width="45.33203125" style="1244" customWidth="1"/>
    <col min="3" max="3" width="14.33203125" style="1244" customWidth="1"/>
    <col min="4" max="4" width="15.83203125" style="1244" customWidth="1"/>
    <col min="5" max="5" width="19.83203125" style="1244" customWidth="1"/>
    <col min="6" max="7" width="15.83203125" style="1244" customWidth="1"/>
    <col min="8" max="8" width="23.1640625" style="1244" customWidth="1"/>
    <col min="9" max="16384" width="9.33203125" style="1244"/>
  </cols>
  <sheetData>
    <row r="1" spans="1:8" x14ac:dyDescent="0.25">
      <c r="H1" s="1298"/>
    </row>
    <row r="2" spans="1:8" ht="54" customHeight="1" x14ac:dyDescent="0.25">
      <c r="A2" s="2878" t="s">
        <v>415</v>
      </c>
      <c r="B2" s="2878"/>
      <c r="C2" s="2878"/>
      <c r="D2" s="2878"/>
      <c r="E2" s="2878"/>
      <c r="F2" s="2878"/>
      <c r="G2" s="2878"/>
      <c r="H2" s="2878"/>
    </row>
    <row r="3" spans="1:8" ht="19.5" customHeight="1" x14ac:dyDescent="0.25">
      <c r="A3" s="1245"/>
      <c r="B3" s="1245"/>
      <c r="C3" s="1245"/>
      <c r="D3" s="1245"/>
      <c r="E3" s="1245"/>
      <c r="F3" s="1245"/>
      <c r="G3" s="1245"/>
      <c r="H3" s="1245"/>
    </row>
    <row r="4" spans="1:8" ht="19.5" customHeight="1" x14ac:dyDescent="0.25">
      <c r="A4" s="2878" t="s">
        <v>1256</v>
      </c>
      <c r="B4" s="2878"/>
      <c r="C4" s="2878"/>
      <c r="D4" s="2878"/>
      <c r="E4" s="2878"/>
      <c r="F4" s="2878"/>
      <c r="G4" s="2878"/>
      <c r="H4" s="2878"/>
    </row>
    <row r="5" spans="1:8" x14ac:dyDescent="0.25">
      <c r="H5" s="1246">
        <v>43829</v>
      </c>
    </row>
    <row r="6" spans="1:8" ht="15.75" customHeight="1" x14ac:dyDescent="0.25">
      <c r="A6" s="2876" t="s">
        <v>78</v>
      </c>
      <c r="B6" s="2874" t="s">
        <v>213</v>
      </c>
      <c r="C6" s="2880" t="s">
        <v>187</v>
      </c>
      <c r="D6" s="2881"/>
      <c r="E6" s="2882"/>
      <c r="F6" s="2883" t="s">
        <v>356</v>
      </c>
      <c r="G6" s="2883" t="s">
        <v>362</v>
      </c>
      <c r="H6" s="2884" t="s">
        <v>182</v>
      </c>
    </row>
    <row r="7" spans="1:8" ht="15.75" customHeight="1" x14ac:dyDescent="0.25">
      <c r="A7" s="2876"/>
      <c r="B7" s="2879"/>
      <c r="C7" s="2874" t="s">
        <v>214</v>
      </c>
      <c r="D7" s="2874" t="s">
        <v>359</v>
      </c>
      <c r="E7" s="2874" t="s">
        <v>360</v>
      </c>
      <c r="F7" s="2883"/>
      <c r="G7" s="2883"/>
      <c r="H7" s="2885"/>
    </row>
    <row r="8" spans="1:8" x14ac:dyDescent="0.25">
      <c r="A8" s="2876"/>
      <c r="B8" s="2875"/>
      <c r="C8" s="2875"/>
      <c r="D8" s="2875"/>
      <c r="E8" s="2875"/>
      <c r="F8" s="2883"/>
      <c r="G8" s="2883"/>
      <c r="H8" s="2886"/>
    </row>
    <row r="9" spans="1:8" x14ac:dyDescent="0.25">
      <c r="A9" s="1249">
        <v>1</v>
      </c>
      <c r="B9" s="1247">
        <v>2</v>
      </c>
      <c r="C9" s="1247">
        <v>3</v>
      </c>
      <c r="D9" s="1249">
        <v>4</v>
      </c>
      <c r="E9" s="1247">
        <v>5</v>
      </c>
      <c r="F9" s="1249">
        <v>6</v>
      </c>
      <c r="G9" s="1249">
        <v>7</v>
      </c>
      <c r="H9" s="1249">
        <v>8</v>
      </c>
    </row>
    <row r="10" spans="1:8" x14ac:dyDescent="0.25">
      <c r="A10" s="1288">
        <v>1</v>
      </c>
      <c r="B10" s="1299" t="s">
        <v>1471</v>
      </c>
      <c r="C10" s="1249">
        <v>100</v>
      </c>
      <c r="D10" s="1249">
        <f>E10/C10*1000</f>
        <v>895</v>
      </c>
      <c r="E10" s="1253">
        <f>89500/1000</f>
        <v>89.5</v>
      </c>
      <c r="F10" s="1253">
        <f>89500/1000</f>
        <v>89.5</v>
      </c>
      <c r="G10" s="1253">
        <f>89500/1000</f>
        <v>89.5</v>
      </c>
      <c r="H10" s="1287"/>
    </row>
    <row r="11" spans="1:8" x14ac:dyDescent="0.25">
      <c r="A11" s="1249"/>
      <c r="B11" s="1256"/>
      <c r="C11" s="1249"/>
      <c r="D11" s="1249"/>
      <c r="E11" s="1253"/>
      <c r="F11" s="1253"/>
      <c r="G11" s="1253"/>
      <c r="H11" s="1288"/>
    </row>
    <row r="12" spans="1:8" x14ac:dyDescent="0.25">
      <c r="A12" s="1288"/>
      <c r="B12" s="1299"/>
      <c r="C12" s="1249"/>
      <c r="D12" s="1249"/>
      <c r="E12" s="1253"/>
      <c r="F12" s="1253"/>
      <c r="G12" s="1253"/>
      <c r="H12" s="1288"/>
    </row>
    <row r="13" spans="1:8" x14ac:dyDescent="0.25">
      <c r="A13" s="1249"/>
      <c r="B13" s="1256"/>
      <c r="C13" s="1249"/>
      <c r="D13" s="1249"/>
      <c r="E13" s="1253"/>
      <c r="F13" s="1253"/>
      <c r="G13" s="1253"/>
      <c r="H13" s="1288"/>
    </row>
    <row r="14" spans="1:8" x14ac:dyDescent="0.25">
      <c r="A14" s="1288"/>
      <c r="B14" s="699"/>
      <c r="C14" s="1249"/>
      <c r="D14" s="1249"/>
      <c r="E14" s="1253"/>
      <c r="F14" s="1253"/>
      <c r="G14" s="1253"/>
      <c r="H14" s="1288"/>
    </row>
    <row r="15" spans="1:8" x14ac:dyDescent="0.25">
      <c r="A15" s="1249"/>
      <c r="B15" s="1256"/>
      <c r="C15" s="1249"/>
      <c r="D15" s="1249"/>
      <c r="E15" s="1253"/>
      <c r="F15" s="1253"/>
      <c r="G15" s="1253"/>
      <c r="H15" s="1288"/>
    </row>
    <row r="16" spans="1:8" x14ac:dyDescent="0.25">
      <c r="A16" s="1249"/>
      <c r="B16" s="1256"/>
      <c r="C16" s="1249"/>
      <c r="D16" s="1249"/>
      <c r="E16" s="1253"/>
      <c r="F16" s="1253"/>
      <c r="G16" s="1253"/>
      <c r="H16" s="1288"/>
    </row>
    <row r="17" spans="1:8" x14ac:dyDescent="0.25">
      <c r="A17" s="1249"/>
      <c r="B17" s="1256"/>
      <c r="C17" s="1249"/>
      <c r="D17" s="1249"/>
      <c r="E17" s="1253"/>
      <c r="F17" s="1253"/>
      <c r="G17" s="1253"/>
      <c r="H17" s="1288"/>
    </row>
    <row r="18" spans="1:8" x14ac:dyDescent="0.25">
      <c r="A18" s="1249"/>
      <c r="B18" s="1256"/>
      <c r="C18" s="1249"/>
      <c r="D18" s="1249"/>
      <c r="E18" s="1253"/>
      <c r="F18" s="1253"/>
      <c r="G18" s="1253"/>
      <c r="H18" s="1288"/>
    </row>
    <row r="19" spans="1:8" x14ac:dyDescent="0.25">
      <c r="A19" s="1249"/>
      <c r="B19" s="1261" t="s">
        <v>230</v>
      </c>
      <c r="C19" s="1258">
        <f>C10</f>
        <v>100</v>
      </c>
      <c r="D19" s="1258">
        <f>D10</f>
        <v>895</v>
      </c>
      <c r="E19" s="1258">
        <f>E10</f>
        <v>89.5</v>
      </c>
      <c r="F19" s="1258">
        <f t="shared" ref="F19:G19" si="0">F10</f>
        <v>89.5</v>
      </c>
      <c r="G19" s="1258">
        <f t="shared" si="0"/>
        <v>89.5</v>
      </c>
      <c r="H19" s="1288"/>
    </row>
    <row r="20" spans="1:8" ht="33.75" customHeight="1" x14ac:dyDescent="0.25">
      <c r="A20" s="2907" t="s">
        <v>363</v>
      </c>
      <c r="B20" s="2907"/>
      <c r="C20" s="2907"/>
      <c r="D20" s="2907"/>
      <c r="E20" s="2907"/>
      <c r="F20" s="2907"/>
      <c r="G20" s="2907"/>
      <c r="H20" s="2907"/>
    </row>
    <row r="21" spans="1:8" ht="18.75" x14ac:dyDescent="0.3">
      <c r="A21" s="2908"/>
      <c r="B21" s="2908"/>
      <c r="C21" s="2908"/>
      <c r="D21" s="2908"/>
      <c r="E21" s="2908"/>
      <c r="F21" s="2908"/>
      <c r="G21" s="2908"/>
      <c r="H21" s="2908"/>
    </row>
    <row r="22" spans="1:8" x14ac:dyDescent="0.25">
      <c r="B22" s="1180" t="s">
        <v>1472</v>
      </c>
    </row>
    <row r="23" spans="1:8" x14ac:dyDescent="0.25">
      <c r="B23" s="1180"/>
    </row>
    <row r="24" spans="1:8" x14ac:dyDescent="0.25">
      <c r="B24" s="1180"/>
    </row>
    <row r="25" spans="1:8" x14ac:dyDescent="0.25">
      <c r="B25" s="1180" t="s">
        <v>1445</v>
      </c>
    </row>
    <row r="26" spans="1:8" x14ac:dyDescent="0.25">
      <c r="B26" s="1180"/>
    </row>
  </sheetData>
  <mergeCells count="13">
    <mergeCell ref="E7:E8"/>
    <mergeCell ref="A20:H20"/>
    <mergeCell ref="A21:H21"/>
    <mergeCell ref="A2:H2"/>
    <mergeCell ref="A4:H4"/>
    <mergeCell ref="A6:A8"/>
    <mergeCell ref="B6:B8"/>
    <mergeCell ref="C6:E6"/>
    <mergeCell ref="F6:F8"/>
    <mergeCell ref="G6:G8"/>
    <mergeCell ref="H6:H8"/>
    <mergeCell ref="C7:C8"/>
    <mergeCell ref="D7:D8"/>
  </mergeCells>
  <pageMargins left="0.70866141732283472" right="0.70866141732283472" top="0.74803149606299213" bottom="0.74803149606299213" header="0.31496062992125984" footer="0.31496062992125984"/>
  <pageSetup paperSize="9" scale="91"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00FFFF"/>
  </sheetPr>
  <dimension ref="A1:E18"/>
  <sheetViews>
    <sheetView view="pageBreakPreview" zoomScale="80" zoomScaleNormal="100" zoomScaleSheetLayoutView="80" workbookViewId="0">
      <selection activeCell="C4" sqref="C4:E4"/>
    </sheetView>
  </sheetViews>
  <sheetFormatPr defaultRowHeight="39.75" customHeight="1" x14ac:dyDescent="0.25"/>
  <cols>
    <col min="1" max="1" width="81.33203125" style="313" customWidth="1"/>
    <col min="2" max="2" width="10" style="313" customWidth="1"/>
    <col min="3" max="5" width="25.83203125" style="313" customWidth="1"/>
    <col min="6" max="16384" width="9.33203125" style="313"/>
  </cols>
  <sheetData>
    <row r="1" spans="1:5" ht="39.75" customHeight="1" x14ac:dyDescent="0.25">
      <c r="A1" s="2584" t="s">
        <v>934</v>
      </c>
      <c r="B1" s="2584"/>
      <c r="C1" s="2584"/>
      <c r="D1" s="2584"/>
      <c r="E1" s="2584"/>
    </row>
    <row r="2" spans="1:5" ht="39.75" customHeight="1" x14ac:dyDescent="0.25">
      <c r="A2" s="2584" t="s">
        <v>1256</v>
      </c>
      <c r="B2" s="2584"/>
      <c r="C2" s="2584"/>
      <c r="D2" s="2584"/>
      <c r="E2" s="2584"/>
    </row>
    <row r="3" spans="1:5" ht="13.5" customHeight="1" x14ac:dyDescent="0.25">
      <c r="A3" s="379"/>
      <c r="B3" s="379"/>
      <c r="C3" s="379"/>
      <c r="D3" s="379"/>
      <c r="E3" s="320">
        <v>43829</v>
      </c>
    </row>
    <row r="4" spans="1:5" ht="39.75" customHeight="1" x14ac:dyDescent="0.25">
      <c r="A4" s="2495" t="s">
        <v>416</v>
      </c>
      <c r="B4" s="2495" t="s">
        <v>417</v>
      </c>
      <c r="C4" s="2495" t="s">
        <v>418</v>
      </c>
      <c r="D4" s="2495"/>
      <c r="E4" s="2495"/>
    </row>
    <row r="5" spans="1:5" ht="24.75" customHeight="1" x14ac:dyDescent="0.25">
      <c r="A5" s="2495"/>
      <c r="B5" s="2495"/>
      <c r="C5" s="509" t="s">
        <v>428</v>
      </c>
      <c r="D5" s="509" t="s">
        <v>429</v>
      </c>
      <c r="E5" s="509" t="s">
        <v>430</v>
      </c>
    </row>
    <row r="6" spans="1:5" ht="39.75" customHeight="1" x14ac:dyDescent="0.25">
      <c r="A6" s="2495"/>
      <c r="B6" s="2495"/>
      <c r="C6" s="509" t="s">
        <v>419</v>
      </c>
      <c r="D6" s="509" t="s">
        <v>420</v>
      </c>
      <c r="E6" s="509" t="s">
        <v>421</v>
      </c>
    </row>
    <row r="7" spans="1:5" ht="16.5" customHeight="1" x14ac:dyDescent="0.25">
      <c r="A7" s="509">
        <v>1</v>
      </c>
      <c r="B7" s="509">
        <v>2</v>
      </c>
      <c r="C7" s="509">
        <v>3</v>
      </c>
      <c r="D7" s="509">
        <v>4</v>
      </c>
      <c r="E7" s="509">
        <v>5</v>
      </c>
    </row>
    <row r="8" spans="1:5" ht="20.25" customHeight="1" x14ac:dyDescent="0.25">
      <c r="A8" s="510" t="s">
        <v>512</v>
      </c>
      <c r="B8" s="509">
        <v>100</v>
      </c>
      <c r="C8" s="530"/>
      <c r="D8" s="530"/>
      <c r="E8" s="530"/>
    </row>
    <row r="9" spans="1:5" ht="20.25" customHeight="1" x14ac:dyDescent="0.25">
      <c r="A9" s="510" t="s">
        <v>935</v>
      </c>
      <c r="B9" s="509">
        <v>200</v>
      </c>
      <c r="C9" s="530"/>
      <c r="D9" s="530"/>
      <c r="E9" s="530"/>
    </row>
    <row r="10" spans="1:5" ht="23.25" customHeight="1" x14ac:dyDescent="0.25">
      <c r="A10" s="510" t="s">
        <v>936</v>
      </c>
      <c r="B10" s="509">
        <v>300</v>
      </c>
      <c r="C10" s="530">
        <f>C11+C12+C13+C14+C15</f>
        <v>0</v>
      </c>
      <c r="D10" s="530">
        <f t="shared" ref="D10:E10" si="0">D11+D12+D13+D14+D15</f>
        <v>0</v>
      </c>
      <c r="E10" s="530">
        <f t="shared" si="0"/>
        <v>0</v>
      </c>
    </row>
    <row r="11" spans="1:5" ht="21.75" customHeight="1" x14ac:dyDescent="0.25">
      <c r="A11" s="510" t="s">
        <v>937</v>
      </c>
      <c r="B11" s="509">
        <v>301</v>
      </c>
      <c r="C11" s="530"/>
      <c r="D11" s="530"/>
      <c r="E11" s="530"/>
    </row>
    <row r="12" spans="1:5" ht="35.25" customHeight="1" x14ac:dyDescent="0.25">
      <c r="A12" s="510" t="s">
        <v>938</v>
      </c>
      <c r="B12" s="509">
        <v>302</v>
      </c>
      <c r="C12" s="530"/>
      <c r="D12" s="530"/>
      <c r="E12" s="530"/>
    </row>
    <row r="13" spans="1:5" ht="18.75" customHeight="1" x14ac:dyDescent="0.25">
      <c r="A13" s="510" t="s">
        <v>939</v>
      </c>
      <c r="B13" s="509">
        <v>303</v>
      </c>
      <c r="C13" s="530"/>
      <c r="D13" s="530"/>
      <c r="E13" s="530"/>
    </row>
    <row r="14" spans="1:5" ht="18.75" customHeight="1" x14ac:dyDescent="0.25">
      <c r="A14" s="510" t="s">
        <v>940</v>
      </c>
      <c r="B14" s="509">
        <v>304</v>
      </c>
      <c r="C14" s="530"/>
      <c r="D14" s="530"/>
      <c r="E14" s="530"/>
    </row>
    <row r="15" spans="1:5" ht="18.75" customHeight="1" x14ac:dyDescent="0.25">
      <c r="A15" s="510" t="s">
        <v>941</v>
      </c>
      <c r="B15" s="509">
        <v>305</v>
      </c>
      <c r="C15" s="530"/>
      <c r="D15" s="530"/>
      <c r="E15" s="530"/>
    </row>
    <row r="16" spans="1:5" ht="22.5" customHeight="1" x14ac:dyDescent="0.25">
      <c r="A16" s="510" t="s">
        <v>516</v>
      </c>
      <c r="B16" s="509">
        <v>400</v>
      </c>
      <c r="C16" s="530"/>
      <c r="D16" s="530"/>
      <c r="E16" s="530"/>
    </row>
    <row r="17" spans="1:5" ht="22.5" customHeight="1" x14ac:dyDescent="0.25">
      <c r="A17" s="510" t="s">
        <v>517</v>
      </c>
      <c r="B17" s="509">
        <v>500</v>
      </c>
      <c r="C17" s="530"/>
      <c r="D17" s="530"/>
      <c r="E17" s="530"/>
    </row>
    <row r="18" spans="1:5" s="319" customFormat="1" ht="39.75" customHeight="1" x14ac:dyDescent="0.25">
      <c r="A18" s="317" t="s">
        <v>942</v>
      </c>
      <c r="B18" s="318">
        <v>600</v>
      </c>
      <c r="C18" s="322">
        <f>C8-C9+C10-C16+C17</f>
        <v>0</v>
      </c>
      <c r="D18" s="322">
        <f t="shared" ref="D18:E18" si="1">D8-D9+D10-D16+D17</f>
        <v>0</v>
      </c>
      <c r="E18" s="322">
        <f t="shared" si="1"/>
        <v>0</v>
      </c>
    </row>
  </sheetData>
  <mergeCells count="5">
    <mergeCell ref="A1:E1"/>
    <mergeCell ref="A2:E2"/>
    <mergeCell ref="A4:A6"/>
    <mergeCell ref="B4:B6"/>
    <mergeCell ref="C4:E4"/>
  </mergeCells>
  <pageMargins left="0.7" right="0.7" top="0.75" bottom="0.75" header="0.3" footer="0.3"/>
  <pageSetup paperSize="9" scale="56"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00FFFF"/>
  </sheetPr>
  <dimension ref="A1:E14"/>
  <sheetViews>
    <sheetView view="pageBreakPreview" zoomScale="80" zoomScaleNormal="100" zoomScaleSheetLayoutView="80" workbookViewId="0">
      <selection activeCell="X14" sqref="X14"/>
    </sheetView>
  </sheetViews>
  <sheetFormatPr defaultRowHeight="39.75" customHeight="1" x14ac:dyDescent="0.25"/>
  <cols>
    <col min="1" max="1" width="81.33203125" style="365" customWidth="1"/>
    <col min="2" max="2" width="10" style="365" customWidth="1"/>
    <col min="3" max="5" width="25.83203125" style="365" customWidth="1"/>
    <col min="6" max="16384" width="9.33203125" style="365"/>
  </cols>
  <sheetData>
    <row r="1" spans="1:5" ht="55.5" customHeight="1" x14ac:dyDescent="0.25">
      <c r="A1" s="2509" t="s">
        <v>1195</v>
      </c>
      <c r="B1" s="2509"/>
      <c r="C1" s="2509"/>
      <c r="D1" s="2509"/>
      <c r="E1" s="2509"/>
    </row>
    <row r="2" spans="1:5" ht="34.5" customHeight="1" x14ac:dyDescent="0.25">
      <c r="A2" s="2509" t="s">
        <v>1253</v>
      </c>
      <c r="B2" s="2509"/>
      <c r="C2" s="2509"/>
      <c r="D2" s="2509"/>
      <c r="E2" s="2509"/>
    </row>
    <row r="3" spans="1:5" ht="13.5" customHeight="1" x14ac:dyDescent="0.25">
      <c r="A3" s="2183"/>
      <c r="B3" s="2183"/>
      <c r="C3" s="2183"/>
      <c r="D3" s="2183"/>
      <c r="E3" s="367">
        <v>43540</v>
      </c>
    </row>
    <row r="4" spans="1:5" ht="39.75" customHeight="1" x14ac:dyDescent="0.25">
      <c r="A4" s="2454" t="s">
        <v>416</v>
      </c>
      <c r="B4" s="2454" t="s">
        <v>417</v>
      </c>
      <c r="C4" s="2454" t="s">
        <v>418</v>
      </c>
      <c r="D4" s="2454"/>
      <c r="E4" s="2454"/>
    </row>
    <row r="5" spans="1:5" ht="39.75" customHeight="1" x14ac:dyDescent="0.25">
      <c r="A5" s="2454"/>
      <c r="B5" s="2454"/>
      <c r="C5" s="2182" t="s">
        <v>428</v>
      </c>
      <c r="D5" s="2182" t="s">
        <v>429</v>
      </c>
      <c r="E5" s="2182" t="s">
        <v>430</v>
      </c>
    </row>
    <row r="6" spans="1:5" ht="39.75" customHeight="1" x14ac:dyDescent="0.25">
      <c r="A6" s="2454"/>
      <c r="B6" s="2454"/>
      <c r="C6" s="2182" t="s">
        <v>419</v>
      </c>
      <c r="D6" s="2182" t="s">
        <v>420</v>
      </c>
      <c r="E6" s="2182" t="s">
        <v>421</v>
      </c>
    </row>
    <row r="7" spans="1:5" ht="16.5" customHeight="1" x14ac:dyDescent="0.25">
      <c r="A7" s="2182">
        <v>1</v>
      </c>
      <c r="B7" s="2182">
        <v>2</v>
      </c>
      <c r="C7" s="2182">
        <v>3</v>
      </c>
      <c r="D7" s="2182">
        <v>4</v>
      </c>
      <c r="E7" s="2182">
        <v>5</v>
      </c>
    </row>
    <row r="8" spans="1:5" ht="17.25" customHeight="1" x14ac:dyDescent="0.25">
      <c r="A8" s="369" t="s">
        <v>512</v>
      </c>
      <c r="B8" s="2182">
        <v>100</v>
      </c>
      <c r="C8" s="370"/>
      <c r="D8" s="370"/>
      <c r="E8" s="370"/>
    </row>
    <row r="9" spans="1:5" ht="17.25" customHeight="1" x14ac:dyDescent="0.25">
      <c r="A9" s="369" t="s">
        <v>513</v>
      </c>
      <c r="B9" s="2182">
        <v>200</v>
      </c>
      <c r="C9" s="370"/>
      <c r="D9" s="370"/>
      <c r="E9" s="370"/>
    </row>
    <row r="10" spans="1:5" ht="44.25" customHeight="1" x14ac:dyDescent="0.25">
      <c r="A10" s="369" t="s">
        <v>514</v>
      </c>
      <c r="B10" s="2182">
        <v>300</v>
      </c>
      <c r="C10" s="370">
        <f>C11</f>
        <v>154000</v>
      </c>
      <c r="D10" s="370"/>
      <c r="E10" s="370"/>
    </row>
    <row r="11" spans="1:5" ht="104.25" customHeight="1" x14ac:dyDescent="0.25">
      <c r="A11" s="369" t="s">
        <v>515</v>
      </c>
      <c r="B11" s="2182">
        <v>301</v>
      </c>
      <c r="C11" s="370">
        <f>'безв.поступ. 820'!G12</f>
        <v>154000</v>
      </c>
      <c r="D11" s="370"/>
      <c r="E11" s="370"/>
    </row>
    <row r="12" spans="1:5" ht="18" customHeight="1" x14ac:dyDescent="0.25">
      <c r="A12" s="369" t="s">
        <v>516</v>
      </c>
      <c r="B12" s="2182">
        <v>400</v>
      </c>
      <c r="C12" s="370"/>
      <c r="D12" s="370"/>
      <c r="E12" s="370"/>
    </row>
    <row r="13" spans="1:5" ht="18" customHeight="1" x14ac:dyDescent="0.25">
      <c r="A13" s="369" t="s">
        <v>517</v>
      </c>
      <c r="B13" s="2182">
        <v>500</v>
      </c>
      <c r="C13" s="370"/>
      <c r="D13" s="370"/>
      <c r="E13" s="370"/>
    </row>
    <row r="14" spans="1:5" s="374" customFormat="1" ht="66.75" customHeight="1" x14ac:dyDescent="0.2">
      <c r="A14" s="371" t="s">
        <v>538</v>
      </c>
      <c r="B14" s="372">
        <v>600</v>
      </c>
      <c r="C14" s="373">
        <f>C8-C9+C10-C12+C13</f>
        <v>154000</v>
      </c>
      <c r="D14" s="373">
        <f t="shared" ref="D14:E14" si="0">D8-D9+D10-D12+D13</f>
        <v>0</v>
      </c>
      <c r="E14" s="373">
        <f t="shared" si="0"/>
        <v>0</v>
      </c>
    </row>
  </sheetData>
  <mergeCells count="5">
    <mergeCell ref="A1:E1"/>
    <mergeCell ref="A2:E2"/>
    <mergeCell ref="A4:A6"/>
    <mergeCell ref="B4:B6"/>
    <mergeCell ref="C4:E4"/>
  </mergeCells>
  <pageMargins left="0.7" right="0.7" top="0.75" bottom="0.75" header="0.3" footer="0.3"/>
  <pageSetup paperSize="9" scale="5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00FFFF"/>
  </sheetPr>
  <dimension ref="A1:G31"/>
  <sheetViews>
    <sheetView view="pageBreakPreview" zoomScale="90" zoomScaleNormal="100" zoomScaleSheetLayoutView="90" workbookViewId="0">
      <pane xSplit="4" ySplit="7" topLeftCell="E17" activePane="bottomRight" state="frozen"/>
      <selection pane="topRight" activeCell="E1" sqref="E1"/>
      <selection pane="bottomLeft" activeCell="A8" sqref="A8"/>
      <selection pane="bottomRight" activeCell="C30" sqref="C30"/>
    </sheetView>
  </sheetViews>
  <sheetFormatPr defaultRowHeight="15" x14ac:dyDescent="0.25"/>
  <cols>
    <col min="1" max="1" width="67.83203125" style="323" customWidth="1"/>
    <col min="2" max="2" width="10.83203125" style="323" customWidth="1"/>
    <col min="3" max="5" width="29" style="323" customWidth="1"/>
    <col min="6" max="6" width="17.6640625" style="323" customWidth="1"/>
    <col min="7" max="7" width="14.6640625" style="323" customWidth="1"/>
    <col min="8" max="16384" width="9.33203125" style="323"/>
  </cols>
  <sheetData>
    <row r="1" spans="1:6" ht="39.75" customHeight="1" x14ac:dyDescent="0.25">
      <c r="A1" s="2507" t="s">
        <v>1723</v>
      </c>
      <c r="B1" s="2507"/>
      <c r="C1" s="2507"/>
      <c r="D1" s="2507"/>
      <c r="E1" s="2507"/>
    </row>
    <row r="2" spans="1:6" x14ac:dyDescent="0.25">
      <c r="A2" s="2506" t="s">
        <v>1253</v>
      </c>
      <c r="B2" s="2506"/>
      <c r="C2" s="2506"/>
      <c r="D2" s="2506"/>
      <c r="E2" s="2506"/>
    </row>
    <row r="3" spans="1:6" x14ac:dyDescent="0.25">
      <c r="A3" s="2153"/>
      <c r="B3" s="2153"/>
      <c r="C3" s="2153"/>
      <c r="D3" s="2153"/>
      <c r="E3" s="324">
        <v>43906</v>
      </c>
    </row>
    <row r="4" spans="1:6" x14ac:dyDescent="0.25">
      <c r="A4" s="2909" t="s">
        <v>416</v>
      </c>
      <c r="B4" s="2909" t="s">
        <v>417</v>
      </c>
      <c r="C4" s="2909" t="s">
        <v>418</v>
      </c>
      <c r="D4" s="2909"/>
      <c r="E4" s="2909"/>
    </row>
    <row r="5" spans="1:6" ht="20.25" customHeight="1" x14ac:dyDescent="0.25">
      <c r="A5" s="2909"/>
      <c r="B5" s="2909"/>
      <c r="C5" s="2176" t="s">
        <v>428</v>
      </c>
      <c r="D5" s="2176" t="s">
        <v>429</v>
      </c>
      <c r="E5" s="2176" t="s">
        <v>430</v>
      </c>
    </row>
    <row r="6" spans="1:6" ht="47.25" customHeight="1" x14ac:dyDescent="0.25">
      <c r="A6" s="2909"/>
      <c r="B6" s="2909"/>
      <c r="C6" s="2176" t="s">
        <v>419</v>
      </c>
      <c r="D6" s="2176" t="s">
        <v>420</v>
      </c>
      <c r="E6" s="2176" t="s">
        <v>421</v>
      </c>
    </row>
    <row r="7" spans="1:6" x14ac:dyDescent="0.25">
      <c r="A7" s="2176">
        <v>1</v>
      </c>
      <c r="B7" s="2176">
        <v>2</v>
      </c>
      <c r="C7" s="2176">
        <v>3</v>
      </c>
      <c r="D7" s="2176">
        <v>4</v>
      </c>
      <c r="E7" s="2176">
        <v>5</v>
      </c>
    </row>
    <row r="8" spans="1:6" ht="60" customHeight="1" x14ac:dyDescent="0.25">
      <c r="A8" s="2177" t="s">
        <v>437</v>
      </c>
      <c r="B8" s="2176">
        <v>100</v>
      </c>
      <c r="C8" s="2178"/>
      <c r="D8" s="2178"/>
      <c r="E8" s="2178"/>
    </row>
    <row r="9" spans="1:6" ht="42" customHeight="1" x14ac:dyDescent="0.25">
      <c r="A9" s="2177" t="s">
        <v>438</v>
      </c>
      <c r="B9" s="2176">
        <v>200</v>
      </c>
      <c r="C9" s="2178"/>
      <c r="D9" s="2178"/>
      <c r="E9" s="2178"/>
    </row>
    <row r="10" spans="1:6" ht="19.5" customHeight="1" x14ac:dyDescent="0.25">
      <c r="A10" s="2177" t="s">
        <v>439</v>
      </c>
      <c r="B10" s="2176">
        <v>300</v>
      </c>
      <c r="C10" s="2178">
        <f>SUM(C12:C27)</f>
        <v>837507</v>
      </c>
      <c r="D10" s="2178">
        <f t="shared" ref="D10:E10" si="0">SUM(D12:D27)</f>
        <v>0</v>
      </c>
      <c r="E10" s="2178">
        <f t="shared" si="0"/>
        <v>0</v>
      </c>
    </row>
    <row r="11" spans="1:6" x14ac:dyDescent="0.25">
      <c r="A11" s="2177" t="s">
        <v>440</v>
      </c>
      <c r="B11" s="2177"/>
      <c r="C11" s="2178"/>
      <c r="D11" s="2178"/>
      <c r="E11" s="2178"/>
    </row>
    <row r="12" spans="1:6" ht="60" x14ac:dyDescent="0.25">
      <c r="A12" s="2177" t="s">
        <v>497</v>
      </c>
      <c r="B12" s="2176">
        <v>301</v>
      </c>
      <c r="C12" s="2178">
        <v>0</v>
      </c>
      <c r="D12" s="2178">
        <v>0</v>
      </c>
      <c r="E12" s="2178">
        <v>0</v>
      </c>
      <c r="F12" s="2179">
        <v>921</v>
      </c>
    </row>
    <row r="13" spans="1:6" x14ac:dyDescent="0.25">
      <c r="A13" s="2177" t="s">
        <v>442</v>
      </c>
      <c r="B13" s="2176">
        <v>302</v>
      </c>
      <c r="C13" s="2178">
        <f>'безв.поступ. 820'!G9</f>
        <v>60000</v>
      </c>
      <c r="D13" s="2178"/>
      <c r="E13" s="2178"/>
    </row>
    <row r="14" spans="1:6" x14ac:dyDescent="0.25">
      <c r="A14" s="2177" t="s">
        <v>441</v>
      </c>
      <c r="B14" s="2176">
        <v>303</v>
      </c>
      <c r="C14" s="2178"/>
      <c r="D14" s="2178"/>
      <c r="E14" s="2178"/>
    </row>
    <row r="15" spans="1:6" x14ac:dyDescent="0.25">
      <c r="A15" s="2177" t="s">
        <v>443</v>
      </c>
      <c r="B15" s="2176">
        <v>304</v>
      </c>
      <c r="C15" s="2178"/>
      <c r="D15" s="2178"/>
      <c r="E15" s="2178"/>
    </row>
    <row r="16" spans="1:6" x14ac:dyDescent="0.25">
      <c r="A16" s="2177" t="s">
        <v>444</v>
      </c>
      <c r="B16" s="2176">
        <v>305</v>
      </c>
      <c r="C16" s="2178"/>
      <c r="D16" s="2178"/>
      <c r="E16" s="2178"/>
    </row>
    <row r="17" spans="1:7" x14ac:dyDescent="0.25">
      <c r="A17" s="2177" t="s">
        <v>445</v>
      </c>
      <c r="B17" s="2176">
        <v>306</v>
      </c>
      <c r="C17" s="2178">
        <f>'безв.поступ. 820'!G16</f>
        <v>202109</v>
      </c>
      <c r="D17" s="2178"/>
      <c r="E17" s="2178"/>
      <c r="F17" s="323" t="s">
        <v>1739</v>
      </c>
    </row>
    <row r="18" spans="1:7" x14ac:dyDescent="0.25">
      <c r="A18" s="2177" t="s">
        <v>446</v>
      </c>
      <c r="B18" s="2176">
        <v>307</v>
      </c>
      <c r="C18" s="2178"/>
      <c r="D18" s="2178"/>
      <c r="E18" s="2178"/>
    </row>
    <row r="19" spans="1:7" x14ac:dyDescent="0.25">
      <c r="A19" s="2177" t="s">
        <v>454</v>
      </c>
      <c r="B19" s="2176">
        <v>308</v>
      </c>
      <c r="C19" s="327">
        <f>'безв.поступ. 820'!G15</f>
        <v>56000</v>
      </c>
      <c r="D19" s="327"/>
      <c r="E19" s="327"/>
      <c r="F19" s="2180">
        <v>954</v>
      </c>
    </row>
    <row r="20" spans="1:7" ht="18" customHeight="1" x14ac:dyDescent="0.25">
      <c r="A20" s="2177" t="s">
        <v>447</v>
      </c>
      <c r="B20" s="2176">
        <v>309</v>
      </c>
      <c r="C20" s="2178"/>
      <c r="D20" s="2178"/>
      <c r="E20" s="2178"/>
    </row>
    <row r="21" spans="1:7" ht="26.25" customHeight="1" x14ac:dyDescent="0.25">
      <c r="A21" s="2177" t="s">
        <v>735</v>
      </c>
      <c r="B21" s="2176">
        <v>310</v>
      </c>
      <c r="C21" s="2178">
        <f>'безв.поступ. 820'!G10</f>
        <v>175398</v>
      </c>
      <c r="D21" s="2178"/>
      <c r="E21" s="2178"/>
    </row>
    <row r="22" spans="1:7" ht="26.25" customHeight="1" x14ac:dyDescent="0.25">
      <c r="A22" s="2177" t="s">
        <v>736</v>
      </c>
      <c r="B22" s="2176">
        <v>311</v>
      </c>
      <c r="C22" s="2178"/>
      <c r="D22" s="2178"/>
      <c r="E22" s="2178"/>
    </row>
    <row r="23" spans="1:7" ht="28.5" customHeight="1" x14ac:dyDescent="0.25">
      <c r="A23" s="2177" t="s">
        <v>455</v>
      </c>
      <c r="B23" s="2176">
        <v>312</v>
      </c>
      <c r="C23" s="2178">
        <f>'безв.поступ. 820'!G11</f>
        <v>30000</v>
      </c>
      <c r="D23" s="2178"/>
      <c r="E23" s="2178"/>
    </row>
    <row r="24" spans="1:7" ht="15" customHeight="1" x14ac:dyDescent="0.25">
      <c r="A24" s="2177" t="s">
        <v>456</v>
      </c>
      <c r="B24" s="2176">
        <v>313</v>
      </c>
      <c r="C24" s="2178"/>
      <c r="D24" s="2178"/>
      <c r="E24" s="2178"/>
    </row>
    <row r="25" spans="1:7" ht="63.75" customHeight="1" x14ac:dyDescent="0.25">
      <c r="A25" s="2177" t="s">
        <v>448</v>
      </c>
      <c r="B25" s="2176">
        <v>314</v>
      </c>
      <c r="C25" s="2178"/>
      <c r="D25" s="2178"/>
      <c r="E25" s="2178"/>
    </row>
    <row r="26" spans="1:7" ht="20.25" customHeight="1" x14ac:dyDescent="0.25">
      <c r="A26" s="2177" t="s">
        <v>449</v>
      </c>
      <c r="B26" s="2176">
        <v>315</v>
      </c>
      <c r="C26" s="2178">
        <f>'безв.поступ. 820'!G13</f>
        <v>161000</v>
      </c>
      <c r="D26" s="2178"/>
      <c r="E26" s="2178"/>
    </row>
    <row r="27" spans="1:7" ht="20.25" customHeight="1" x14ac:dyDescent="0.25">
      <c r="A27" s="2177" t="s">
        <v>450</v>
      </c>
      <c r="B27" s="2176">
        <v>316</v>
      </c>
      <c r="C27" s="2178">
        <f>'безв.поступ. 820'!G14</f>
        <v>153000</v>
      </c>
      <c r="D27" s="2178"/>
      <c r="E27" s="2178"/>
      <c r="F27" s="328" t="s">
        <v>1724</v>
      </c>
      <c r="G27" s="328"/>
    </row>
    <row r="28" spans="1:7" ht="59.25" customHeight="1" x14ac:dyDescent="0.25">
      <c r="A28" s="2177" t="s">
        <v>451</v>
      </c>
      <c r="B28" s="2176">
        <v>400</v>
      </c>
      <c r="C28" s="2178"/>
      <c r="D28" s="2178"/>
      <c r="E28" s="2178"/>
      <c r="F28" s="328"/>
    </row>
    <row r="29" spans="1:7" ht="49.5" customHeight="1" x14ac:dyDescent="0.25">
      <c r="A29" s="2177" t="s">
        <v>452</v>
      </c>
      <c r="B29" s="2176">
        <v>500</v>
      </c>
      <c r="C29" s="2178"/>
      <c r="D29" s="2178"/>
      <c r="E29" s="2178"/>
    </row>
    <row r="30" spans="1:7" s="332" customFormat="1" ht="31.5" customHeight="1" x14ac:dyDescent="0.25">
      <c r="A30" s="329" t="s">
        <v>453</v>
      </c>
      <c r="B30" s="2152">
        <v>600</v>
      </c>
      <c r="C30" s="331">
        <f>C8-C9+C10-C28+C29</f>
        <v>837507</v>
      </c>
      <c r="D30" s="331">
        <f>D8-D9+D10-D28+D29</f>
        <v>0</v>
      </c>
      <c r="E30" s="331">
        <f>E8-E9+E10-E28+E29</f>
        <v>0</v>
      </c>
    </row>
    <row r="31" spans="1:7" x14ac:dyDescent="0.25">
      <c r="A31" s="323" t="s">
        <v>197</v>
      </c>
      <c r="C31" s="328"/>
      <c r="D31" s="328"/>
      <c r="E31" s="328"/>
      <c r="F31" s="328"/>
    </row>
  </sheetData>
  <mergeCells count="5">
    <mergeCell ref="A1:E1"/>
    <mergeCell ref="A2:E2"/>
    <mergeCell ref="A4:A6"/>
    <mergeCell ref="B4:B6"/>
    <mergeCell ref="C4:E4"/>
  </mergeCells>
  <pageMargins left="0.70866141732283472" right="0.70866141732283472" top="0.74803149606299213" bottom="0.74803149606299213" header="0.31496062992125984" footer="0.31496062992125984"/>
  <pageSetup paperSize="9" scale="59"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FFCC"/>
  </sheetPr>
  <dimension ref="A1:T20"/>
  <sheetViews>
    <sheetView view="pageBreakPreview" zoomScale="80" zoomScaleNormal="130" zoomScaleSheetLayoutView="80" zoomScalePageLayoutView="160" workbookViewId="0">
      <selection activeCell="I17" sqref="I17"/>
    </sheetView>
  </sheetViews>
  <sheetFormatPr defaultColWidth="10.6640625" defaultRowHeight="15.75" x14ac:dyDescent="0.25"/>
  <cols>
    <col min="1" max="1" width="6.83203125" style="2154" customWidth="1"/>
    <col min="2" max="2" width="14.6640625" style="2154" customWidth="1"/>
    <col min="3" max="3" width="49.6640625" style="2154" customWidth="1"/>
    <col min="4" max="4" width="12" style="2154" customWidth="1"/>
    <col min="5" max="5" width="10.6640625" style="2154"/>
    <col min="6" max="6" width="20.6640625" style="2154" customWidth="1"/>
    <col min="7" max="7" width="27" style="2154" customWidth="1"/>
    <col min="8" max="8" width="16" style="2155" bestFit="1" customWidth="1"/>
    <col min="9" max="9" width="36.1640625" style="2154" customWidth="1"/>
    <col min="10" max="10" width="27" style="2154" customWidth="1"/>
    <col min="11" max="16384" width="10.6640625" style="2154"/>
  </cols>
  <sheetData>
    <row r="1" spans="1:8" ht="18.75" customHeight="1" x14ac:dyDescent="0.25"/>
    <row r="2" spans="1:8" ht="17.25" customHeight="1" x14ac:dyDescent="0.25">
      <c r="A2" s="2911" t="s">
        <v>1717</v>
      </c>
      <c r="B2" s="2911"/>
      <c r="C2" s="2911"/>
      <c r="D2" s="2911"/>
      <c r="E2" s="2911"/>
      <c r="F2" s="2911"/>
      <c r="G2" s="2911"/>
    </row>
    <row r="3" spans="1:8" ht="21.75" customHeight="1" x14ac:dyDescent="0.25">
      <c r="A3" s="2911"/>
      <c r="B3" s="2911"/>
      <c r="C3" s="2911"/>
      <c r="D3" s="2911"/>
      <c r="E3" s="2911"/>
      <c r="F3" s="2911"/>
      <c r="G3" s="2911"/>
    </row>
    <row r="4" spans="1:8" ht="21.75" customHeight="1" x14ac:dyDescent="0.25">
      <c r="C4" s="2912" t="s">
        <v>1253</v>
      </c>
      <c r="D4" s="2912"/>
      <c r="E4" s="2912"/>
      <c r="F4" s="2912"/>
    </row>
    <row r="5" spans="1:8" ht="42.75" customHeight="1" x14ac:dyDescent="0.25">
      <c r="A5" s="2913" t="s">
        <v>1725</v>
      </c>
      <c r="B5" s="2913"/>
      <c r="C5" s="2913"/>
      <c r="D5" s="2913"/>
      <c r="E5" s="2913"/>
      <c r="F5" s="2913"/>
      <c r="G5" s="2913"/>
    </row>
    <row r="7" spans="1:8" x14ac:dyDescent="0.25">
      <c r="A7" s="2914"/>
      <c r="B7" s="2914"/>
      <c r="C7" s="2914"/>
      <c r="D7" s="2914"/>
      <c r="E7" s="2914"/>
      <c r="F7" s="2914"/>
      <c r="G7" s="2914"/>
    </row>
    <row r="8" spans="1:8" ht="42.75" customHeight="1" x14ac:dyDescent="0.25">
      <c r="A8" s="2156" t="s">
        <v>1718</v>
      </c>
      <c r="B8" s="2156" t="s">
        <v>1719</v>
      </c>
      <c r="C8" s="2157" t="s">
        <v>213</v>
      </c>
      <c r="D8" s="2156" t="s">
        <v>1720</v>
      </c>
      <c r="E8" s="2157" t="s">
        <v>358</v>
      </c>
      <c r="F8" s="2156" t="s">
        <v>1721</v>
      </c>
      <c r="G8" s="2156" t="s">
        <v>1722</v>
      </c>
    </row>
    <row r="9" spans="1:8" ht="52.5" customHeight="1" x14ac:dyDescent="0.25">
      <c r="A9" s="2184">
        <v>222</v>
      </c>
      <c r="B9" s="2189">
        <v>922</v>
      </c>
      <c r="C9" s="2186" t="s">
        <v>1733</v>
      </c>
      <c r="D9" s="2184"/>
      <c r="E9" s="2157"/>
      <c r="F9" s="2156"/>
      <c r="G9" s="2187">
        <v>60000</v>
      </c>
    </row>
    <row r="10" spans="1:8" ht="52.5" customHeight="1" x14ac:dyDescent="0.25">
      <c r="A10" s="2184">
        <v>226</v>
      </c>
      <c r="B10" s="2189">
        <v>955</v>
      </c>
      <c r="C10" s="2186" t="s">
        <v>1771</v>
      </c>
      <c r="D10" s="2184"/>
      <c r="E10" s="2157"/>
      <c r="F10" s="2156"/>
      <c r="G10" s="2187">
        <v>175398</v>
      </c>
    </row>
    <row r="11" spans="1:8" ht="52.5" customHeight="1" x14ac:dyDescent="0.25">
      <c r="A11" s="2184">
        <v>226</v>
      </c>
      <c r="B11" s="2189">
        <v>963</v>
      </c>
      <c r="C11" s="2186" t="s">
        <v>1772</v>
      </c>
      <c r="D11" s="2184"/>
      <c r="E11" s="2157"/>
      <c r="F11" s="2156"/>
      <c r="G11" s="2187">
        <v>30000</v>
      </c>
    </row>
    <row r="12" spans="1:8" s="2161" customFormat="1" ht="34.5" customHeight="1" x14ac:dyDescent="0.25">
      <c r="A12" s="2184">
        <v>226</v>
      </c>
      <c r="B12" s="2189">
        <v>966</v>
      </c>
      <c r="C12" s="2186" t="s">
        <v>1734</v>
      </c>
      <c r="D12" s="2184"/>
      <c r="E12" s="2158"/>
      <c r="F12" s="2159"/>
      <c r="G12" s="2188">
        <v>154000</v>
      </c>
      <c r="H12" s="2160"/>
    </row>
    <row r="13" spans="1:8" s="2161" customFormat="1" ht="34.5" customHeight="1" x14ac:dyDescent="0.25">
      <c r="A13" s="2184">
        <v>310</v>
      </c>
      <c r="B13" s="2189">
        <v>971</v>
      </c>
      <c r="C13" s="2186" t="s">
        <v>1735</v>
      </c>
      <c r="D13" s="2185"/>
      <c r="E13" s="2158"/>
      <c r="F13" s="2162"/>
      <c r="G13" s="2188">
        <v>161000</v>
      </c>
      <c r="H13" s="2160"/>
    </row>
    <row r="14" spans="1:8" s="2161" customFormat="1" ht="34.5" customHeight="1" x14ac:dyDescent="0.25">
      <c r="A14" s="2184">
        <v>346</v>
      </c>
      <c r="B14" s="2189">
        <v>981</v>
      </c>
      <c r="C14" s="2186" t="s">
        <v>1736</v>
      </c>
      <c r="D14" s="2185"/>
      <c r="E14" s="2158"/>
      <c r="F14" s="2162"/>
      <c r="G14" s="2188">
        <v>153000</v>
      </c>
      <c r="H14" s="2160"/>
    </row>
    <row r="15" spans="1:8" s="2161" customFormat="1" ht="34.5" customHeight="1" x14ac:dyDescent="0.25">
      <c r="A15" s="2184">
        <v>226</v>
      </c>
      <c r="B15" s="2189">
        <v>954</v>
      </c>
      <c r="C15" s="2186" t="s">
        <v>1737</v>
      </c>
      <c r="D15" s="2184"/>
      <c r="E15" s="2158"/>
      <c r="F15" s="2162"/>
      <c r="G15" s="2188">
        <v>56000</v>
      </c>
      <c r="H15" s="2160"/>
    </row>
    <row r="16" spans="1:8" s="2161" customFormat="1" ht="36" customHeight="1" x14ac:dyDescent="0.25">
      <c r="A16" s="2184">
        <v>225</v>
      </c>
      <c r="B16" s="2189">
        <v>943</v>
      </c>
      <c r="C16" s="2186" t="s">
        <v>1738</v>
      </c>
      <c r="D16" s="2184"/>
      <c r="E16" s="2158"/>
      <c r="F16" s="2162"/>
      <c r="G16" s="2188">
        <f>202109</f>
        <v>202109</v>
      </c>
      <c r="H16" s="2160"/>
    </row>
    <row r="17" spans="1:20" ht="16.5" x14ac:dyDescent="0.25">
      <c r="A17" s="2910" t="s">
        <v>230</v>
      </c>
      <c r="B17" s="2910"/>
      <c r="C17" s="2910"/>
      <c r="D17" s="2910"/>
      <c r="E17" s="2910"/>
      <c r="F17" s="2910"/>
      <c r="G17" s="2163">
        <f>SUM(G9:G16)</f>
        <v>991507</v>
      </c>
      <c r="I17" s="2164"/>
      <c r="J17" s="2164"/>
    </row>
    <row r="18" spans="1:20" ht="16.5" x14ac:dyDescent="0.25">
      <c r="I18" s="2164"/>
      <c r="J18" s="2164"/>
      <c r="L18" s="2165"/>
      <c r="M18" s="2166"/>
      <c r="N18" s="2167"/>
      <c r="O18" s="2168"/>
      <c r="P18" s="2169"/>
      <c r="Q18" s="2170"/>
      <c r="R18" s="2170"/>
      <c r="S18" s="2171"/>
      <c r="T18" s="2172"/>
    </row>
    <row r="19" spans="1:20" x14ac:dyDescent="0.25">
      <c r="A19" s="2173"/>
      <c r="B19" s="2174"/>
      <c r="C19" s="2175"/>
    </row>
    <row r="20" spans="1:20" x14ac:dyDescent="0.25">
      <c r="A20" s="2165"/>
      <c r="B20" s="2165"/>
    </row>
  </sheetData>
  <mergeCells count="5">
    <mergeCell ref="A17:F17"/>
    <mergeCell ref="A2:G3"/>
    <mergeCell ref="C4:F4"/>
    <mergeCell ref="A5:G5"/>
    <mergeCell ref="A7:G7"/>
  </mergeCells>
  <pageMargins left="0.70866141732283472" right="0.55118110236220474" top="0.74803149606299213" bottom="0.74803149606299213" header="0.31496062992125984" footer="0.31496062992125984"/>
  <pageSetup paperSize="9" scale="70" orientation="portrait" r:id="rId1"/>
  <colBreaks count="1" manualBreakCount="1">
    <brk id="7" max="32" man="1"/>
  </colBreaks>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00B0F0"/>
    <pageSetUpPr fitToPage="1"/>
  </sheetPr>
  <dimension ref="A1:AS105"/>
  <sheetViews>
    <sheetView view="pageBreakPreview" zoomScale="80" zoomScaleNormal="80" zoomScaleSheetLayoutView="80" workbookViewId="0">
      <pane xSplit="3" ySplit="8" topLeftCell="P45" activePane="bottomRight" state="frozen"/>
      <selection activeCell="M26" sqref="M26:N26"/>
      <selection pane="topRight" activeCell="M26" sqref="M26:N26"/>
      <selection pane="bottomLeft" activeCell="M26" sqref="M26:N26"/>
      <selection pane="bottomRight" activeCell="M26" sqref="M26:N26"/>
    </sheetView>
  </sheetViews>
  <sheetFormatPr defaultRowHeight="15" x14ac:dyDescent="0.2"/>
  <cols>
    <col min="1" max="1" width="7.83203125" style="33" customWidth="1"/>
    <col min="2" max="2" width="30.83203125" style="22" customWidth="1"/>
    <col min="3" max="3" width="13.83203125" style="22" customWidth="1"/>
    <col min="4" max="4" width="14" style="22" customWidth="1"/>
    <col min="5" max="5" width="13" style="22" customWidth="1"/>
    <col min="6" max="6" width="14.6640625" style="22" customWidth="1"/>
    <col min="7" max="7" width="12.83203125" style="22" customWidth="1"/>
    <col min="8" max="8" width="15.83203125" style="22" customWidth="1"/>
    <col min="9" max="9" width="13.5" style="22" customWidth="1"/>
    <col min="10" max="10" width="16.83203125" style="22" customWidth="1"/>
    <col min="11" max="11" width="13.5" style="22" customWidth="1"/>
    <col min="12" max="12" width="13.33203125" style="22" customWidth="1"/>
    <col min="13" max="13" width="14" style="22" customWidth="1"/>
    <col min="14" max="14" width="11.5" style="22" customWidth="1"/>
    <col min="15" max="15" width="11.6640625" style="22" customWidth="1"/>
    <col min="16" max="16" width="13.33203125" style="22" customWidth="1"/>
    <col min="17" max="17" width="11.5" style="22" customWidth="1"/>
    <col min="18" max="18" width="13" style="22" customWidth="1"/>
    <col min="19" max="19" width="15.5" style="22" customWidth="1"/>
    <col min="20" max="20" width="12.33203125" style="22" customWidth="1"/>
    <col min="21" max="21" width="11.6640625" style="22" customWidth="1"/>
    <col min="22" max="22" width="14.5" style="22" customWidth="1"/>
    <col min="23" max="23" width="16" style="22" customWidth="1"/>
    <col min="24" max="24" width="14.1640625" style="22" customWidth="1"/>
    <col min="25" max="25" width="11.1640625" style="22" customWidth="1"/>
    <col min="26" max="26" width="9.83203125" style="22" customWidth="1"/>
    <col min="27" max="30" width="8.5" style="22" customWidth="1"/>
    <col min="31" max="31" width="15.1640625" style="22" bestFit="1" customWidth="1"/>
    <col min="32" max="32" width="9.6640625" style="22" customWidth="1"/>
    <col min="33" max="33" width="9.33203125" style="22" customWidth="1"/>
    <col min="34" max="34" width="13.5" style="22" customWidth="1"/>
    <col min="35" max="35" width="14.5" style="34" customWidth="1"/>
    <col min="36" max="36" width="9.33203125" style="22"/>
    <col min="37" max="37" width="12.6640625" style="211" customWidth="1"/>
    <col min="38" max="38" width="11.6640625" style="211" hidden="1" customWidth="1"/>
    <col min="39" max="39" width="13" style="211" hidden="1" customWidth="1"/>
    <col min="40" max="40" width="14.1640625" style="211" bestFit="1" customWidth="1"/>
    <col min="41" max="41" width="9.5" style="211" bestFit="1" customWidth="1"/>
    <col min="42" max="43" width="14.1640625" style="211" bestFit="1" customWidth="1"/>
    <col min="44" max="45" width="9.5" style="22" bestFit="1" customWidth="1"/>
    <col min="46" max="16384" width="9.33203125" style="22"/>
  </cols>
  <sheetData>
    <row r="1" spans="1:45" ht="18" customHeight="1" x14ac:dyDescent="0.2">
      <c r="AE1" s="2252"/>
      <c r="AF1" s="2252"/>
      <c r="AG1" s="2252"/>
      <c r="AH1" s="2252"/>
    </row>
    <row r="2" spans="1:45" ht="24" customHeight="1" x14ac:dyDescent="0.2">
      <c r="A2" s="2253" t="s">
        <v>146</v>
      </c>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36"/>
    </row>
    <row r="3" spans="1:45" ht="24.75" customHeight="1" x14ac:dyDescent="0.2">
      <c r="A3" s="2254"/>
      <c r="B3" s="2254"/>
      <c r="C3" s="2254"/>
      <c r="D3" s="2254"/>
      <c r="E3" s="2254"/>
      <c r="F3" s="2254"/>
      <c r="G3" s="2254"/>
      <c r="H3" s="2254"/>
      <c r="I3" s="2254"/>
      <c r="J3" s="2254"/>
      <c r="K3" s="2254"/>
      <c r="L3" s="2254"/>
      <c r="M3" s="2254"/>
      <c r="N3" s="2254"/>
      <c r="O3" s="2254"/>
      <c r="P3" s="2254"/>
      <c r="Q3" s="2254"/>
      <c r="R3" s="2254"/>
      <c r="S3" s="2254"/>
      <c r="T3" s="2254"/>
      <c r="U3" s="2254"/>
      <c r="V3" s="2254"/>
      <c r="W3" s="2254"/>
      <c r="X3" s="2254"/>
      <c r="Y3" s="2254"/>
      <c r="Z3" s="2254"/>
      <c r="AA3" s="2254"/>
      <c r="AB3" s="2254"/>
      <c r="AC3" s="2254"/>
      <c r="AD3" s="2254"/>
      <c r="AE3" s="2254"/>
      <c r="AF3" s="2254"/>
      <c r="AG3" s="2254"/>
      <c r="AH3" s="2254"/>
      <c r="AI3" s="37"/>
    </row>
    <row r="4" spans="1:45" x14ac:dyDescent="0.2">
      <c r="L4" s="38">
        <v>0.33837499999999998</v>
      </c>
      <c r="V4" s="39"/>
      <c r="W4" s="39"/>
    </row>
    <row r="5" spans="1:45" ht="38.25" customHeight="1" x14ac:dyDescent="0.2">
      <c r="A5" s="2255" t="s">
        <v>78</v>
      </c>
      <c r="B5" s="2255" t="s">
        <v>77</v>
      </c>
      <c r="C5" s="2242" t="s">
        <v>0</v>
      </c>
      <c r="D5" s="2242" t="s">
        <v>3</v>
      </c>
      <c r="E5" s="2242"/>
      <c r="F5" s="2242"/>
      <c r="G5" s="2242"/>
      <c r="H5" s="2242"/>
      <c r="I5" s="2242"/>
      <c r="J5" s="2242"/>
      <c r="K5" s="2242"/>
      <c r="L5" s="2242"/>
      <c r="M5" s="2242"/>
      <c r="N5" s="2242"/>
      <c r="O5" s="2242"/>
      <c r="P5" s="2242"/>
      <c r="Q5" s="2242"/>
      <c r="R5" s="2242"/>
      <c r="S5" s="2242"/>
      <c r="T5" s="2242"/>
      <c r="U5" s="2242"/>
      <c r="V5" s="2242"/>
      <c r="W5" s="2242"/>
      <c r="X5" s="2242" t="s">
        <v>4</v>
      </c>
      <c r="Y5" s="2242"/>
      <c r="Z5" s="2242"/>
      <c r="AA5" s="2242"/>
      <c r="AB5" s="2242"/>
      <c r="AC5" s="2242"/>
      <c r="AD5" s="2242"/>
      <c r="AE5" s="2242"/>
      <c r="AF5" s="2242"/>
      <c r="AG5" s="2242"/>
      <c r="AH5" s="2242"/>
    </row>
    <row r="6" spans="1:45" ht="60" customHeight="1" x14ac:dyDescent="0.2">
      <c r="A6" s="2255"/>
      <c r="B6" s="2255"/>
      <c r="C6" s="2242"/>
      <c r="D6" s="2245" t="s">
        <v>68</v>
      </c>
      <c r="E6" s="2245" t="s">
        <v>69</v>
      </c>
      <c r="F6" s="2245" t="s">
        <v>89</v>
      </c>
      <c r="G6" s="2245" t="s">
        <v>1</v>
      </c>
      <c r="H6" s="2245" t="s">
        <v>2</v>
      </c>
      <c r="I6" s="2245" t="s">
        <v>70</v>
      </c>
      <c r="J6" s="2245" t="s">
        <v>61</v>
      </c>
      <c r="K6" s="2245" t="s">
        <v>27</v>
      </c>
      <c r="L6" s="2250" t="s">
        <v>65</v>
      </c>
      <c r="M6" s="2250" t="s">
        <v>93</v>
      </c>
      <c r="N6" s="2251" t="s">
        <v>91</v>
      </c>
      <c r="O6" s="2251"/>
      <c r="P6" s="2251" t="s">
        <v>88</v>
      </c>
      <c r="Q6" s="2250" t="s">
        <v>82</v>
      </c>
      <c r="R6" s="2245" t="s">
        <v>83</v>
      </c>
      <c r="S6" s="2250" t="s">
        <v>87</v>
      </c>
      <c r="T6" s="2245" t="s">
        <v>84</v>
      </c>
      <c r="U6" s="2245" t="s">
        <v>9</v>
      </c>
      <c r="V6" s="2245" t="s">
        <v>7</v>
      </c>
      <c r="W6" s="2245" t="s">
        <v>85</v>
      </c>
      <c r="X6" s="2242" t="s">
        <v>10</v>
      </c>
      <c r="Y6" s="2242"/>
      <c r="Z6" s="2242"/>
      <c r="AA6" s="2242" t="s">
        <v>11</v>
      </c>
      <c r="AB6" s="2242"/>
      <c r="AC6" s="2242"/>
      <c r="AD6" s="2242" t="s">
        <v>12</v>
      </c>
      <c r="AE6" s="2242"/>
      <c r="AF6" s="2242"/>
      <c r="AG6" s="2242" t="s">
        <v>13</v>
      </c>
      <c r="AH6" s="2242" t="s">
        <v>73</v>
      </c>
    </row>
    <row r="7" spans="1:45" ht="97.5" customHeight="1" x14ac:dyDescent="0.2">
      <c r="A7" s="2255"/>
      <c r="B7" s="2255"/>
      <c r="C7" s="2242"/>
      <c r="D7" s="2245"/>
      <c r="E7" s="2245"/>
      <c r="F7" s="2245"/>
      <c r="G7" s="2245"/>
      <c r="H7" s="2245"/>
      <c r="I7" s="2245"/>
      <c r="J7" s="2245"/>
      <c r="K7" s="2245"/>
      <c r="L7" s="2250" t="s">
        <v>66</v>
      </c>
      <c r="M7" s="2250"/>
      <c r="N7" s="41" t="s">
        <v>80</v>
      </c>
      <c r="O7" s="41" t="s">
        <v>81</v>
      </c>
      <c r="P7" s="2251"/>
      <c r="Q7" s="2250"/>
      <c r="R7" s="2245"/>
      <c r="S7" s="2250" t="s">
        <v>67</v>
      </c>
      <c r="T7" s="2245"/>
      <c r="U7" s="2245"/>
      <c r="V7" s="2245"/>
      <c r="W7" s="2245"/>
      <c r="X7" s="42" t="s">
        <v>5</v>
      </c>
      <c r="Y7" s="42" t="s">
        <v>6</v>
      </c>
      <c r="Z7" s="42" t="s">
        <v>74</v>
      </c>
      <c r="AA7" s="42" t="s">
        <v>5</v>
      </c>
      <c r="AB7" s="42" t="s">
        <v>6</v>
      </c>
      <c r="AC7" s="42" t="s">
        <v>75</v>
      </c>
      <c r="AD7" s="42" t="s">
        <v>5</v>
      </c>
      <c r="AE7" s="42" t="s">
        <v>6</v>
      </c>
      <c r="AF7" s="42" t="s">
        <v>76</v>
      </c>
      <c r="AG7" s="2242"/>
      <c r="AH7" s="2242"/>
      <c r="AK7" s="211" t="s">
        <v>64</v>
      </c>
      <c r="AL7" s="211" t="s">
        <v>62</v>
      </c>
      <c r="AM7" s="70" t="s">
        <v>71</v>
      </c>
    </row>
    <row r="8" spans="1:45" x14ac:dyDescent="0.2">
      <c r="A8" s="23">
        <v>1</v>
      </c>
      <c r="B8" s="23">
        <v>2</v>
      </c>
      <c r="C8" s="23">
        <v>3</v>
      </c>
      <c r="D8" s="23">
        <v>4</v>
      </c>
      <c r="E8" s="23">
        <v>5</v>
      </c>
      <c r="F8" s="23">
        <v>6</v>
      </c>
      <c r="G8" s="23">
        <v>7</v>
      </c>
      <c r="H8" s="23">
        <v>8</v>
      </c>
      <c r="I8" s="23">
        <v>9</v>
      </c>
      <c r="J8" s="23">
        <v>10</v>
      </c>
      <c r="K8" s="23">
        <v>11</v>
      </c>
      <c r="L8" s="23">
        <v>12</v>
      </c>
      <c r="M8" s="23">
        <v>13</v>
      </c>
      <c r="N8" s="23">
        <v>14</v>
      </c>
      <c r="O8" s="23">
        <v>15</v>
      </c>
      <c r="P8" s="23">
        <v>16</v>
      </c>
      <c r="Q8" s="23">
        <v>17</v>
      </c>
      <c r="R8" s="23">
        <v>18</v>
      </c>
      <c r="S8" s="23">
        <v>19</v>
      </c>
      <c r="T8" s="23">
        <v>20</v>
      </c>
      <c r="U8" s="23">
        <v>21</v>
      </c>
      <c r="V8" s="23">
        <v>22</v>
      </c>
      <c r="W8" s="277">
        <v>23</v>
      </c>
      <c r="X8" s="23">
        <v>24</v>
      </c>
      <c r="Y8" s="23">
        <v>25</v>
      </c>
      <c r="Z8" s="23">
        <v>26</v>
      </c>
      <c r="AA8" s="23">
        <v>27</v>
      </c>
      <c r="AB8" s="23">
        <v>28</v>
      </c>
      <c r="AC8" s="23">
        <v>29</v>
      </c>
      <c r="AD8" s="23">
        <v>30</v>
      </c>
      <c r="AE8" s="23">
        <v>31</v>
      </c>
      <c r="AF8" s="23">
        <v>32</v>
      </c>
      <c r="AG8" s="23">
        <v>33</v>
      </c>
      <c r="AH8" s="23">
        <v>34</v>
      </c>
      <c r="AN8" s="212" t="s">
        <v>116</v>
      </c>
      <c r="AO8" s="212" t="s">
        <v>117</v>
      </c>
      <c r="AP8" s="212" t="s">
        <v>118</v>
      </c>
      <c r="AQ8" s="212" t="s">
        <v>119</v>
      </c>
    </row>
    <row r="9" spans="1:45" ht="16.5" customHeight="1" x14ac:dyDescent="0.2">
      <c r="A9" s="276">
        <v>1</v>
      </c>
      <c r="B9" s="44" t="s">
        <v>14</v>
      </c>
      <c r="C9" s="276">
        <v>1</v>
      </c>
      <c r="D9" s="213">
        <v>25.596</v>
      </c>
      <c r="E9" s="214">
        <f>C9*D9</f>
        <v>25.6</v>
      </c>
      <c r="F9" s="215">
        <f>E9*12</f>
        <v>307.2</v>
      </c>
      <c r="G9" s="154"/>
      <c r="H9" s="154"/>
      <c r="I9" s="154"/>
      <c r="J9" s="154"/>
      <c r="K9" s="154">
        <f>F9*0.4</f>
        <v>122.9</v>
      </c>
      <c r="L9" s="154">
        <f>F9*$L$4</f>
        <v>103.9</v>
      </c>
      <c r="M9" s="154">
        <f>F9+G9+H9+I9+J9+K9+L9</f>
        <v>534</v>
      </c>
      <c r="N9" s="171">
        <v>0.98</v>
      </c>
      <c r="O9" s="154">
        <f>M9*N9</f>
        <v>523.29999999999995</v>
      </c>
      <c r="P9" s="154">
        <f>M9+O9</f>
        <v>1057.3</v>
      </c>
      <c r="Q9" s="154">
        <f>P9*0.8</f>
        <v>845.8</v>
      </c>
      <c r="R9" s="154">
        <f>P9*0.8</f>
        <v>845.8</v>
      </c>
      <c r="S9" s="154">
        <f>(P9+Q9+R9)*0.032</f>
        <v>88</v>
      </c>
      <c r="T9" s="154">
        <f>P9+Q9+R9+S9</f>
        <v>2836.9</v>
      </c>
      <c r="U9" s="2246">
        <v>1</v>
      </c>
      <c r="V9" s="154">
        <f>T9*$U$9</f>
        <v>2836.9</v>
      </c>
      <c r="W9" s="154">
        <f>AQ9</f>
        <v>597.20000000000005</v>
      </c>
      <c r="X9" s="276">
        <v>1</v>
      </c>
      <c r="Y9" s="24">
        <v>30</v>
      </c>
      <c r="Z9" s="48">
        <f>X9*Y9</f>
        <v>30</v>
      </c>
      <c r="AA9" s="276"/>
      <c r="AB9" s="24">
        <v>15</v>
      </c>
      <c r="AC9" s="48">
        <f>AA9*AB9</f>
        <v>0</v>
      </c>
      <c r="AD9" s="276"/>
      <c r="AE9" s="24">
        <v>30</v>
      </c>
      <c r="AF9" s="48">
        <f>AD9*AE9</f>
        <v>0</v>
      </c>
      <c r="AG9" s="276">
        <f t="shared" ref="AG9:AG51" si="0">(Z9+AC9+AF9)*1%*30</f>
        <v>9</v>
      </c>
      <c r="AH9" s="48">
        <f t="shared" ref="AH9:AH27" si="1">Z9+AC9+AF9+AG9</f>
        <v>39</v>
      </c>
      <c r="AI9" s="34">
        <f t="shared" ref="AI9:AI36" si="2">V9/12/C9*1000</f>
        <v>236408.3</v>
      </c>
      <c r="AJ9" s="34"/>
      <c r="AK9" s="216">
        <f t="shared" ref="AK9:AK41" si="3">V9/C9</f>
        <v>2836.9</v>
      </c>
      <c r="AL9" s="216">
        <f>((979*0.302)+((AK9-979)*0.182))</f>
        <v>633.79999999999995</v>
      </c>
      <c r="AM9" s="217">
        <f>AL9/AK9</f>
        <v>0.223</v>
      </c>
      <c r="AN9" s="50">
        <f>1150*0.22*C9+(V9-1150*C9)*0.1</f>
        <v>421.7</v>
      </c>
      <c r="AO9" s="50">
        <f>865*0.029</f>
        <v>25.1</v>
      </c>
      <c r="AP9" s="50">
        <f>V9*0.053</f>
        <v>150.4</v>
      </c>
      <c r="AQ9" s="50">
        <f>SUM(AN9:AP9)</f>
        <v>597.20000000000005</v>
      </c>
      <c r="AS9" s="66"/>
    </row>
    <row r="10" spans="1:45" x14ac:dyDescent="0.2">
      <c r="A10" s="276">
        <v>2</v>
      </c>
      <c r="B10" s="44" t="s">
        <v>125</v>
      </c>
      <c r="C10" s="276">
        <v>1</v>
      </c>
      <c r="D10" s="177">
        <v>17.917000000000002</v>
      </c>
      <c r="E10" s="214">
        <f>C10*D10</f>
        <v>17.920000000000002</v>
      </c>
      <c r="F10" s="215">
        <f>E10*12</f>
        <v>215</v>
      </c>
      <c r="G10" s="154"/>
      <c r="H10" s="154">
        <v>8.6999999999999993</v>
      </c>
      <c r="I10" s="154"/>
      <c r="J10" s="154"/>
      <c r="K10" s="154">
        <f>F10*0.4</f>
        <v>86</v>
      </c>
      <c r="L10" s="154">
        <f t="shared" ref="L10:L51" si="4">F10*$L$4</f>
        <v>72.8</v>
      </c>
      <c r="M10" s="154">
        <f>F10+G10+H10+I10+J10+K10+L10</f>
        <v>382.5</v>
      </c>
      <c r="N10" s="171">
        <v>0.47</v>
      </c>
      <c r="O10" s="154">
        <f>M10*N10</f>
        <v>179.8</v>
      </c>
      <c r="P10" s="154">
        <f>M10+O10</f>
        <v>562.29999999999995</v>
      </c>
      <c r="Q10" s="154">
        <f>P10*0.8</f>
        <v>449.8</v>
      </c>
      <c r="R10" s="154">
        <f>P10*0.8</f>
        <v>449.8</v>
      </c>
      <c r="S10" s="154">
        <f>(P10+Q10+R10)*0.032</f>
        <v>46.8</v>
      </c>
      <c r="T10" s="154">
        <f>P10+Q10+R10+S10</f>
        <v>1508.7</v>
      </c>
      <c r="U10" s="2247"/>
      <c r="V10" s="154">
        <f t="shared" ref="V10:V50" si="5">T10*$U$9</f>
        <v>1508.7</v>
      </c>
      <c r="W10" s="154">
        <f t="shared" ref="W10:W11" si="6">AQ10</f>
        <v>394</v>
      </c>
      <c r="X10" s="276"/>
      <c r="Y10" s="24">
        <v>30</v>
      </c>
      <c r="Z10" s="48">
        <f>X10*Y10</f>
        <v>0</v>
      </c>
      <c r="AA10" s="276"/>
      <c r="AB10" s="24">
        <v>15</v>
      </c>
      <c r="AC10" s="48">
        <f>AA10*AB10</f>
        <v>0</v>
      </c>
      <c r="AD10" s="276"/>
      <c r="AE10" s="24">
        <v>30</v>
      </c>
      <c r="AF10" s="48">
        <f>AD10*AE10</f>
        <v>0</v>
      </c>
      <c r="AG10" s="276">
        <f t="shared" si="0"/>
        <v>0</v>
      </c>
      <c r="AH10" s="48">
        <f t="shared" si="1"/>
        <v>0</v>
      </c>
      <c r="AI10" s="34">
        <f t="shared" si="2"/>
        <v>125725</v>
      </c>
      <c r="AJ10" s="34"/>
      <c r="AK10" s="216">
        <f t="shared" si="3"/>
        <v>1508.7</v>
      </c>
      <c r="AL10" s="216">
        <f t="shared" ref="AL10:AL41" si="7">((979*0.302)+((AK10-979)*0.182))</f>
        <v>392.1</v>
      </c>
      <c r="AM10" s="217">
        <f>AL10/AK10</f>
        <v>0.26</v>
      </c>
      <c r="AN10" s="50">
        <f t="shared" ref="AN10:AN12" si="8">1150*0.22*C10+(V10-1150*C10)*0.1</f>
        <v>288.89999999999998</v>
      </c>
      <c r="AO10" s="50">
        <f t="shared" ref="AO10:AO11" si="9">865*0.029</f>
        <v>25.1</v>
      </c>
      <c r="AP10" s="50">
        <f t="shared" ref="AP10:AP11" si="10">V10*0.053</f>
        <v>80</v>
      </c>
      <c r="AQ10" s="50">
        <f t="shared" ref="AQ10:AQ52" si="11">SUM(AN10:AP10)</f>
        <v>394</v>
      </c>
      <c r="AS10" s="66"/>
    </row>
    <row r="11" spans="1:45" x14ac:dyDescent="0.2">
      <c r="A11" s="276">
        <v>3</v>
      </c>
      <c r="B11" s="44" t="s">
        <v>125</v>
      </c>
      <c r="C11" s="276">
        <v>1</v>
      </c>
      <c r="D11" s="177">
        <v>17.917000000000002</v>
      </c>
      <c r="E11" s="214">
        <f>C11*D11</f>
        <v>17.920000000000002</v>
      </c>
      <c r="F11" s="215">
        <f>E11*12</f>
        <v>215</v>
      </c>
      <c r="G11" s="154"/>
      <c r="H11" s="154">
        <v>7.9</v>
      </c>
      <c r="I11" s="154"/>
      <c r="J11" s="154"/>
      <c r="K11" s="154">
        <f>F11*0.25</f>
        <v>53.8</v>
      </c>
      <c r="L11" s="154">
        <f t="shared" si="4"/>
        <v>72.8</v>
      </c>
      <c r="M11" s="154">
        <f>F11+G11+H11+I11+J11+K11+L11</f>
        <v>349.5</v>
      </c>
      <c r="N11" s="171">
        <v>0.47</v>
      </c>
      <c r="O11" s="154">
        <f>M11*N11</f>
        <v>164.3</v>
      </c>
      <c r="P11" s="154">
        <f>M11+O11</f>
        <v>513.79999999999995</v>
      </c>
      <c r="Q11" s="154">
        <f>P11*0.8</f>
        <v>411</v>
      </c>
      <c r="R11" s="154">
        <f>P11*0.8</f>
        <v>411</v>
      </c>
      <c r="S11" s="154">
        <f>(P11+Q11+R11)*0.032</f>
        <v>42.7</v>
      </c>
      <c r="T11" s="154">
        <f>P11+Q11+R11+S11</f>
        <v>1378.5</v>
      </c>
      <c r="U11" s="2247"/>
      <c r="V11" s="154">
        <f t="shared" si="5"/>
        <v>1378.5</v>
      </c>
      <c r="W11" s="154">
        <f t="shared" si="6"/>
        <v>374.1</v>
      </c>
      <c r="X11" s="276">
        <v>1</v>
      </c>
      <c r="Y11" s="24">
        <v>30</v>
      </c>
      <c r="Z11" s="48">
        <f>X11*Y11</f>
        <v>30</v>
      </c>
      <c r="AA11" s="276"/>
      <c r="AB11" s="24">
        <v>15</v>
      </c>
      <c r="AC11" s="48">
        <f>AA11*AB11</f>
        <v>0</v>
      </c>
      <c r="AD11" s="276"/>
      <c r="AE11" s="24">
        <v>30</v>
      </c>
      <c r="AF11" s="48">
        <f>AD11*AE11</f>
        <v>0</v>
      </c>
      <c r="AG11" s="276">
        <f t="shared" si="0"/>
        <v>9</v>
      </c>
      <c r="AH11" s="48">
        <f t="shared" si="1"/>
        <v>39</v>
      </c>
      <c r="AI11" s="34">
        <f t="shared" si="2"/>
        <v>114875</v>
      </c>
      <c r="AJ11" s="34"/>
      <c r="AK11" s="216">
        <f t="shared" si="3"/>
        <v>1378.5</v>
      </c>
      <c r="AL11" s="216">
        <f t="shared" si="7"/>
        <v>368.4</v>
      </c>
      <c r="AM11" s="217">
        <f>AL11/AK11</f>
        <v>0.26700000000000002</v>
      </c>
      <c r="AN11" s="50">
        <f t="shared" si="8"/>
        <v>275.89999999999998</v>
      </c>
      <c r="AO11" s="50">
        <f t="shared" si="9"/>
        <v>25.1</v>
      </c>
      <c r="AP11" s="50">
        <f t="shared" si="10"/>
        <v>73.099999999999994</v>
      </c>
      <c r="AQ11" s="50">
        <f t="shared" si="11"/>
        <v>374.1</v>
      </c>
      <c r="AS11" s="66"/>
    </row>
    <row r="12" spans="1:45" x14ac:dyDescent="0.2">
      <c r="A12" s="277">
        <v>4</v>
      </c>
      <c r="B12" s="44" t="s">
        <v>125</v>
      </c>
      <c r="C12" s="277">
        <v>1</v>
      </c>
      <c r="D12" s="177">
        <v>17.917000000000002</v>
      </c>
      <c r="E12" s="214">
        <f>C12*D12</f>
        <v>17.920000000000002</v>
      </c>
      <c r="F12" s="215">
        <f>E12*12</f>
        <v>215</v>
      </c>
      <c r="G12" s="154"/>
      <c r="H12" s="154"/>
      <c r="I12" s="154"/>
      <c r="J12" s="154"/>
      <c r="K12" s="154"/>
      <c r="L12" s="154">
        <f t="shared" si="4"/>
        <v>72.8</v>
      </c>
      <c r="M12" s="154">
        <f>F12+G12+H12+I12+J12+K12+L12</f>
        <v>287.8</v>
      </c>
      <c r="N12" s="171">
        <v>0.47</v>
      </c>
      <c r="O12" s="154">
        <f>M12*N12</f>
        <v>135.30000000000001</v>
      </c>
      <c r="P12" s="154">
        <f>M12+O12</f>
        <v>423.1</v>
      </c>
      <c r="Q12" s="154">
        <f>P12*0.8</f>
        <v>338.5</v>
      </c>
      <c r="R12" s="154">
        <f>P12*0.8</f>
        <v>338.5</v>
      </c>
      <c r="S12" s="154">
        <f>(P12+Q12+R12)*0.032</f>
        <v>35.200000000000003</v>
      </c>
      <c r="T12" s="154">
        <f>P12+Q12+R12+S12</f>
        <v>1135.3</v>
      </c>
      <c r="U12" s="2247"/>
      <c r="V12" s="154">
        <f t="shared" si="5"/>
        <v>1135.3</v>
      </c>
      <c r="W12" s="154">
        <f>AQ12</f>
        <v>336.8</v>
      </c>
      <c r="X12" s="277">
        <v>1</v>
      </c>
      <c r="Y12" s="24">
        <v>30</v>
      </c>
      <c r="Z12" s="48">
        <f>X12*Y12</f>
        <v>30</v>
      </c>
      <c r="AA12" s="277">
        <v>2</v>
      </c>
      <c r="AB12" s="24">
        <v>15</v>
      </c>
      <c r="AC12" s="48">
        <f>AA12*AB12</f>
        <v>30</v>
      </c>
      <c r="AD12" s="277">
        <v>1</v>
      </c>
      <c r="AE12" s="24">
        <v>30</v>
      </c>
      <c r="AF12" s="48">
        <f>AD12*AE12</f>
        <v>30</v>
      </c>
      <c r="AG12" s="277">
        <f t="shared" si="0"/>
        <v>27</v>
      </c>
      <c r="AH12" s="48">
        <f t="shared" si="1"/>
        <v>117</v>
      </c>
      <c r="AI12" s="34">
        <f t="shared" si="2"/>
        <v>94608.3</v>
      </c>
      <c r="AJ12" s="34"/>
      <c r="AK12" s="216">
        <f t="shared" si="3"/>
        <v>1135.3</v>
      </c>
      <c r="AL12" s="216">
        <f t="shared" si="7"/>
        <v>324.10000000000002</v>
      </c>
      <c r="AM12" s="217">
        <f>AL12/AK12</f>
        <v>0.28499999999999998</v>
      </c>
      <c r="AN12" s="50">
        <f t="shared" si="8"/>
        <v>251.5</v>
      </c>
      <c r="AO12" s="50">
        <f>865*0.029</f>
        <v>25.1</v>
      </c>
      <c r="AP12" s="50">
        <f>AK12*0.053</f>
        <v>60.2</v>
      </c>
      <c r="AQ12" s="50">
        <f t="shared" ref="AQ12" si="12">SUM(AN12:AP12)*C12</f>
        <v>336.8</v>
      </c>
      <c r="AS12" s="66"/>
    </row>
    <row r="13" spans="1:45" ht="14.25" customHeight="1" x14ac:dyDescent="0.2">
      <c r="A13" s="276">
        <v>5</v>
      </c>
      <c r="B13" s="218" t="s">
        <v>16</v>
      </c>
      <c r="C13" s="276">
        <v>7</v>
      </c>
      <c r="D13" s="177">
        <v>11.061999999999999</v>
      </c>
      <c r="E13" s="171">
        <f t="shared" ref="E13:E19" si="13">C13*D13</f>
        <v>77.430000000000007</v>
      </c>
      <c r="F13" s="154">
        <f t="shared" ref="F13:F19" si="14">E13*12</f>
        <v>929.2</v>
      </c>
      <c r="G13" s="154"/>
      <c r="H13" s="154">
        <f>0.539+1.617+0.539+2.696+1.078</f>
        <v>6.5</v>
      </c>
      <c r="I13" s="154"/>
      <c r="J13" s="154"/>
      <c r="K13" s="154">
        <f>D13*0.2*12+D13*0.25*4*12+D13*0.4*2</f>
        <v>168.1</v>
      </c>
      <c r="L13" s="154">
        <f t="shared" si="4"/>
        <v>314.39999999999998</v>
      </c>
      <c r="M13" s="154">
        <f t="shared" ref="M13:M19" si="15">F13+G13+H13+I13+J13+K13+L13</f>
        <v>1418.2</v>
      </c>
      <c r="N13" s="171">
        <v>0.43</v>
      </c>
      <c r="O13" s="154">
        <f t="shared" ref="O13:O19" si="16">M13*N13</f>
        <v>609.79999999999995</v>
      </c>
      <c r="P13" s="154">
        <f t="shared" ref="P13:P19" si="17">M13+O13</f>
        <v>2028</v>
      </c>
      <c r="Q13" s="154">
        <f t="shared" ref="Q13:Q19" si="18">P13*0.8</f>
        <v>1622.4</v>
      </c>
      <c r="R13" s="154">
        <f t="shared" ref="R13:R19" si="19">P13*0.8</f>
        <v>1622.4</v>
      </c>
      <c r="S13" s="154">
        <f t="shared" ref="S13:S19" si="20">(P13+Q13+R13)*0.032</f>
        <v>168.7</v>
      </c>
      <c r="T13" s="154">
        <f t="shared" ref="T13:T19" si="21">P13+Q13+R13+S13</f>
        <v>5441.5</v>
      </c>
      <c r="U13" s="2247"/>
      <c r="V13" s="154">
        <f t="shared" si="5"/>
        <v>5441.5</v>
      </c>
      <c r="W13" s="154">
        <f>V13*0.302</f>
        <v>1643.3</v>
      </c>
      <c r="X13" s="54">
        <v>4</v>
      </c>
      <c r="Y13" s="24">
        <v>30</v>
      </c>
      <c r="Z13" s="48">
        <f t="shared" ref="Z13:Z19" si="22">X13*Y13</f>
        <v>120</v>
      </c>
      <c r="AA13" s="54">
        <v>1</v>
      </c>
      <c r="AB13" s="24">
        <v>15</v>
      </c>
      <c r="AC13" s="48">
        <f t="shared" ref="AC13:AC19" si="23">AA13*AB13</f>
        <v>15</v>
      </c>
      <c r="AD13" s="54"/>
      <c r="AE13" s="24">
        <v>30</v>
      </c>
      <c r="AF13" s="48">
        <f t="shared" ref="AF13:AF19" si="24">AD13*AE13</f>
        <v>0</v>
      </c>
      <c r="AG13" s="276">
        <f t="shared" si="0"/>
        <v>40.5</v>
      </c>
      <c r="AH13" s="48">
        <f t="shared" si="1"/>
        <v>175.5</v>
      </c>
      <c r="AI13" s="34">
        <f t="shared" si="2"/>
        <v>64779.8</v>
      </c>
      <c r="AJ13" s="34"/>
      <c r="AK13" s="216">
        <f t="shared" si="3"/>
        <v>777.4</v>
      </c>
      <c r="AL13" s="216">
        <f t="shared" si="7"/>
        <v>259</v>
      </c>
      <c r="AM13" s="217">
        <v>0.30199999999999999</v>
      </c>
      <c r="AN13" s="50"/>
      <c r="AQ13" s="50">
        <f t="shared" si="11"/>
        <v>0</v>
      </c>
      <c r="AS13" s="66"/>
    </row>
    <row r="14" spans="1:45" x14ac:dyDescent="0.2">
      <c r="A14" s="276">
        <v>6</v>
      </c>
      <c r="B14" s="218" t="s">
        <v>16</v>
      </c>
      <c r="C14" s="276">
        <v>1</v>
      </c>
      <c r="D14" s="177">
        <v>11.061999999999999</v>
      </c>
      <c r="E14" s="171">
        <f>C14*D14</f>
        <v>11.06</v>
      </c>
      <c r="F14" s="154">
        <f t="shared" si="14"/>
        <v>132.69999999999999</v>
      </c>
      <c r="G14" s="154"/>
      <c r="H14" s="34">
        <f>5.4+1.617</f>
        <v>7</v>
      </c>
      <c r="I14" s="154"/>
      <c r="J14" s="154"/>
      <c r="K14" s="154">
        <f>F14*0.4</f>
        <v>53.1</v>
      </c>
      <c r="L14" s="154">
        <f t="shared" si="4"/>
        <v>44.9</v>
      </c>
      <c r="M14" s="154">
        <f t="shared" si="15"/>
        <v>237.7</v>
      </c>
      <c r="N14" s="171">
        <v>0.43</v>
      </c>
      <c r="O14" s="154">
        <f t="shared" si="16"/>
        <v>102.2</v>
      </c>
      <c r="P14" s="154">
        <f t="shared" si="17"/>
        <v>339.9</v>
      </c>
      <c r="Q14" s="154">
        <f t="shared" si="18"/>
        <v>271.89999999999998</v>
      </c>
      <c r="R14" s="154">
        <f t="shared" si="19"/>
        <v>271.89999999999998</v>
      </c>
      <c r="S14" s="154">
        <f t="shared" si="20"/>
        <v>28.3</v>
      </c>
      <c r="T14" s="154">
        <f t="shared" si="21"/>
        <v>912</v>
      </c>
      <c r="U14" s="2247"/>
      <c r="V14" s="154">
        <f t="shared" si="5"/>
        <v>912</v>
      </c>
      <c r="W14" s="154">
        <f>AQ14</f>
        <v>274</v>
      </c>
      <c r="X14" s="54">
        <v>1</v>
      </c>
      <c r="Y14" s="24">
        <v>30</v>
      </c>
      <c r="Z14" s="48">
        <f t="shared" si="22"/>
        <v>30</v>
      </c>
      <c r="AA14" s="54"/>
      <c r="AB14" s="24">
        <v>15</v>
      </c>
      <c r="AC14" s="48">
        <f t="shared" si="23"/>
        <v>0</v>
      </c>
      <c r="AD14" s="54"/>
      <c r="AE14" s="24">
        <v>30</v>
      </c>
      <c r="AF14" s="48">
        <f>AD14*AE14</f>
        <v>0</v>
      </c>
      <c r="AG14" s="276">
        <f t="shared" si="0"/>
        <v>9</v>
      </c>
      <c r="AH14" s="48">
        <f t="shared" si="1"/>
        <v>39</v>
      </c>
      <c r="AI14" s="34">
        <f t="shared" si="2"/>
        <v>76000</v>
      </c>
      <c r="AJ14" s="34"/>
      <c r="AK14" s="216">
        <f t="shared" si="3"/>
        <v>912</v>
      </c>
      <c r="AL14" s="216">
        <f t="shared" si="7"/>
        <v>283.5</v>
      </c>
      <c r="AM14" s="217">
        <f>AL14/AK14</f>
        <v>0.311</v>
      </c>
      <c r="AN14" s="50">
        <f t="shared" ref="AN14" si="25">AK14*0.22</f>
        <v>200.6</v>
      </c>
      <c r="AO14" s="50">
        <f>865*0.029</f>
        <v>25.1</v>
      </c>
      <c r="AP14" s="50">
        <f>AK14*0.053</f>
        <v>48.3</v>
      </c>
      <c r="AQ14" s="50">
        <f t="shared" ref="AQ14" si="26">SUM(AN14:AP14)*C14</f>
        <v>274</v>
      </c>
      <c r="AS14" s="66"/>
    </row>
    <row r="15" spans="1:45" ht="25.5" x14ac:dyDescent="0.2">
      <c r="A15" s="276">
        <v>8</v>
      </c>
      <c r="B15" s="218" t="s">
        <v>45</v>
      </c>
      <c r="C15" s="276">
        <v>1</v>
      </c>
      <c r="D15" s="177">
        <v>11.061999999999999</v>
      </c>
      <c r="E15" s="171">
        <f t="shared" si="13"/>
        <v>11.06</v>
      </c>
      <c r="F15" s="154">
        <f t="shared" si="14"/>
        <v>132.69999999999999</v>
      </c>
      <c r="G15" s="154"/>
      <c r="H15" s="154">
        <v>2.4</v>
      </c>
      <c r="I15" s="154"/>
      <c r="J15" s="154"/>
      <c r="K15" s="154">
        <f>F15*0.4</f>
        <v>53.1</v>
      </c>
      <c r="L15" s="154">
        <f t="shared" si="4"/>
        <v>44.9</v>
      </c>
      <c r="M15" s="154">
        <f t="shared" si="15"/>
        <v>233.1</v>
      </c>
      <c r="N15" s="171">
        <v>0.43</v>
      </c>
      <c r="O15" s="154">
        <f t="shared" si="16"/>
        <v>100.2</v>
      </c>
      <c r="P15" s="154">
        <f t="shared" si="17"/>
        <v>333.3</v>
      </c>
      <c r="Q15" s="154">
        <f t="shared" si="18"/>
        <v>266.60000000000002</v>
      </c>
      <c r="R15" s="154">
        <f t="shared" si="19"/>
        <v>266.60000000000002</v>
      </c>
      <c r="S15" s="154">
        <f t="shared" si="20"/>
        <v>27.7</v>
      </c>
      <c r="T15" s="154">
        <f t="shared" si="21"/>
        <v>894.2</v>
      </c>
      <c r="U15" s="2247"/>
      <c r="V15" s="154">
        <f t="shared" si="5"/>
        <v>894.2</v>
      </c>
      <c r="W15" s="154">
        <f>AQ15</f>
        <v>269.2</v>
      </c>
      <c r="X15" s="54"/>
      <c r="Y15" s="24">
        <v>30</v>
      </c>
      <c r="Z15" s="48">
        <f t="shared" si="22"/>
        <v>0</v>
      </c>
      <c r="AA15" s="54"/>
      <c r="AB15" s="24">
        <v>15</v>
      </c>
      <c r="AC15" s="48">
        <f t="shared" si="23"/>
        <v>0</v>
      </c>
      <c r="AD15" s="54"/>
      <c r="AE15" s="24">
        <v>30</v>
      </c>
      <c r="AF15" s="48">
        <f t="shared" si="24"/>
        <v>0</v>
      </c>
      <c r="AG15" s="276">
        <f t="shared" si="0"/>
        <v>0</v>
      </c>
      <c r="AH15" s="48">
        <f t="shared" si="1"/>
        <v>0</v>
      </c>
      <c r="AI15" s="34">
        <f t="shared" si="2"/>
        <v>74516.7</v>
      </c>
      <c r="AJ15" s="34"/>
      <c r="AK15" s="216">
        <f t="shared" si="3"/>
        <v>894.2</v>
      </c>
      <c r="AL15" s="216">
        <f t="shared" si="7"/>
        <v>280.2</v>
      </c>
      <c r="AM15" s="217">
        <v>0.30199999999999999</v>
      </c>
      <c r="AN15" s="50">
        <f t="shared" ref="AN15" si="27">AK15*0.22</f>
        <v>196.7</v>
      </c>
      <c r="AO15" s="50">
        <f>865*0.029</f>
        <v>25.1</v>
      </c>
      <c r="AP15" s="50">
        <f>AK15*0.053</f>
        <v>47.4</v>
      </c>
      <c r="AQ15" s="50">
        <f t="shared" si="11"/>
        <v>269.2</v>
      </c>
      <c r="AS15" s="66"/>
    </row>
    <row r="16" spans="1:45" ht="25.5" x14ac:dyDescent="0.2">
      <c r="A16" s="276">
        <v>9</v>
      </c>
      <c r="B16" s="218" t="s">
        <v>46</v>
      </c>
      <c r="C16" s="276">
        <v>1</v>
      </c>
      <c r="D16" s="177">
        <v>11.061999999999999</v>
      </c>
      <c r="E16" s="171">
        <f t="shared" si="13"/>
        <v>11.06</v>
      </c>
      <c r="F16" s="154">
        <f t="shared" si="14"/>
        <v>132.69999999999999</v>
      </c>
      <c r="G16" s="154"/>
      <c r="H16" s="154">
        <v>2.4</v>
      </c>
      <c r="I16" s="154"/>
      <c r="J16" s="154"/>
      <c r="K16" s="154">
        <f>F16*0.4</f>
        <v>53.1</v>
      </c>
      <c r="L16" s="154">
        <f t="shared" si="4"/>
        <v>44.9</v>
      </c>
      <c r="M16" s="154">
        <f t="shared" si="15"/>
        <v>233.1</v>
      </c>
      <c r="N16" s="171">
        <v>0.43</v>
      </c>
      <c r="O16" s="154">
        <f t="shared" si="16"/>
        <v>100.2</v>
      </c>
      <c r="P16" s="154">
        <f t="shared" si="17"/>
        <v>333.3</v>
      </c>
      <c r="Q16" s="154">
        <f t="shared" si="18"/>
        <v>266.60000000000002</v>
      </c>
      <c r="R16" s="154">
        <f t="shared" si="19"/>
        <v>266.60000000000002</v>
      </c>
      <c r="S16" s="154">
        <f t="shared" si="20"/>
        <v>27.7</v>
      </c>
      <c r="T16" s="154">
        <f t="shared" si="21"/>
        <v>894.2</v>
      </c>
      <c r="U16" s="2247"/>
      <c r="V16" s="154">
        <f t="shared" si="5"/>
        <v>894.2</v>
      </c>
      <c r="W16" s="154">
        <f>AQ16</f>
        <v>269.2</v>
      </c>
      <c r="X16" s="54">
        <v>1</v>
      </c>
      <c r="Y16" s="24">
        <v>30</v>
      </c>
      <c r="Z16" s="48">
        <f t="shared" si="22"/>
        <v>30</v>
      </c>
      <c r="AA16" s="54">
        <v>1</v>
      </c>
      <c r="AB16" s="24">
        <v>15</v>
      </c>
      <c r="AC16" s="48">
        <f t="shared" si="23"/>
        <v>15</v>
      </c>
      <c r="AD16" s="54">
        <v>1</v>
      </c>
      <c r="AE16" s="24">
        <v>30</v>
      </c>
      <c r="AF16" s="48">
        <f t="shared" si="24"/>
        <v>30</v>
      </c>
      <c r="AG16" s="276">
        <f t="shared" si="0"/>
        <v>22.5</v>
      </c>
      <c r="AH16" s="48">
        <f t="shared" si="1"/>
        <v>97.5</v>
      </c>
      <c r="AI16" s="34">
        <f t="shared" si="2"/>
        <v>74516.7</v>
      </c>
      <c r="AJ16" s="34"/>
      <c r="AK16" s="216">
        <f t="shared" si="3"/>
        <v>894.2</v>
      </c>
      <c r="AL16" s="216">
        <f t="shared" si="7"/>
        <v>280.2</v>
      </c>
      <c r="AM16" s="217">
        <f>AL16/AK16</f>
        <v>0.313</v>
      </c>
      <c r="AN16" s="50">
        <f t="shared" ref="AN16" si="28">AK16*0.22</f>
        <v>196.7</v>
      </c>
      <c r="AO16" s="50">
        <f>865*0.029</f>
        <v>25.1</v>
      </c>
      <c r="AP16" s="50">
        <f>AK16*0.053</f>
        <v>47.4</v>
      </c>
      <c r="AQ16" s="50">
        <f t="shared" si="11"/>
        <v>269.2</v>
      </c>
      <c r="AS16" s="66"/>
    </row>
    <row r="17" spans="1:45" ht="25.5" x14ac:dyDescent="0.2">
      <c r="A17" s="276">
        <v>10</v>
      </c>
      <c r="B17" s="218" t="s">
        <v>100</v>
      </c>
      <c r="C17" s="276">
        <v>1</v>
      </c>
      <c r="D17" s="177">
        <v>11.061999999999999</v>
      </c>
      <c r="E17" s="171">
        <f>C17*D17</f>
        <v>11.06</v>
      </c>
      <c r="F17" s="154">
        <f>E17*12</f>
        <v>132.69999999999999</v>
      </c>
      <c r="G17" s="154"/>
      <c r="H17" s="154">
        <v>5.4</v>
      </c>
      <c r="I17" s="154"/>
      <c r="J17" s="154"/>
      <c r="K17" s="154"/>
      <c r="L17" s="154">
        <f t="shared" si="4"/>
        <v>44.9</v>
      </c>
      <c r="M17" s="154">
        <f>F17+G17+H17+I17+J17+K17+L17</f>
        <v>183</v>
      </c>
      <c r="N17" s="171">
        <v>0.43</v>
      </c>
      <c r="O17" s="154">
        <f>M17*N17</f>
        <v>78.7</v>
      </c>
      <c r="P17" s="154">
        <f>M17+O17</f>
        <v>261.7</v>
      </c>
      <c r="Q17" s="154">
        <f>P17*0.8</f>
        <v>209.4</v>
      </c>
      <c r="R17" s="154">
        <f>P17*0.8</f>
        <v>209.4</v>
      </c>
      <c r="S17" s="154">
        <f>(P17+Q17+R17)*0.032</f>
        <v>21.8</v>
      </c>
      <c r="T17" s="154">
        <f>P17+Q17+R17+S17</f>
        <v>702.3</v>
      </c>
      <c r="U17" s="2247"/>
      <c r="V17" s="154">
        <f t="shared" si="5"/>
        <v>702.3</v>
      </c>
      <c r="W17" s="154">
        <f t="shared" ref="W17:W19" si="29">V17*0.302</f>
        <v>212.1</v>
      </c>
      <c r="X17" s="54">
        <v>1</v>
      </c>
      <c r="Y17" s="24">
        <v>30</v>
      </c>
      <c r="Z17" s="48">
        <f>X17*Y17</f>
        <v>30</v>
      </c>
      <c r="AA17" s="54"/>
      <c r="AB17" s="24">
        <v>15</v>
      </c>
      <c r="AC17" s="48">
        <f>AA17*AB17</f>
        <v>0</v>
      </c>
      <c r="AD17" s="54"/>
      <c r="AE17" s="24">
        <v>30</v>
      </c>
      <c r="AF17" s="48">
        <f>AD17*AE17</f>
        <v>0</v>
      </c>
      <c r="AG17" s="276">
        <f t="shared" si="0"/>
        <v>9</v>
      </c>
      <c r="AH17" s="48">
        <f t="shared" si="1"/>
        <v>39</v>
      </c>
      <c r="AI17" s="34">
        <f t="shared" si="2"/>
        <v>58525</v>
      </c>
      <c r="AJ17" s="34"/>
      <c r="AK17" s="216">
        <f t="shared" si="3"/>
        <v>702.3</v>
      </c>
      <c r="AL17" s="216">
        <f t="shared" si="7"/>
        <v>245.3</v>
      </c>
      <c r="AM17" s="217">
        <f>AL17/AK17</f>
        <v>0.34899999999999998</v>
      </c>
      <c r="AN17" s="50"/>
      <c r="AO17" s="50"/>
      <c r="AP17" s="50"/>
      <c r="AQ17" s="50">
        <f t="shared" si="11"/>
        <v>0</v>
      </c>
      <c r="AS17" s="66"/>
    </row>
    <row r="18" spans="1:45" x14ac:dyDescent="0.2">
      <c r="A18" s="276">
        <v>11</v>
      </c>
      <c r="B18" s="218" t="s">
        <v>105</v>
      </c>
      <c r="C18" s="276">
        <v>2</v>
      </c>
      <c r="D18" s="177">
        <v>8.4730000000000008</v>
      </c>
      <c r="E18" s="171">
        <f t="shared" si="13"/>
        <v>16.95</v>
      </c>
      <c r="F18" s="154">
        <f t="shared" si="14"/>
        <v>203.4</v>
      </c>
      <c r="G18" s="154"/>
      <c r="H18" s="154">
        <v>2.1</v>
      </c>
      <c r="I18" s="154"/>
      <c r="J18" s="154"/>
      <c r="K18" s="154">
        <f>D18*0.35*12+D18*0.3*12+D18*9.5*0.05</f>
        <v>70.099999999999994</v>
      </c>
      <c r="L18" s="154">
        <f t="shared" si="4"/>
        <v>68.8</v>
      </c>
      <c r="M18" s="154">
        <f t="shared" si="15"/>
        <v>344.4</v>
      </c>
      <c r="N18" s="171">
        <v>0.41</v>
      </c>
      <c r="O18" s="154">
        <f t="shared" si="16"/>
        <v>141.19999999999999</v>
      </c>
      <c r="P18" s="154">
        <f t="shared" si="17"/>
        <v>485.6</v>
      </c>
      <c r="Q18" s="154">
        <f t="shared" si="18"/>
        <v>388.5</v>
      </c>
      <c r="R18" s="154">
        <f t="shared" si="19"/>
        <v>388.5</v>
      </c>
      <c r="S18" s="154">
        <f t="shared" si="20"/>
        <v>40.4</v>
      </c>
      <c r="T18" s="154">
        <f t="shared" si="21"/>
        <v>1303</v>
      </c>
      <c r="U18" s="2247"/>
      <c r="V18" s="154">
        <f t="shared" si="5"/>
        <v>1303</v>
      </c>
      <c r="W18" s="154">
        <f t="shared" si="29"/>
        <v>393.5</v>
      </c>
      <c r="X18" s="54"/>
      <c r="Y18" s="24">
        <v>30</v>
      </c>
      <c r="Z18" s="48">
        <f t="shared" si="22"/>
        <v>0</v>
      </c>
      <c r="AA18" s="54"/>
      <c r="AB18" s="24">
        <v>15</v>
      </c>
      <c r="AC18" s="48">
        <f t="shared" si="23"/>
        <v>0</v>
      </c>
      <c r="AD18" s="54"/>
      <c r="AE18" s="24">
        <v>30</v>
      </c>
      <c r="AF18" s="48">
        <f t="shared" si="24"/>
        <v>0</v>
      </c>
      <c r="AG18" s="276">
        <f t="shared" si="0"/>
        <v>0</v>
      </c>
      <c r="AH18" s="48">
        <f t="shared" si="1"/>
        <v>0</v>
      </c>
      <c r="AI18" s="34">
        <f t="shared" si="2"/>
        <v>54291.7</v>
      </c>
      <c r="AJ18" s="34"/>
      <c r="AK18" s="216">
        <f t="shared" si="3"/>
        <v>651.5</v>
      </c>
      <c r="AL18" s="216">
        <f t="shared" si="7"/>
        <v>236.1</v>
      </c>
      <c r="AM18" s="217">
        <v>0.30199999999999999</v>
      </c>
      <c r="AQ18" s="50">
        <f t="shared" si="11"/>
        <v>0</v>
      </c>
      <c r="AS18" s="66"/>
    </row>
    <row r="19" spans="1:45" x14ac:dyDescent="0.2">
      <c r="A19" s="276">
        <v>12</v>
      </c>
      <c r="B19" s="218" t="s">
        <v>47</v>
      </c>
      <c r="C19" s="219">
        <v>1</v>
      </c>
      <c r="D19" s="177">
        <v>6.2859999999999996</v>
      </c>
      <c r="E19" s="171">
        <f t="shared" si="13"/>
        <v>6.29</v>
      </c>
      <c r="F19" s="154">
        <f t="shared" si="14"/>
        <v>75.5</v>
      </c>
      <c r="G19" s="154"/>
      <c r="H19" s="154">
        <v>2.8</v>
      </c>
      <c r="I19" s="154"/>
      <c r="J19" s="154"/>
      <c r="K19" s="154">
        <f>F19*0.2+D19*0.05*9.5</f>
        <v>18.100000000000001</v>
      </c>
      <c r="L19" s="154">
        <f t="shared" si="4"/>
        <v>25.5</v>
      </c>
      <c r="M19" s="154">
        <f t="shared" si="15"/>
        <v>121.9</v>
      </c>
      <c r="N19" s="171">
        <v>0.45</v>
      </c>
      <c r="O19" s="154">
        <f t="shared" si="16"/>
        <v>54.9</v>
      </c>
      <c r="P19" s="154">
        <f t="shared" si="17"/>
        <v>176.8</v>
      </c>
      <c r="Q19" s="154">
        <f t="shared" si="18"/>
        <v>141.4</v>
      </c>
      <c r="R19" s="154">
        <f t="shared" si="19"/>
        <v>141.4</v>
      </c>
      <c r="S19" s="154">
        <f t="shared" si="20"/>
        <v>14.7</v>
      </c>
      <c r="T19" s="154">
        <f t="shared" si="21"/>
        <v>474.3</v>
      </c>
      <c r="U19" s="2247"/>
      <c r="V19" s="154">
        <f t="shared" si="5"/>
        <v>474.3</v>
      </c>
      <c r="W19" s="154">
        <f t="shared" si="29"/>
        <v>143.19999999999999</v>
      </c>
      <c r="X19" s="54">
        <v>1</v>
      </c>
      <c r="Y19" s="24">
        <v>30</v>
      </c>
      <c r="Z19" s="48">
        <f t="shared" si="22"/>
        <v>30</v>
      </c>
      <c r="AA19" s="54"/>
      <c r="AB19" s="24">
        <v>15</v>
      </c>
      <c r="AC19" s="48">
        <f t="shared" si="23"/>
        <v>0</v>
      </c>
      <c r="AD19" s="54">
        <v>1</v>
      </c>
      <c r="AE19" s="24">
        <v>30</v>
      </c>
      <c r="AF19" s="48">
        <f t="shared" si="24"/>
        <v>30</v>
      </c>
      <c r="AG19" s="276">
        <f t="shared" si="0"/>
        <v>18</v>
      </c>
      <c r="AH19" s="48">
        <f t="shared" si="1"/>
        <v>78</v>
      </c>
      <c r="AI19" s="34">
        <f t="shared" si="2"/>
        <v>39525</v>
      </c>
      <c r="AJ19" s="34"/>
      <c r="AK19" s="216">
        <f t="shared" si="3"/>
        <v>474.3</v>
      </c>
      <c r="AL19" s="216">
        <f t="shared" si="7"/>
        <v>203.8</v>
      </c>
      <c r="AM19" s="217">
        <v>0.30199999999999999</v>
      </c>
      <c r="AQ19" s="50">
        <f t="shared" si="11"/>
        <v>0</v>
      </c>
      <c r="AS19" s="66"/>
    </row>
    <row r="20" spans="1:45" s="33" customFormat="1" x14ac:dyDescent="0.2">
      <c r="A20" s="276">
        <v>13</v>
      </c>
      <c r="B20" s="218" t="s">
        <v>48</v>
      </c>
      <c r="C20" s="276">
        <v>1</v>
      </c>
      <c r="D20" s="177">
        <v>11.061999999999999</v>
      </c>
      <c r="E20" s="171">
        <f>C20*D20</f>
        <v>11.06</v>
      </c>
      <c r="F20" s="154">
        <f>E20*12</f>
        <v>132.69999999999999</v>
      </c>
      <c r="G20" s="154"/>
      <c r="H20" s="154">
        <v>1.8</v>
      </c>
      <c r="I20" s="154"/>
      <c r="J20" s="154"/>
      <c r="K20" s="154">
        <f>F20*0.35</f>
        <v>46.4</v>
      </c>
      <c r="L20" s="154">
        <f t="shared" si="4"/>
        <v>44.9</v>
      </c>
      <c r="M20" s="154">
        <f>F20+G20+H20+I20+J20+K20+L20</f>
        <v>225.8</v>
      </c>
      <c r="N20" s="171">
        <v>0.47</v>
      </c>
      <c r="O20" s="154">
        <f>M20*N20</f>
        <v>106.1</v>
      </c>
      <c r="P20" s="154">
        <f>M20+O20</f>
        <v>331.9</v>
      </c>
      <c r="Q20" s="154">
        <f>P20*0.8</f>
        <v>265.5</v>
      </c>
      <c r="R20" s="154">
        <f>P20*0.8</f>
        <v>265.5</v>
      </c>
      <c r="S20" s="154">
        <f>(P20+Q20+R20)*0.032</f>
        <v>27.6</v>
      </c>
      <c r="T20" s="154">
        <f>P20+Q20+R20+S20</f>
        <v>890.5</v>
      </c>
      <c r="U20" s="2247"/>
      <c r="V20" s="154">
        <f t="shared" si="5"/>
        <v>890.5</v>
      </c>
      <c r="W20" s="154">
        <f>AQ20</f>
        <v>268.2</v>
      </c>
      <c r="X20" s="54">
        <v>1</v>
      </c>
      <c r="Y20" s="24">
        <v>30</v>
      </c>
      <c r="Z20" s="48">
        <f>X20*Y20</f>
        <v>30</v>
      </c>
      <c r="AA20" s="54"/>
      <c r="AB20" s="24">
        <v>15</v>
      </c>
      <c r="AC20" s="48">
        <f>AA20*AB20</f>
        <v>0</v>
      </c>
      <c r="AD20" s="54"/>
      <c r="AE20" s="24">
        <v>30</v>
      </c>
      <c r="AF20" s="48">
        <f>AD20*AE20</f>
        <v>0</v>
      </c>
      <c r="AG20" s="276">
        <f t="shared" si="0"/>
        <v>9</v>
      </c>
      <c r="AH20" s="48">
        <f t="shared" si="1"/>
        <v>39</v>
      </c>
      <c r="AI20" s="34">
        <f t="shared" si="2"/>
        <v>74208.3</v>
      </c>
      <c r="AJ20" s="220"/>
      <c r="AK20" s="216">
        <f t="shared" si="3"/>
        <v>890.5</v>
      </c>
      <c r="AL20" s="216">
        <f t="shared" si="7"/>
        <v>279.60000000000002</v>
      </c>
      <c r="AM20" s="217">
        <f>AL20/AK20</f>
        <v>0.314</v>
      </c>
      <c r="AN20" s="50">
        <f t="shared" ref="AN20:AN21" si="30">AK20*0.22</f>
        <v>195.9</v>
      </c>
      <c r="AO20" s="50">
        <f t="shared" ref="AO20:AO21" si="31">865*0.029</f>
        <v>25.1</v>
      </c>
      <c r="AP20" s="50">
        <f t="shared" ref="AP20:AP21" si="32">AK20*0.053</f>
        <v>47.2</v>
      </c>
      <c r="AQ20" s="50">
        <f t="shared" si="11"/>
        <v>268.2</v>
      </c>
      <c r="AS20" s="66"/>
    </row>
    <row r="21" spans="1:45" s="33" customFormat="1" ht="25.5" x14ac:dyDescent="0.2">
      <c r="A21" s="276">
        <v>14</v>
      </c>
      <c r="B21" s="218" t="s">
        <v>31</v>
      </c>
      <c r="C21" s="276">
        <v>5</v>
      </c>
      <c r="D21" s="177">
        <v>11.061999999999999</v>
      </c>
      <c r="E21" s="171">
        <f>C21*D21</f>
        <v>55.31</v>
      </c>
      <c r="F21" s="154">
        <f>E21*12</f>
        <v>663.7</v>
      </c>
      <c r="G21" s="154"/>
      <c r="H21" s="154">
        <f>40.443+1.617+1.078</f>
        <v>43.1</v>
      </c>
      <c r="I21" s="154"/>
      <c r="J21" s="154"/>
      <c r="K21" s="154">
        <f>D21*0.4*4*12+D21*0.35*12+D21*0.05*3</f>
        <v>260.5</v>
      </c>
      <c r="L21" s="154">
        <f t="shared" si="4"/>
        <v>224.6</v>
      </c>
      <c r="M21" s="154">
        <f>F21+G21+H21+I21+J21+K21+L21</f>
        <v>1191.9000000000001</v>
      </c>
      <c r="N21" s="171">
        <v>0.47</v>
      </c>
      <c r="O21" s="154">
        <f>M21*N21</f>
        <v>560.20000000000005</v>
      </c>
      <c r="P21" s="154">
        <f>M21+O21</f>
        <v>1752.1</v>
      </c>
      <c r="Q21" s="154">
        <f>P21*0.8</f>
        <v>1401.7</v>
      </c>
      <c r="R21" s="154">
        <f>P21*0.8</f>
        <v>1401.7</v>
      </c>
      <c r="S21" s="154">
        <f>(P21+Q21+R21)*0.032</f>
        <v>145.80000000000001</v>
      </c>
      <c r="T21" s="154">
        <f>P21+Q21+R21+S21</f>
        <v>4701.3</v>
      </c>
      <c r="U21" s="2247"/>
      <c r="V21" s="154">
        <f t="shared" si="5"/>
        <v>4701.3</v>
      </c>
      <c r="W21" s="154">
        <f>AQ21*C21</f>
        <v>1409</v>
      </c>
      <c r="X21" s="54">
        <v>4</v>
      </c>
      <c r="Y21" s="24">
        <v>30</v>
      </c>
      <c r="Z21" s="48">
        <f>X21*Y21</f>
        <v>120</v>
      </c>
      <c r="AA21" s="54">
        <v>2</v>
      </c>
      <c r="AB21" s="24">
        <v>15</v>
      </c>
      <c r="AC21" s="48">
        <f>AA21*AB21</f>
        <v>30</v>
      </c>
      <c r="AD21" s="54">
        <v>1</v>
      </c>
      <c r="AE21" s="24">
        <v>30</v>
      </c>
      <c r="AF21" s="48">
        <f>AD21*AE21</f>
        <v>30</v>
      </c>
      <c r="AG21" s="276">
        <f t="shared" si="0"/>
        <v>54</v>
      </c>
      <c r="AH21" s="48">
        <f t="shared" si="1"/>
        <v>234</v>
      </c>
      <c r="AI21" s="34">
        <f t="shared" si="2"/>
        <v>78355</v>
      </c>
      <c r="AJ21" s="220"/>
      <c r="AK21" s="216">
        <f t="shared" si="3"/>
        <v>940.3</v>
      </c>
      <c r="AL21" s="216">
        <f t="shared" si="7"/>
        <v>288.60000000000002</v>
      </c>
      <c r="AM21" s="217">
        <v>0.30199999999999999</v>
      </c>
      <c r="AN21" s="211">
        <f t="shared" si="30"/>
        <v>206.86600000000001</v>
      </c>
      <c r="AO21" s="50">
        <f t="shared" si="31"/>
        <v>25.1</v>
      </c>
      <c r="AP21" s="50">
        <f t="shared" si="32"/>
        <v>49.8</v>
      </c>
      <c r="AQ21" s="50">
        <f>SUM(AN21:AP21)</f>
        <v>281.8</v>
      </c>
      <c r="AS21" s="66"/>
    </row>
    <row r="22" spans="1:45" s="33" customFormat="1" ht="25.5" x14ac:dyDescent="0.2">
      <c r="A22" s="276">
        <v>15</v>
      </c>
      <c r="B22" s="218" t="s">
        <v>110</v>
      </c>
      <c r="C22" s="276">
        <v>1</v>
      </c>
      <c r="D22" s="177">
        <v>6.2859999999999996</v>
      </c>
      <c r="E22" s="171">
        <f>C22*D22</f>
        <v>6.29</v>
      </c>
      <c r="F22" s="154">
        <f>E22*12</f>
        <v>75.5</v>
      </c>
      <c r="G22" s="154"/>
      <c r="H22" s="154"/>
      <c r="I22" s="154"/>
      <c r="J22" s="154"/>
      <c r="K22" s="154">
        <f>F22*0.2</f>
        <v>15.1</v>
      </c>
      <c r="L22" s="154">
        <f t="shared" si="4"/>
        <v>25.5</v>
      </c>
      <c r="M22" s="154">
        <f>F22+G22+H22+I22+J22+K22+L22</f>
        <v>116.1</v>
      </c>
      <c r="N22" s="171">
        <v>0.45</v>
      </c>
      <c r="O22" s="154">
        <f>M22*N22</f>
        <v>52.2</v>
      </c>
      <c r="P22" s="154">
        <f>M22+O22</f>
        <v>168.3</v>
      </c>
      <c r="Q22" s="154">
        <f>P22*0.8</f>
        <v>134.6</v>
      </c>
      <c r="R22" s="154">
        <f>P22*0.8</f>
        <v>134.6</v>
      </c>
      <c r="S22" s="154">
        <f>(P22+Q22+R22)*0.032</f>
        <v>14</v>
      </c>
      <c r="T22" s="154">
        <f>P22+Q22+R22+S22</f>
        <v>451.5</v>
      </c>
      <c r="U22" s="2247"/>
      <c r="V22" s="154">
        <f t="shared" si="5"/>
        <v>451.5</v>
      </c>
      <c r="W22" s="154">
        <f t="shared" ref="W22:W51" si="33">V22*0.302</f>
        <v>136.4</v>
      </c>
      <c r="X22" s="54">
        <v>1</v>
      </c>
      <c r="Y22" s="24">
        <v>30</v>
      </c>
      <c r="Z22" s="48">
        <f>X22*Y22</f>
        <v>30</v>
      </c>
      <c r="AA22" s="54"/>
      <c r="AB22" s="24">
        <v>15</v>
      </c>
      <c r="AC22" s="48">
        <f>AA22*AB22</f>
        <v>0</v>
      </c>
      <c r="AD22" s="54"/>
      <c r="AE22" s="24">
        <v>30</v>
      </c>
      <c r="AF22" s="48">
        <f>AD22*AE22</f>
        <v>0</v>
      </c>
      <c r="AG22" s="276">
        <f t="shared" si="0"/>
        <v>9</v>
      </c>
      <c r="AH22" s="48">
        <f t="shared" si="1"/>
        <v>39</v>
      </c>
      <c r="AI22" s="34">
        <f t="shared" si="2"/>
        <v>37625</v>
      </c>
      <c r="AJ22" s="220"/>
      <c r="AK22" s="216">
        <f t="shared" si="3"/>
        <v>451.5</v>
      </c>
      <c r="AL22" s="216">
        <f t="shared" si="7"/>
        <v>199.7</v>
      </c>
      <c r="AM22" s="217">
        <v>0.30199999999999999</v>
      </c>
      <c r="AN22" s="211"/>
      <c r="AO22" s="211"/>
      <c r="AP22" s="211"/>
      <c r="AQ22" s="50">
        <f t="shared" si="11"/>
        <v>0</v>
      </c>
      <c r="AS22" s="66"/>
    </row>
    <row r="23" spans="1:45" x14ac:dyDescent="0.2">
      <c r="A23" s="276">
        <v>16</v>
      </c>
      <c r="B23" s="218" t="s">
        <v>49</v>
      </c>
      <c r="C23" s="54">
        <v>1</v>
      </c>
      <c r="D23" s="177">
        <v>8.4730000000000008</v>
      </c>
      <c r="E23" s="171">
        <f>C23*D23</f>
        <v>8.4700000000000006</v>
      </c>
      <c r="F23" s="154">
        <f t="shared" ref="F23:F41" si="34">E23*12</f>
        <v>101.6</v>
      </c>
      <c r="G23" s="154"/>
      <c r="H23" s="154">
        <v>3.7</v>
      </c>
      <c r="I23" s="154"/>
      <c r="J23" s="154">
        <f>F23*0.1</f>
        <v>10.199999999999999</v>
      </c>
      <c r="K23" s="154">
        <f>F23*0.3</f>
        <v>30.5</v>
      </c>
      <c r="L23" s="154">
        <f t="shared" si="4"/>
        <v>34.4</v>
      </c>
      <c r="M23" s="154">
        <f t="shared" ref="M23:M41" si="35">F23+G23+H23+I23+J23+K23+L23</f>
        <v>180.4</v>
      </c>
      <c r="N23" s="171">
        <v>0.41</v>
      </c>
      <c r="O23" s="154">
        <f t="shared" ref="O23:O41" si="36">M23*N23</f>
        <v>74</v>
      </c>
      <c r="P23" s="154">
        <f t="shared" ref="P23:P41" si="37">M23+O23</f>
        <v>254.4</v>
      </c>
      <c r="Q23" s="154">
        <f t="shared" ref="Q23:Q41" si="38">P23*0.8</f>
        <v>203.5</v>
      </c>
      <c r="R23" s="154">
        <f t="shared" ref="R23:R41" si="39">P23*0.8</f>
        <v>203.5</v>
      </c>
      <c r="S23" s="154">
        <f t="shared" ref="S23:S41" si="40">(P23+Q23+R23)*0.032</f>
        <v>21.2</v>
      </c>
      <c r="T23" s="154">
        <f t="shared" ref="T23:T41" si="41">P23+Q23+R23+S23</f>
        <v>682.6</v>
      </c>
      <c r="U23" s="2247"/>
      <c r="V23" s="154">
        <f t="shared" si="5"/>
        <v>682.6</v>
      </c>
      <c r="W23" s="154">
        <f t="shared" si="33"/>
        <v>206.1</v>
      </c>
      <c r="X23" s="276">
        <v>1</v>
      </c>
      <c r="Y23" s="24">
        <v>30</v>
      </c>
      <c r="Z23" s="48">
        <f>X23*Y23</f>
        <v>30</v>
      </c>
      <c r="AA23" s="54">
        <v>1</v>
      </c>
      <c r="AB23" s="24">
        <v>15</v>
      </c>
      <c r="AC23" s="48">
        <f>AA23*AB23</f>
        <v>15</v>
      </c>
      <c r="AD23" s="54"/>
      <c r="AE23" s="24">
        <v>30</v>
      </c>
      <c r="AF23" s="48">
        <f>AD23*AE23</f>
        <v>0</v>
      </c>
      <c r="AG23" s="276">
        <f t="shared" si="0"/>
        <v>13.5</v>
      </c>
      <c r="AH23" s="48">
        <f t="shared" si="1"/>
        <v>58.5</v>
      </c>
      <c r="AI23" s="34">
        <f t="shared" si="2"/>
        <v>56883.3</v>
      </c>
      <c r="AJ23" s="34"/>
      <c r="AK23" s="216">
        <f t="shared" si="3"/>
        <v>682.6</v>
      </c>
      <c r="AL23" s="216">
        <f t="shared" si="7"/>
        <v>241.7</v>
      </c>
      <c r="AM23" s="217">
        <v>0.30199999999999999</v>
      </c>
      <c r="AQ23" s="50">
        <f t="shared" si="11"/>
        <v>0</v>
      </c>
      <c r="AS23" s="66"/>
    </row>
    <row r="24" spans="1:45" x14ac:dyDescent="0.2">
      <c r="A24" s="276">
        <v>17</v>
      </c>
      <c r="B24" s="218" t="s">
        <v>50</v>
      </c>
      <c r="C24" s="54">
        <v>1</v>
      </c>
      <c r="D24" s="177">
        <v>8.4730000000000008</v>
      </c>
      <c r="E24" s="171">
        <f>C24*D24</f>
        <v>8.4700000000000006</v>
      </c>
      <c r="F24" s="154">
        <f t="shared" si="34"/>
        <v>101.6</v>
      </c>
      <c r="G24" s="154"/>
      <c r="H24" s="154">
        <v>0.4</v>
      </c>
      <c r="I24" s="154"/>
      <c r="J24" s="154">
        <f>F24*0.1</f>
        <v>10.199999999999999</v>
      </c>
      <c r="K24" s="154">
        <f>F24*0.4</f>
        <v>40.6</v>
      </c>
      <c r="L24" s="154">
        <f t="shared" si="4"/>
        <v>34.4</v>
      </c>
      <c r="M24" s="154">
        <f t="shared" si="35"/>
        <v>187.2</v>
      </c>
      <c r="N24" s="171">
        <v>0.41</v>
      </c>
      <c r="O24" s="154">
        <f t="shared" si="36"/>
        <v>76.8</v>
      </c>
      <c r="P24" s="154">
        <f t="shared" si="37"/>
        <v>264</v>
      </c>
      <c r="Q24" s="154">
        <f t="shared" si="38"/>
        <v>211.2</v>
      </c>
      <c r="R24" s="154">
        <f t="shared" si="39"/>
        <v>211.2</v>
      </c>
      <c r="S24" s="154">
        <f t="shared" si="40"/>
        <v>22</v>
      </c>
      <c r="T24" s="154">
        <f t="shared" si="41"/>
        <v>708.4</v>
      </c>
      <c r="U24" s="2247"/>
      <c r="V24" s="154">
        <f t="shared" si="5"/>
        <v>708.4</v>
      </c>
      <c r="W24" s="154">
        <f t="shared" si="33"/>
        <v>213.9</v>
      </c>
      <c r="X24" s="276"/>
      <c r="Y24" s="24">
        <v>30</v>
      </c>
      <c r="Z24" s="48">
        <f>X24*Y24</f>
        <v>0</v>
      </c>
      <c r="AA24" s="54"/>
      <c r="AB24" s="24">
        <v>15</v>
      </c>
      <c r="AC24" s="48">
        <f>AA24*AB24</f>
        <v>0</v>
      </c>
      <c r="AD24" s="54"/>
      <c r="AE24" s="24">
        <v>30</v>
      </c>
      <c r="AF24" s="48">
        <f>AD24*AE24</f>
        <v>0</v>
      </c>
      <c r="AG24" s="276">
        <f t="shared" si="0"/>
        <v>0</v>
      </c>
      <c r="AH24" s="48">
        <f t="shared" si="1"/>
        <v>0</v>
      </c>
      <c r="AI24" s="34">
        <f t="shared" si="2"/>
        <v>59033.3</v>
      </c>
      <c r="AJ24" s="34"/>
      <c r="AK24" s="216">
        <f t="shared" si="3"/>
        <v>708.4</v>
      </c>
      <c r="AL24" s="216">
        <f t="shared" si="7"/>
        <v>246.4</v>
      </c>
      <c r="AM24" s="217">
        <v>0.30199999999999999</v>
      </c>
      <c r="AQ24" s="50">
        <f t="shared" si="11"/>
        <v>0</v>
      </c>
      <c r="AS24" s="66"/>
    </row>
    <row r="25" spans="1:45" ht="25.5" x14ac:dyDescent="0.2">
      <c r="A25" s="276">
        <v>18</v>
      </c>
      <c r="B25" s="218" t="s">
        <v>51</v>
      </c>
      <c r="C25" s="54">
        <v>1</v>
      </c>
      <c r="D25" s="177">
        <v>8.4730000000000008</v>
      </c>
      <c r="E25" s="171">
        <f t="shared" ref="E25:E40" si="42">C25*D25</f>
        <v>8.4700000000000006</v>
      </c>
      <c r="F25" s="154">
        <f t="shared" si="34"/>
        <v>101.6</v>
      </c>
      <c r="G25" s="154"/>
      <c r="H25" s="154">
        <v>2.1</v>
      </c>
      <c r="I25" s="154"/>
      <c r="J25" s="154">
        <f>F25*0.1</f>
        <v>10.199999999999999</v>
      </c>
      <c r="K25" s="154">
        <f>F25*0.4</f>
        <v>40.6</v>
      </c>
      <c r="L25" s="154">
        <f t="shared" si="4"/>
        <v>34.4</v>
      </c>
      <c r="M25" s="154">
        <f t="shared" si="35"/>
        <v>188.9</v>
      </c>
      <c r="N25" s="171">
        <v>0.41</v>
      </c>
      <c r="O25" s="154">
        <f t="shared" si="36"/>
        <v>77.400000000000006</v>
      </c>
      <c r="P25" s="154">
        <f t="shared" si="37"/>
        <v>266.3</v>
      </c>
      <c r="Q25" s="154">
        <f t="shared" si="38"/>
        <v>213</v>
      </c>
      <c r="R25" s="154">
        <f t="shared" si="39"/>
        <v>213</v>
      </c>
      <c r="S25" s="154">
        <f t="shared" si="40"/>
        <v>22.2</v>
      </c>
      <c r="T25" s="154">
        <f t="shared" si="41"/>
        <v>714.5</v>
      </c>
      <c r="U25" s="2247"/>
      <c r="V25" s="154">
        <f t="shared" si="5"/>
        <v>714.5</v>
      </c>
      <c r="W25" s="154">
        <f t="shared" si="33"/>
        <v>215.8</v>
      </c>
      <c r="X25" s="276">
        <v>1</v>
      </c>
      <c r="Y25" s="24">
        <v>30</v>
      </c>
      <c r="Z25" s="48">
        <f t="shared" ref="Z25:Z38" si="43">X25*Y25</f>
        <v>30</v>
      </c>
      <c r="AA25" s="54"/>
      <c r="AB25" s="24">
        <v>15</v>
      </c>
      <c r="AC25" s="48">
        <f t="shared" ref="AC25:AC38" si="44">AA25*AB25</f>
        <v>0</v>
      </c>
      <c r="AD25" s="54"/>
      <c r="AE25" s="24">
        <v>30</v>
      </c>
      <c r="AF25" s="48">
        <f t="shared" ref="AF25:AF41" si="45">AD25*AE25</f>
        <v>0</v>
      </c>
      <c r="AG25" s="276">
        <f t="shared" si="0"/>
        <v>9</v>
      </c>
      <c r="AH25" s="48">
        <f t="shared" si="1"/>
        <v>39</v>
      </c>
      <c r="AI25" s="34">
        <f t="shared" si="2"/>
        <v>59541.7</v>
      </c>
      <c r="AJ25" s="34"/>
      <c r="AK25" s="216">
        <f t="shared" si="3"/>
        <v>714.5</v>
      </c>
      <c r="AL25" s="216">
        <f t="shared" si="7"/>
        <v>247.5</v>
      </c>
      <c r="AM25" s="217">
        <v>0.30199999999999999</v>
      </c>
      <c r="AQ25" s="50">
        <f t="shared" si="11"/>
        <v>0</v>
      </c>
      <c r="AS25" s="66"/>
    </row>
    <row r="26" spans="1:45" x14ac:dyDescent="0.2">
      <c r="A26" s="276">
        <v>19</v>
      </c>
      <c r="B26" s="218" t="s">
        <v>52</v>
      </c>
      <c r="C26" s="54">
        <v>1</v>
      </c>
      <c r="D26" s="177">
        <v>8.4730000000000008</v>
      </c>
      <c r="E26" s="171">
        <f t="shared" si="42"/>
        <v>8.4700000000000006</v>
      </c>
      <c r="F26" s="154">
        <f t="shared" si="34"/>
        <v>101.6</v>
      </c>
      <c r="G26" s="154"/>
      <c r="H26" s="154">
        <v>1.4</v>
      </c>
      <c r="I26" s="154"/>
      <c r="J26" s="154"/>
      <c r="K26" s="154">
        <f>D26*0.25*7.7+D26*0.3*4.3</f>
        <v>27.2</v>
      </c>
      <c r="L26" s="154">
        <f t="shared" si="4"/>
        <v>34.4</v>
      </c>
      <c r="M26" s="154">
        <f t="shared" si="35"/>
        <v>164.6</v>
      </c>
      <c r="N26" s="171">
        <v>0.41</v>
      </c>
      <c r="O26" s="154">
        <f t="shared" si="36"/>
        <v>67.5</v>
      </c>
      <c r="P26" s="154">
        <f t="shared" si="37"/>
        <v>232.1</v>
      </c>
      <c r="Q26" s="154">
        <f t="shared" si="38"/>
        <v>185.7</v>
      </c>
      <c r="R26" s="154">
        <f t="shared" si="39"/>
        <v>185.7</v>
      </c>
      <c r="S26" s="154">
        <f t="shared" si="40"/>
        <v>19.3</v>
      </c>
      <c r="T26" s="154">
        <f t="shared" si="41"/>
        <v>622.79999999999995</v>
      </c>
      <c r="U26" s="2247"/>
      <c r="V26" s="154">
        <f t="shared" si="5"/>
        <v>622.79999999999995</v>
      </c>
      <c r="W26" s="154">
        <f t="shared" si="33"/>
        <v>188.1</v>
      </c>
      <c r="X26" s="276">
        <v>1</v>
      </c>
      <c r="Y26" s="24">
        <v>30</v>
      </c>
      <c r="Z26" s="48">
        <f t="shared" si="43"/>
        <v>30</v>
      </c>
      <c r="AA26" s="54"/>
      <c r="AB26" s="24">
        <v>15</v>
      </c>
      <c r="AC26" s="48">
        <f t="shared" si="44"/>
        <v>0</v>
      </c>
      <c r="AD26" s="54"/>
      <c r="AE26" s="24">
        <v>30</v>
      </c>
      <c r="AF26" s="48">
        <f t="shared" si="45"/>
        <v>0</v>
      </c>
      <c r="AG26" s="276">
        <f t="shared" si="0"/>
        <v>9</v>
      </c>
      <c r="AH26" s="48">
        <f t="shared" si="1"/>
        <v>39</v>
      </c>
      <c r="AI26" s="34">
        <f t="shared" si="2"/>
        <v>51900</v>
      </c>
      <c r="AJ26" s="34"/>
      <c r="AK26" s="216">
        <f t="shared" si="3"/>
        <v>622.79999999999995</v>
      </c>
      <c r="AL26" s="216">
        <f t="shared" si="7"/>
        <v>230.8</v>
      </c>
      <c r="AM26" s="217">
        <v>0.30199999999999999</v>
      </c>
      <c r="AQ26" s="50">
        <f t="shared" si="11"/>
        <v>0</v>
      </c>
      <c r="AS26" s="66"/>
    </row>
    <row r="27" spans="1:45" ht="26.25" customHeight="1" x14ac:dyDescent="0.2">
      <c r="A27" s="276">
        <v>20</v>
      </c>
      <c r="B27" s="218" t="s">
        <v>53</v>
      </c>
      <c r="C27" s="49">
        <f>1-0.5</f>
        <v>0.5</v>
      </c>
      <c r="D27" s="177">
        <v>8.4730000000000008</v>
      </c>
      <c r="E27" s="171">
        <f t="shared" si="42"/>
        <v>4.24</v>
      </c>
      <c r="F27" s="154">
        <f t="shared" si="34"/>
        <v>50.9</v>
      </c>
      <c r="G27" s="154"/>
      <c r="H27" s="154"/>
      <c r="I27" s="154"/>
      <c r="J27" s="154"/>
      <c r="K27" s="154"/>
      <c r="L27" s="154">
        <f t="shared" si="4"/>
        <v>17.2</v>
      </c>
      <c r="M27" s="154">
        <f t="shared" si="35"/>
        <v>68.099999999999994</v>
      </c>
      <c r="N27" s="171">
        <v>0.41</v>
      </c>
      <c r="O27" s="154">
        <f t="shared" si="36"/>
        <v>27.9</v>
      </c>
      <c r="P27" s="154">
        <f t="shared" si="37"/>
        <v>96</v>
      </c>
      <c r="Q27" s="154">
        <f t="shared" si="38"/>
        <v>76.8</v>
      </c>
      <c r="R27" s="154">
        <f t="shared" si="39"/>
        <v>76.8</v>
      </c>
      <c r="S27" s="154">
        <f t="shared" si="40"/>
        <v>8</v>
      </c>
      <c r="T27" s="154">
        <f t="shared" si="41"/>
        <v>257.60000000000002</v>
      </c>
      <c r="U27" s="2247"/>
      <c r="V27" s="154">
        <f t="shared" si="5"/>
        <v>257.60000000000002</v>
      </c>
      <c r="W27" s="154">
        <f t="shared" si="33"/>
        <v>77.8</v>
      </c>
      <c r="X27" s="276"/>
      <c r="Y27" s="24">
        <v>30</v>
      </c>
      <c r="Z27" s="48">
        <f t="shared" si="43"/>
        <v>0</v>
      </c>
      <c r="AA27" s="54"/>
      <c r="AB27" s="24">
        <v>15</v>
      </c>
      <c r="AC27" s="48">
        <f t="shared" si="44"/>
        <v>0</v>
      </c>
      <c r="AD27" s="54"/>
      <c r="AE27" s="24">
        <v>30</v>
      </c>
      <c r="AF27" s="48">
        <f t="shared" si="45"/>
        <v>0</v>
      </c>
      <c r="AG27" s="276">
        <f t="shared" si="0"/>
        <v>0</v>
      </c>
      <c r="AH27" s="48">
        <f t="shared" si="1"/>
        <v>0</v>
      </c>
      <c r="AI27" s="34">
        <f t="shared" si="2"/>
        <v>42933.3</v>
      </c>
      <c r="AJ27" s="34"/>
      <c r="AK27" s="216">
        <f t="shared" si="3"/>
        <v>515.20000000000005</v>
      </c>
      <c r="AL27" s="216">
        <f t="shared" si="7"/>
        <v>211.2</v>
      </c>
      <c r="AM27" s="217">
        <v>0.30199999999999999</v>
      </c>
      <c r="AQ27" s="50">
        <f t="shared" si="11"/>
        <v>0</v>
      </c>
      <c r="AS27" s="66"/>
    </row>
    <row r="28" spans="1:45" x14ac:dyDescent="0.2">
      <c r="A28" s="276">
        <v>21</v>
      </c>
      <c r="B28" s="218" t="s">
        <v>54</v>
      </c>
      <c r="C28" s="54">
        <v>1</v>
      </c>
      <c r="D28" s="177">
        <v>11.061999999999999</v>
      </c>
      <c r="E28" s="171">
        <f t="shared" si="42"/>
        <v>11.06</v>
      </c>
      <c r="F28" s="154">
        <f t="shared" si="34"/>
        <v>132.69999999999999</v>
      </c>
      <c r="G28" s="154"/>
      <c r="H28" s="154">
        <v>3.2</v>
      </c>
      <c r="I28" s="154"/>
      <c r="J28" s="154">
        <f>F28*0.1</f>
        <v>13.3</v>
      </c>
      <c r="K28" s="154">
        <f>F28*0.3</f>
        <v>39.799999999999997</v>
      </c>
      <c r="L28" s="154">
        <f t="shared" si="4"/>
        <v>44.9</v>
      </c>
      <c r="M28" s="154">
        <f t="shared" si="35"/>
        <v>233.9</v>
      </c>
      <c r="N28" s="171">
        <v>0.43</v>
      </c>
      <c r="O28" s="154">
        <f t="shared" si="36"/>
        <v>100.6</v>
      </c>
      <c r="P28" s="154">
        <f t="shared" si="37"/>
        <v>334.5</v>
      </c>
      <c r="Q28" s="154">
        <f t="shared" si="38"/>
        <v>267.60000000000002</v>
      </c>
      <c r="R28" s="154">
        <f t="shared" si="39"/>
        <v>267.60000000000002</v>
      </c>
      <c r="S28" s="154">
        <f t="shared" si="40"/>
        <v>27.8</v>
      </c>
      <c r="T28" s="154">
        <f t="shared" si="41"/>
        <v>897.5</v>
      </c>
      <c r="U28" s="2247"/>
      <c r="V28" s="154">
        <f t="shared" si="5"/>
        <v>897.5</v>
      </c>
      <c r="W28" s="154">
        <f>AQ28</f>
        <v>270.2</v>
      </c>
      <c r="X28" s="276"/>
      <c r="Y28" s="24">
        <v>30</v>
      </c>
      <c r="Z28" s="48">
        <f t="shared" si="43"/>
        <v>0</v>
      </c>
      <c r="AA28" s="54"/>
      <c r="AB28" s="24">
        <v>15</v>
      </c>
      <c r="AC28" s="48">
        <f t="shared" si="44"/>
        <v>0</v>
      </c>
      <c r="AD28" s="54"/>
      <c r="AE28" s="24">
        <v>30</v>
      </c>
      <c r="AF28" s="48">
        <f t="shared" si="45"/>
        <v>0</v>
      </c>
      <c r="AG28" s="276">
        <f t="shared" si="0"/>
        <v>0</v>
      </c>
      <c r="AH28" s="48">
        <f>Z28+AC28+AF28+AG28</f>
        <v>0</v>
      </c>
      <c r="AI28" s="34">
        <f t="shared" si="2"/>
        <v>74791.7</v>
      </c>
      <c r="AJ28" s="34"/>
      <c r="AK28" s="216">
        <f t="shared" si="3"/>
        <v>897.5</v>
      </c>
      <c r="AL28" s="216">
        <f t="shared" si="7"/>
        <v>280.8</v>
      </c>
      <c r="AM28" s="217">
        <v>0.30199999999999999</v>
      </c>
      <c r="AN28" s="221">
        <f t="shared" ref="AN28" si="46">AK28*0.22</f>
        <v>197.5</v>
      </c>
      <c r="AO28" s="50">
        <f t="shared" ref="AO28:AO29" si="47">865*0.029</f>
        <v>25.1</v>
      </c>
      <c r="AP28" s="50">
        <f t="shared" ref="AP28" si="48">AK28*0.053</f>
        <v>47.6</v>
      </c>
      <c r="AQ28" s="50">
        <f t="shared" si="11"/>
        <v>270.2</v>
      </c>
      <c r="AS28" s="66"/>
    </row>
    <row r="29" spans="1:45" x14ac:dyDescent="0.2">
      <c r="A29" s="276">
        <v>22</v>
      </c>
      <c r="B29" s="218" t="s">
        <v>40</v>
      </c>
      <c r="C29" s="54">
        <v>2</v>
      </c>
      <c r="D29" s="177">
        <v>11.061999999999999</v>
      </c>
      <c r="E29" s="171">
        <f t="shared" si="42"/>
        <v>22.12</v>
      </c>
      <c r="F29" s="154">
        <f t="shared" si="34"/>
        <v>265.39999999999998</v>
      </c>
      <c r="G29" s="154"/>
      <c r="H29" s="154">
        <v>3.2</v>
      </c>
      <c r="I29" s="154"/>
      <c r="J29" s="154"/>
      <c r="K29" s="154">
        <f>D29*0.4*12+D29*0.35*12</f>
        <v>99.6</v>
      </c>
      <c r="L29" s="154">
        <f t="shared" si="4"/>
        <v>89.8</v>
      </c>
      <c r="M29" s="154">
        <f t="shared" si="35"/>
        <v>458</v>
      </c>
      <c r="N29" s="171">
        <v>0.43</v>
      </c>
      <c r="O29" s="154">
        <f t="shared" si="36"/>
        <v>196.9</v>
      </c>
      <c r="P29" s="154">
        <f t="shared" si="37"/>
        <v>654.9</v>
      </c>
      <c r="Q29" s="154">
        <f t="shared" si="38"/>
        <v>523.9</v>
      </c>
      <c r="R29" s="154">
        <f t="shared" si="39"/>
        <v>523.9</v>
      </c>
      <c r="S29" s="154">
        <f t="shared" si="40"/>
        <v>54.5</v>
      </c>
      <c r="T29" s="154">
        <f t="shared" si="41"/>
        <v>1757.2</v>
      </c>
      <c r="U29" s="2247"/>
      <c r="V29" s="154">
        <f t="shared" si="5"/>
        <v>1757.2</v>
      </c>
      <c r="W29" s="154">
        <f>AQ29*C29</f>
        <v>530</v>
      </c>
      <c r="X29" s="276">
        <v>1</v>
      </c>
      <c r="Y29" s="24">
        <v>30</v>
      </c>
      <c r="Z29" s="48">
        <f t="shared" si="43"/>
        <v>30</v>
      </c>
      <c r="AA29" s="54">
        <v>2</v>
      </c>
      <c r="AB29" s="24">
        <v>15</v>
      </c>
      <c r="AC29" s="48">
        <f t="shared" si="44"/>
        <v>30</v>
      </c>
      <c r="AD29" s="54"/>
      <c r="AE29" s="24">
        <v>30</v>
      </c>
      <c r="AF29" s="48">
        <f t="shared" si="45"/>
        <v>0</v>
      </c>
      <c r="AG29" s="276">
        <f t="shared" si="0"/>
        <v>18</v>
      </c>
      <c r="AH29" s="48">
        <f t="shared" ref="AH29:AH41" si="49">Z29+AC29+AF29+AG29</f>
        <v>78</v>
      </c>
      <c r="AI29" s="34">
        <f t="shared" si="2"/>
        <v>73216.7</v>
      </c>
      <c r="AJ29" s="34"/>
      <c r="AK29" s="216">
        <f t="shared" si="3"/>
        <v>878.6</v>
      </c>
      <c r="AL29" s="216">
        <f t="shared" si="7"/>
        <v>277.39999999999998</v>
      </c>
      <c r="AM29" s="217">
        <v>0.30199999999999999</v>
      </c>
      <c r="AN29" s="221">
        <f t="shared" ref="AN29" si="50">AK29*0.22</f>
        <v>193.3</v>
      </c>
      <c r="AO29" s="50">
        <f t="shared" si="47"/>
        <v>25.1</v>
      </c>
      <c r="AP29" s="50">
        <f t="shared" ref="AP29" si="51">AK29*0.053</f>
        <v>46.6</v>
      </c>
      <c r="AQ29" s="50">
        <f t="shared" si="11"/>
        <v>265</v>
      </c>
      <c r="AS29" s="66"/>
    </row>
    <row r="30" spans="1:45" x14ac:dyDescent="0.2">
      <c r="A30" s="276">
        <v>23</v>
      </c>
      <c r="B30" s="218" t="s">
        <v>55</v>
      </c>
      <c r="C30" s="54">
        <v>1</v>
      </c>
      <c r="D30" s="213">
        <v>8.4730000000000008</v>
      </c>
      <c r="E30" s="171">
        <f t="shared" si="42"/>
        <v>8.4700000000000006</v>
      </c>
      <c r="F30" s="154">
        <f t="shared" si="34"/>
        <v>101.6</v>
      </c>
      <c r="G30" s="154"/>
      <c r="H30" s="154">
        <v>2.1</v>
      </c>
      <c r="I30" s="154"/>
      <c r="J30" s="154">
        <f>F30*0.1</f>
        <v>10.199999999999999</v>
      </c>
      <c r="K30" s="154">
        <f>D30*0.3*12</f>
        <v>30.5</v>
      </c>
      <c r="L30" s="154">
        <f t="shared" si="4"/>
        <v>34.4</v>
      </c>
      <c r="M30" s="154">
        <f t="shared" si="35"/>
        <v>178.8</v>
      </c>
      <c r="N30" s="171">
        <v>0.41</v>
      </c>
      <c r="O30" s="154">
        <f t="shared" si="36"/>
        <v>73.3</v>
      </c>
      <c r="P30" s="154">
        <f t="shared" si="37"/>
        <v>252.1</v>
      </c>
      <c r="Q30" s="154">
        <f t="shared" si="38"/>
        <v>201.7</v>
      </c>
      <c r="R30" s="154">
        <f t="shared" si="39"/>
        <v>201.7</v>
      </c>
      <c r="S30" s="154">
        <f t="shared" si="40"/>
        <v>21</v>
      </c>
      <c r="T30" s="154">
        <f t="shared" si="41"/>
        <v>676.5</v>
      </c>
      <c r="U30" s="2247"/>
      <c r="V30" s="154">
        <f t="shared" si="5"/>
        <v>676.5</v>
      </c>
      <c r="W30" s="154">
        <f t="shared" si="33"/>
        <v>204.3</v>
      </c>
      <c r="X30" s="276">
        <v>1</v>
      </c>
      <c r="Y30" s="24">
        <v>30</v>
      </c>
      <c r="Z30" s="48">
        <f t="shared" si="43"/>
        <v>30</v>
      </c>
      <c r="AA30" s="54">
        <v>1</v>
      </c>
      <c r="AB30" s="24">
        <v>15</v>
      </c>
      <c r="AC30" s="48">
        <f t="shared" si="44"/>
        <v>15</v>
      </c>
      <c r="AD30" s="54">
        <v>1</v>
      </c>
      <c r="AE30" s="24">
        <v>30</v>
      </c>
      <c r="AF30" s="48">
        <f t="shared" si="45"/>
        <v>30</v>
      </c>
      <c r="AG30" s="276">
        <f t="shared" si="0"/>
        <v>22.5</v>
      </c>
      <c r="AH30" s="48">
        <f t="shared" si="49"/>
        <v>97.5</v>
      </c>
      <c r="AI30" s="34">
        <f t="shared" si="2"/>
        <v>56375</v>
      </c>
      <c r="AJ30" s="34"/>
      <c r="AK30" s="216">
        <f t="shared" si="3"/>
        <v>676.5</v>
      </c>
      <c r="AL30" s="216">
        <f t="shared" si="7"/>
        <v>240.6</v>
      </c>
      <c r="AM30" s="217">
        <f>AL30/AK30</f>
        <v>0.35599999999999998</v>
      </c>
      <c r="AN30" s="222"/>
      <c r="AO30" s="50"/>
      <c r="AP30" s="50"/>
      <c r="AQ30" s="50">
        <f t="shared" si="11"/>
        <v>0</v>
      </c>
      <c r="AS30" s="66"/>
    </row>
    <row r="31" spans="1:45" x14ac:dyDescent="0.2">
      <c r="A31" s="276">
        <v>24</v>
      </c>
      <c r="B31" s="218" t="s">
        <v>29</v>
      </c>
      <c r="C31" s="54">
        <v>3</v>
      </c>
      <c r="D31" s="213">
        <v>8.4730000000000008</v>
      </c>
      <c r="E31" s="171">
        <f t="shared" si="42"/>
        <v>25.42</v>
      </c>
      <c r="F31" s="154">
        <f t="shared" si="34"/>
        <v>305</v>
      </c>
      <c r="G31" s="154"/>
      <c r="H31" s="154">
        <v>61.7</v>
      </c>
      <c r="I31" s="154"/>
      <c r="J31" s="154"/>
      <c r="K31" s="154">
        <f>D31*0.3*12+D31*0.05*2</f>
        <v>31.4</v>
      </c>
      <c r="L31" s="154">
        <f t="shared" si="4"/>
        <v>103.2</v>
      </c>
      <c r="M31" s="154">
        <f t="shared" si="35"/>
        <v>501.3</v>
      </c>
      <c r="N31" s="171">
        <v>0.41</v>
      </c>
      <c r="O31" s="154">
        <f t="shared" si="36"/>
        <v>205.5</v>
      </c>
      <c r="P31" s="154">
        <f t="shared" si="37"/>
        <v>706.8</v>
      </c>
      <c r="Q31" s="154">
        <f t="shared" si="38"/>
        <v>565.4</v>
      </c>
      <c r="R31" s="154">
        <f t="shared" si="39"/>
        <v>565.4</v>
      </c>
      <c r="S31" s="154">
        <f t="shared" si="40"/>
        <v>58.8</v>
      </c>
      <c r="T31" s="154">
        <f t="shared" si="41"/>
        <v>1896.4</v>
      </c>
      <c r="U31" s="2247"/>
      <c r="V31" s="154">
        <f t="shared" si="5"/>
        <v>1896.4</v>
      </c>
      <c r="W31" s="154">
        <f t="shared" si="33"/>
        <v>572.70000000000005</v>
      </c>
      <c r="X31" s="276">
        <v>1</v>
      </c>
      <c r="Y31" s="24">
        <v>30</v>
      </c>
      <c r="Z31" s="48">
        <f t="shared" si="43"/>
        <v>30</v>
      </c>
      <c r="AA31" s="54">
        <v>3</v>
      </c>
      <c r="AB31" s="24">
        <v>15</v>
      </c>
      <c r="AC31" s="48">
        <f t="shared" si="44"/>
        <v>45</v>
      </c>
      <c r="AD31" s="54"/>
      <c r="AE31" s="24">
        <v>30</v>
      </c>
      <c r="AF31" s="48">
        <f t="shared" si="45"/>
        <v>0</v>
      </c>
      <c r="AG31" s="276">
        <f t="shared" si="0"/>
        <v>22.5</v>
      </c>
      <c r="AH31" s="48">
        <f t="shared" si="49"/>
        <v>97.5</v>
      </c>
      <c r="AI31" s="34">
        <f t="shared" si="2"/>
        <v>52677.8</v>
      </c>
      <c r="AJ31" s="34"/>
      <c r="AK31" s="216">
        <f t="shared" si="3"/>
        <v>632.1</v>
      </c>
      <c r="AL31" s="216">
        <f t="shared" si="7"/>
        <v>232.5</v>
      </c>
      <c r="AM31" s="217">
        <v>0.30199999999999999</v>
      </c>
      <c r="AN31" s="223"/>
      <c r="AO31" s="62"/>
      <c r="AP31" s="62"/>
      <c r="AQ31" s="50">
        <f t="shared" si="11"/>
        <v>0</v>
      </c>
      <c r="AS31" s="66"/>
    </row>
    <row r="32" spans="1:45" ht="13.5" customHeight="1" x14ac:dyDescent="0.2">
      <c r="A32" s="276">
        <v>25</v>
      </c>
      <c r="B32" s="218" t="s">
        <v>42</v>
      </c>
      <c r="C32" s="54">
        <v>1</v>
      </c>
      <c r="D32" s="177">
        <v>11.061999999999999</v>
      </c>
      <c r="E32" s="171">
        <f t="shared" si="42"/>
        <v>11.06</v>
      </c>
      <c r="F32" s="154">
        <f t="shared" si="34"/>
        <v>132.69999999999999</v>
      </c>
      <c r="G32" s="154"/>
      <c r="H32" s="154">
        <v>4.8</v>
      </c>
      <c r="I32" s="154"/>
      <c r="J32" s="154">
        <f>F32*0.1</f>
        <v>13.3</v>
      </c>
      <c r="K32" s="154">
        <f>D32*0.25*12</f>
        <v>33.200000000000003</v>
      </c>
      <c r="L32" s="154">
        <f t="shared" si="4"/>
        <v>44.9</v>
      </c>
      <c r="M32" s="154">
        <f t="shared" si="35"/>
        <v>228.9</v>
      </c>
      <c r="N32" s="171">
        <v>0.43</v>
      </c>
      <c r="O32" s="154">
        <f t="shared" si="36"/>
        <v>98.4</v>
      </c>
      <c r="P32" s="154">
        <f t="shared" si="37"/>
        <v>327.3</v>
      </c>
      <c r="Q32" s="154">
        <f t="shared" si="38"/>
        <v>261.8</v>
      </c>
      <c r="R32" s="154">
        <f t="shared" si="39"/>
        <v>261.8</v>
      </c>
      <c r="S32" s="154">
        <f t="shared" si="40"/>
        <v>27.2</v>
      </c>
      <c r="T32" s="154">
        <f t="shared" si="41"/>
        <v>878.1</v>
      </c>
      <c r="U32" s="2247"/>
      <c r="V32" s="154">
        <f t="shared" si="5"/>
        <v>878.1</v>
      </c>
      <c r="W32" s="154">
        <f>AQ32</f>
        <v>264.8</v>
      </c>
      <c r="X32" s="276"/>
      <c r="Y32" s="24">
        <v>30</v>
      </c>
      <c r="Z32" s="48">
        <f t="shared" si="43"/>
        <v>0</v>
      </c>
      <c r="AA32" s="54"/>
      <c r="AB32" s="24">
        <v>15</v>
      </c>
      <c r="AC32" s="48">
        <f t="shared" si="44"/>
        <v>0</v>
      </c>
      <c r="AD32" s="54"/>
      <c r="AE32" s="24">
        <v>30</v>
      </c>
      <c r="AF32" s="48">
        <f t="shared" si="45"/>
        <v>0</v>
      </c>
      <c r="AG32" s="276">
        <f t="shared" si="0"/>
        <v>0</v>
      </c>
      <c r="AH32" s="48">
        <f t="shared" si="49"/>
        <v>0</v>
      </c>
      <c r="AI32" s="34">
        <f t="shared" si="2"/>
        <v>73175</v>
      </c>
      <c r="AJ32" s="34"/>
      <c r="AK32" s="216">
        <f t="shared" si="3"/>
        <v>878.1</v>
      </c>
      <c r="AL32" s="216">
        <f t="shared" si="7"/>
        <v>277.3</v>
      </c>
      <c r="AM32" s="217">
        <v>0.30199999999999999</v>
      </c>
      <c r="AN32" s="221">
        <f t="shared" ref="AN32" si="52">AK32*0.22</f>
        <v>193.2</v>
      </c>
      <c r="AO32" s="50">
        <f t="shared" ref="AO32" si="53">865*0.029</f>
        <v>25.1</v>
      </c>
      <c r="AP32" s="50">
        <f t="shared" ref="AP32" si="54">AK32*0.053</f>
        <v>46.5</v>
      </c>
      <c r="AQ32" s="50">
        <f t="shared" ref="AQ32" si="55">SUM(AN32:AP32)</f>
        <v>264.8</v>
      </c>
      <c r="AS32" s="66"/>
    </row>
    <row r="33" spans="1:45" ht="25.5" x14ac:dyDescent="0.2">
      <c r="A33" s="276">
        <v>26</v>
      </c>
      <c r="B33" s="218" t="s">
        <v>108</v>
      </c>
      <c r="C33" s="54">
        <v>4</v>
      </c>
      <c r="D33" s="177">
        <v>8.4730000000000008</v>
      </c>
      <c r="E33" s="171">
        <f t="shared" si="42"/>
        <v>33.89</v>
      </c>
      <c r="F33" s="154">
        <f t="shared" si="34"/>
        <v>406.7</v>
      </c>
      <c r="G33" s="154"/>
      <c r="H33" s="154">
        <v>1.2</v>
      </c>
      <c r="I33" s="154"/>
      <c r="J33" s="154"/>
      <c r="K33" s="154">
        <f>D33*0.4*12+D33*0.35*12</f>
        <v>76.3</v>
      </c>
      <c r="L33" s="154">
        <f t="shared" si="4"/>
        <v>137.6</v>
      </c>
      <c r="M33" s="154">
        <f t="shared" si="35"/>
        <v>621.79999999999995</v>
      </c>
      <c r="N33" s="171">
        <v>0.47</v>
      </c>
      <c r="O33" s="154">
        <f t="shared" si="36"/>
        <v>292.2</v>
      </c>
      <c r="P33" s="154">
        <f t="shared" si="37"/>
        <v>914</v>
      </c>
      <c r="Q33" s="154">
        <f t="shared" si="38"/>
        <v>731.2</v>
      </c>
      <c r="R33" s="154">
        <f t="shared" si="39"/>
        <v>731.2</v>
      </c>
      <c r="S33" s="154">
        <f t="shared" si="40"/>
        <v>76</v>
      </c>
      <c r="T33" s="154">
        <f t="shared" si="41"/>
        <v>2452.4</v>
      </c>
      <c r="U33" s="2247"/>
      <c r="V33" s="154">
        <f t="shared" si="5"/>
        <v>2452.4</v>
      </c>
      <c r="W33" s="154">
        <f t="shared" si="33"/>
        <v>740.6</v>
      </c>
      <c r="X33" s="276">
        <v>1</v>
      </c>
      <c r="Y33" s="24">
        <v>30</v>
      </c>
      <c r="Z33" s="48">
        <f t="shared" si="43"/>
        <v>30</v>
      </c>
      <c r="AA33" s="54">
        <v>1</v>
      </c>
      <c r="AB33" s="24">
        <v>15</v>
      </c>
      <c r="AC33" s="48">
        <f t="shared" si="44"/>
        <v>15</v>
      </c>
      <c r="AD33" s="54"/>
      <c r="AE33" s="24">
        <v>30</v>
      </c>
      <c r="AF33" s="48">
        <f t="shared" si="45"/>
        <v>0</v>
      </c>
      <c r="AG33" s="276">
        <f t="shared" si="0"/>
        <v>13.5</v>
      </c>
      <c r="AH33" s="48">
        <f t="shared" si="49"/>
        <v>58.5</v>
      </c>
      <c r="AI33" s="34">
        <f t="shared" si="2"/>
        <v>51091.7</v>
      </c>
      <c r="AJ33" s="34"/>
      <c r="AK33" s="216">
        <f t="shared" si="3"/>
        <v>613.1</v>
      </c>
      <c r="AL33" s="216">
        <f t="shared" si="7"/>
        <v>229.1</v>
      </c>
      <c r="AM33" s="217">
        <v>0.30199999999999999</v>
      </c>
      <c r="AN33" s="223"/>
      <c r="AO33" s="62"/>
      <c r="AP33" s="62"/>
      <c r="AQ33" s="50">
        <f t="shared" si="11"/>
        <v>0</v>
      </c>
      <c r="AS33" s="66"/>
    </row>
    <row r="34" spans="1:45" ht="13.5" customHeight="1" x14ac:dyDescent="0.2">
      <c r="A34" s="276">
        <v>27</v>
      </c>
      <c r="B34" s="218" t="s">
        <v>56</v>
      </c>
      <c r="C34" s="57">
        <v>2</v>
      </c>
      <c r="D34" s="177">
        <v>11.061999999999999</v>
      </c>
      <c r="E34" s="171">
        <f t="shared" si="42"/>
        <v>22.12</v>
      </c>
      <c r="F34" s="154">
        <f t="shared" si="34"/>
        <v>265.39999999999998</v>
      </c>
      <c r="G34" s="154"/>
      <c r="H34" s="154">
        <v>1.1000000000000001</v>
      </c>
      <c r="I34" s="154"/>
      <c r="J34" s="154">
        <f>D34*0.1*2*12</f>
        <v>26.5</v>
      </c>
      <c r="K34" s="154">
        <f>D34*0.4*12+D34*0.25*12</f>
        <v>86.3</v>
      </c>
      <c r="L34" s="154">
        <f t="shared" si="4"/>
        <v>89.8</v>
      </c>
      <c r="M34" s="154">
        <f t="shared" si="35"/>
        <v>469.1</v>
      </c>
      <c r="N34" s="171">
        <v>0.43</v>
      </c>
      <c r="O34" s="154">
        <f t="shared" si="36"/>
        <v>201.7</v>
      </c>
      <c r="P34" s="154">
        <f t="shared" si="37"/>
        <v>670.8</v>
      </c>
      <c r="Q34" s="154">
        <f t="shared" si="38"/>
        <v>536.6</v>
      </c>
      <c r="R34" s="154">
        <f t="shared" si="39"/>
        <v>536.6</v>
      </c>
      <c r="S34" s="154">
        <f t="shared" si="40"/>
        <v>55.8</v>
      </c>
      <c r="T34" s="154">
        <f t="shared" si="41"/>
        <v>1799.8</v>
      </c>
      <c r="U34" s="2247"/>
      <c r="V34" s="154">
        <f t="shared" si="5"/>
        <v>1799.8</v>
      </c>
      <c r="W34" s="154">
        <f>AQ34*C34</f>
        <v>541.6</v>
      </c>
      <c r="X34" s="276">
        <v>2</v>
      </c>
      <c r="Y34" s="24">
        <v>30</v>
      </c>
      <c r="Z34" s="48">
        <f t="shared" si="43"/>
        <v>60</v>
      </c>
      <c r="AA34" s="54">
        <v>2</v>
      </c>
      <c r="AB34" s="24">
        <v>15</v>
      </c>
      <c r="AC34" s="48">
        <f t="shared" si="44"/>
        <v>30</v>
      </c>
      <c r="AD34" s="54"/>
      <c r="AE34" s="24">
        <v>30</v>
      </c>
      <c r="AF34" s="48">
        <f t="shared" si="45"/>
        <v>0</v>
      </c>
      <c r="AG34" s="276">
        <f t="shared" si="0"/>
        <v>27</v>
      </c>
      <c r="AH34" s="48">
        <f t="shared" si="49"/>
        <v>117</v>
      </c>
      <c r="AI34" s="34">
        <f t="shared" si="2"/>
        <v>74991.7</v>
      </c>
      <c r="AJ34" s="34"/>
      <c r="AK34" s="216">
        <f t="shared" si="3"/>
        <v>899.9</v>
      </c>
      <c r="AL34" s="216">
        <f t="shared" si="7"/>
        <v>281.3</v>
      </c>
      <c r="AM34" s="217">
        <v>0.30199999999999999</v>
      </c>
      <c r="AN34" s="221">
        <f t="shared" ref="AN34" si="56">AK34*0.22</f>
        <v>198</v>
      </c>
      <c r="AO34" s="50">
        <f t="shared" ref="AO34" si="57">865*0.029</f>
        <v>25.1</v>
      </c>
      <c r="AP34" s="50">
        <f t="shared" ref="AP34" si="58">AK34*0.053</f>
        <v>47.7</v>
      </c>
      <c r="AQ34" s="50">
        <f t="shared" ref="AQ34" si="59">SUM(AN34:AP34)</f>
        <v>270.8</v>
      </c>
      <c r="AS34" s="66"/>
    </row>
    <row r="35" spans="1:45" ht="25.5" x14ac:dyDescent="0.2">
      <c r="A35" s="276">
        <v>28</v>
      </c>
      <c r="B35" s="218" t="s">
        <v>101</v>
      </c>
      <c r="C35" s="57">
        <v>1</v>
      </c>
      <c r="D35" s="177">
        <v>11.061999999999999</v>
      </c>
      <c r="E35" s="171">
        <f>C35*D35</f>
        <v>11.06</v>
      </c>
      <c r="F35" s="154">
        <f t="shared" si="34"/>
        <v>132.69999999999999</v>
      </c>
      <c r="G35" s="154"/>
      <c r="H35" s="154">
        <v>4.8</v>
      </c>
      <c r="I35" s="154"/>
      <c r="J35" s="154"/>
      <c r="K35" s="154">
        <f>D35*0.25*12</f>
        <v>33.200000000000003</v>
      </c>
      <c r="L35" s="154">
        <f t="shared" si="4"/>
        <v>44.9</v>
      </c>
      <c r="M35" s="154">
        <f t="shared" si="35"/>
        <v>215.6</v>
      </c>
      <c r="N35" s="171">
        <v>0.43</v>
      </c>
      <c r="O35" s="154">
        <f t="shared" si="36"/>
        <v>92.7</v>
      </c>
      <c r="P35" s="154">
        <f t="shared" si="37"/>
        <v>308.3</v>
      </c>
      <c r="Q35" s="154">
        <f t="shared" si="38"/>
        <v>246.6</v>
      </c>
      <c r="R35" s="154">
        <f t="shared" si="39"/>
        <v>246.6</v>
      </c>
      <c r="S35" s="154">
        <f t="shared" si="40"/>
        <v>25.6</v>
      </c>
      <c r="T35" s="154">
        <f t="shared" si="41"/>
        <v>827.1</v>
      </c>
      <c r="U35" s="2247"/>
      <c r="V35" s="154">
        <f t="shared" si="5"/>
        <v>827.1</v>
      </c>
      <c r="W35" s="154">
        <f t="shared" si="33"/>
        <v>249.8</v>
      </c>
      <c r="X35" s="276">
        <v>1</v>
      </c>
      <c r="Y35" s="24">
        <v>30</v>
      </c>
      <c r="Z35" s="48">
        <f t="shared" si="43"/>
        <v>30</v>
      </c>
      <c r="AA35" s="54"/>
      <c r="AB35" s="24">
        <v>15</v>
      </c>
      <c r="AC35" s="48">
        <f t="shared" si="44"/>
        <v>0</v>
      </c>
      <c r="AD35" s="54"/>
      <c r="AE35" s="24">
        <v>30</v>
      </c>
      <c r="AF35" s="48">
        <f t="shared" si="45"/>
        <v>0</v>
      </c>
      <c r="AG35" s="276">
        <f t="shared" si="0"/>
        <v>9</v>
      </c>
      <c r="AH35" s="48">
        <f t="shared" si="49"/>
        <v>39</v>
      </c>
      <c r="AI35" s="34">
        <f t="shared" si="2"/>
        <v>68925</v>
      </c>
      <c r="AJ35" s="34"/>
      <c r="AK35" s="216">
        <f t="shared" si="3"/>
        <v>827.1</v>
      </c>
      <c r="AL35" s="216">
        <f t="shared" si="7"/>
        <v>268</v>
      </c>
      <c r="AM35" s="217">
        <v>0.30199999999999999</v>
      </c>
      <c r="AN35" s="62"/>
      <c r="AO35" s="62"/>
      <c r="AP35" s="62"/>
      <c r="AQ35" s="50">
        <f t="shared" si="11"/>
        <v>0</v>
      </c>
      <c r="AS35" s="66"/>
    </row>
    <row r="36" spans="1:45" x14ac:dyDescent="0.2">
      <c r="A36" s="276">
        <v>29</v>
      </c>
      <c r="B36" s="218" t="s">
        <v>33</v>
      </c>
      <c r="C36" s="57">
        <v>1</v>
      </c>
      <c r="D36" s="177">
        <v>8.4730000000000008</v>
      </c>
      <c r="E36" s="171">
        <f>C36*D36</f>
        <v>8.4700000000000006</v>
      </c>
      <c r="F36" s="154">
        <f t="shared" si="34"/>
        <v>101.6</v>
      </c>
      <c r="G36" s="154"/>
      <c r="H36" s="154">
        <v>2.9</v>
      </c>
      <c r="I36" s="154"/>
      <c r="J36" s="154"/>
      <c r="K36" s="154"/>
      <c r="L36" s="154">
        <f t="shared" si="4"/>
        <v>34.4</v>
      </c>
      <c r="M36" s="154">
        <f t="shared" si="35"/>
        <v>138.9</v>
      </c>
      <c r="N36" s="171">
        <v>0.41</v>
      </c>
      <c r="O36" s="154">
        <f t="shared" si="36"/>
        <v>56.9</v>
      </c>
      <c r="P36" s="154">
        <f t="shared" si="37"/>
        <v>195.8</v>
      </c>
      <c r="Q36" s="154">
        <f t="shared" si="38"/>
        <v>156.6</v>
      </c>
      <c r="R36" s="154">
        <f t="shared" si="39"/>
        <v>156.6</v>
      </c>
      <c r="S36" s="154">
        <f t="shared" si="40"/>
        <v>16.3</v>
      </c>
      <c r="T36" s="154">
        <f t="shared" si="41"/>
        <v>525.29999999999995</v>
      </c>
      <c r="U36" s="2247"/>
      <c r="V36" s="154">
        <f t="shared" si="5"/>
        <v>525.29999999999995</v>
      </c>
      <c r="W36" s="154">
        <f t="shared" si="33"/>
        <v>158.6</v>
      </c>
      <c r="X36" s="276"/>
      <c r="Y36" s="24">
        <v>30</v>
      </c>
      <c r="Z36" s="48">
        <f t="shared" si="43"/>
        <v>0</v>
      </c>
      <c r="AA36" s="54"/>
      <c r="AB36" s="24">
        <v>15</v>
      </c>
      <c r="AC36" s="48">
        <f t="shared" si="44"/>
        <v>0</v>
      </c>
      <c r="AD36" s="54"/>
      <c r="AE36" s="24">
        <v>30</v>
      </c>
      <c r="AF36" s="48">
        <f t="shared" si="45"/>
        <v>0</v>
      </c>
      <c r="AG36" s="276">
        <f t="shared" si="0"/>
        <v>0</v>
      </c>
      <c r="AH36" s="48">
        <f t="shared" si="49"/>
        <v>0</v>
      </c>
      <c r="AI36" s="34">
        <f t="shared" si="2"/>
        <v>43775</v>
      </c>
      <c r="AJ36" s="34"/>
      <c r="AK36" s="216">
        <f t="shared" si="3"/>
        <v>525.29999999999995</v>
      </c>
      <c r="AL36" s="216">
        <f t="shared" si="7"/>
        <v>213.1</v>
      </c>
      <c r="AM36" s="217">
        <v>0.30199999999999999</v>
      </c>
      <c r="AN36" s="76"/>
      <c r="AO36" s="76"/>
      <c r="AP36" s="76"/>
      <c r="AQ36" s="50">
        <f t="shared" si="11"/>
        <v>0</v>
      </c>
      <c r="AS36" s="66"/>
    </row>
    <row r="37" spans="1:45" ht="25.5" x14ac:dyDescent="0.2">
      <c r="A37" s="276">
        <v>30</v>
      </c>
      <c r="B37" s="218" t="s">
        <v>130</v>
      </c>
      <c r="C37" s="57">
        <v>1</v>
      </c>
      <c r="D37" s="177">
        <v>8.4730000000000008</v>
      </c>
      <c r="E37" s="171">
        <f t="shared" ref="E37" si="60">C37*D37</f>
        <v>8.4700000000000006</v>
      </c>
      <c r="F37" s="154">
        <f>E37*12</f>
        <v>101.6</v>
      </c>
      <c r="G37" s="154"/>
      <c r="H37" s="154"/>
      <c r="I37" s="154"/>
      <c r="J37" s="154"/>
      <c r="K37" s="154"/>
      <c r="L37" s="154">
        <f t="shared" si="4"/>
        <v>34.4</v>
      </c>
      <c r="M37" s="154">
        <f t="shared" ref="M37" si="61">F37+G37+H37+I37+J37+K37+L37</f>
        <v>136</v>
      </c>
      <c r="N37" s="171">
        <v>0.47</v>
      </c>
      <c r="O37" s="154">
        <f t="shared" ref="O37" si="62">M37*N37</f>
        <v>63.9</v>
      </c>
      <c r="P37" s="154">
        <f t="shared" ref="P37" si="63">M37+O37</f>
        <v>199.9</v>
      </c>
      <c r="Q37" s="154">
        <f t="shared" ref="Q37" si="64">P37*0.8</f>
        <v>159.9</v>
      </c>
      <c r="R37" s="154">
        <f t="shared" ref="R37" si="65">P37*0.8</f>
        <v>159.9</v>
      </c>
      <c r="S37" s="154">
        <f t="shared" ref="S37" si="66">(P37+Q37+R37)*0.032</f>
        <v>16.600000000000001</v>
      </c>
      <c r="T37" s="154">
        <f t="shared" ref="T37" si="67">P37+Q37+R37+S37</f>
        <v>536.29999999999995</v>
      </c>
      <c r="U37" s="2247"/>
      <c r="V37" s="154">
        <f t="shared" si="5"/>
        <v>536.29999999999995</v>
      </c>
      <c r="W37" s="154">
        <f t="shared" si="33"/>
        <v>162</v>
      </c>
      <c r="X37" s="276"/>
      <c r="Y37" s="24">
        <v>30</v>
      </c>
      <c r="Z37" s="48">
        <f t="shared" ref="Z37" si="68">X37*Y37</f>
        <v>0</v>
      </c>
      <c r="AA37" s="54"/>
      <c r="AB37" s="24">
        <v>15</v>
      </c>
      <c r="AC37" s="48">
        <f t="shared" ref="AC37" si="69">AA37*AB37</f>
        <v>0</v>
      </c>
      <c r="AD37" s="54"/>
      <c r="AE37" s="24">
        <v>30</v>
      </c>
      <c r="AF37" s="48">
        <f t="shared" ref="AF37" si="70">AD37*AE37</f>
        <v>0</v>
      </c>
      <c r="AG37" s="276">
        <f t="shared" si="0"/>
        <v>0</v>
      </c>
      <c r="AH37" s="48">
        <f t="shared" ref="AH37" si="71">Z37+AC37+AF37+AG37</f>
        <v>0</v>
      </c>
      <c r="AI37" s="34">
        <f>V37/11/C37*1000</f>
        <v>48754.5</v>
      </c>
      <c r="AJ37" s="34"/>
      <c r="AK37" s="216">
        <f t="shared" si="3"/>
        <v>536.29999999999995</v>
      </c>
      <c r="AL37" s="216">
        <f t="shared" ref="AL37" si="72">((979*0.302)+((AK37-979)*0.182))</f>
        <v>215.1</v>
      </c>
      <c r="AM37" s="217">
        <v>0.30199999999999999</v>
      </c>
      <c r="AN37" s="62"/>
      <c r="AO37" s="62"/>
      <c r="AP37" s="62"/>
      <c r="AQ37" s="50">
        <f t="shared" si="11"/>
        <v>0</v>
      </c>
      <c r="AS37" s="66"/>
    </row>
    <row r="38" spans="1:45" ht="25.5" x14ac:dyDescent="0.2">
      <c r="A38" s="276">
        <v>31</v>
      </c>
      <c r="B38" s="218" t="s">
        <v>109</v>
      </c>
      <c r="C38" s="57">
        <v>1</v>
      </c>
      <c r="D38" s="177">
        <v>4.4569999999999999</v>
      </c>
      <c r="E38" s="171">
        <f t="shared" si="42"/>
        <v>4.46</v>
      </c>
      <c r="F38" s="154">
        <f t="shared" si="34"/>
        <v>53.5</v>
      </c>
      <c r="G38" s="154"/>
      <c r="H38" s="154">
        <v>1.7</v>
      </c>
      <c r="I38" s="154"/>
      <c r="J38" s="154"/>
      <c r="K38" s="154"/>
      <c r="L38" s="154">
        <v>26</v>
      </c>
      <c r="M38" s="154">
        <f t="shared" si="35"/>
        <v>81.2</v>
      </c>
      <c r="N38" s="171">
        <v>0.61</v>
      </c>
      <c r="O38" s="154">
        <f t="shared" si="36"/>
        <v>49.5</v>
      </c>
      <c r="P38" s="154">
        <f t="shared" si="37"/>
        <v>130.69999999999999</v>
      </c>
      <c r="Q38" s="154">
        <f t="shared" si="38"/>
        <v>104.6</v>
      </c>
      <c r="R38" s="154">
        <f t="shared" si="39"/>
        <v>104.6</v>
      </c>
      <c r="S38" s="154">
        <f t="shared" si="40"/>
        <v>10.9</v>
      </c>
      <c r="T38" s="154">
        <f t="shared" si="41"/>
        <v>350.8</v>
      </c>
      <c r="U38" s="2247"/>
      <c r="V38" s="154">
        <f t="shared" si="5"/>
        <v>350.8</v>
      </c>
      <c r="W38" s="154">
        <f t="shared" si="33"/>
        <v>105.9</v>
      </c>
      <c r="X38" s="276">
        <v>1</v>
      </c>
      <c r="Y38" s="24">
        <v>30</v>
      </c>
      <c r="Z38" s="48">
        <f t="shared" si="43"/>
        <v>30</v>
      </c>
      <c r="AA38" s="276">
        <v>1</v>
      </c>
      <c r="AB38" s="24">
        <v>15</v>
      </c>
      <c r="AC38" s="48">
        <f t="shared" si="44"/>
        <v>15</v>
      </c>
      <c r="AD38" s="276"/>
      <c r="AE38" s="24">
        <v>30</v>
      </c>
      <c r="AF38" s="48">
        <f t="shared" si="45"/>
        <v>0</v>
      </c>
      <c r="AG38" s="276">
        <f t="shared" si="0"/>
        <v>13.5</v>
      </c>
      <c r="AH38" s="48">
        <f t="shared" si="49"/>
        <v>58.5</v>
      </c>
      <c r="AI38" s="34">
        <f>V38/12/C38*1000</f>
        <v>29233.3</v>
      </c>
      <c r="AJ38" s="34"/>
      <c r="AK38" s="216">
        <f t="shared" si="3"/>
        <v>350.8</v>
      </c>
      <c r="AL38" s="216">
        <f t="shared" si="7"/>
        <v>181.3</v>
      </c>
      <c r="AM38" s="217">
        <v>0.30199999999999999</v>
      </c>
      <c r="AN38" s="76"/>
      <c r="AO38" s="76"/>
      <c r="AP38" s="76"/>
      <c r="AQ38" s="50">
        <f t="shared" si="11"/>
        <v>0</v>
      </c>
      <c r="AS38" s="66"/>
    </row>
    <row r="39" spans="1:45" ht="15.75" customHeight="1" x14ac:dyDescent="0.2">
      <c r="A39" s="276">
        <v>32</v>
      </c>
      <c r="B39" s="218" t="s">
        <v>57</v>
      </c>
      <c r="C39" s="49">
        <f>2-0.5</f>
        <v>1.5</v>
      </c>
      <c r="D39" s="177">
        <v>4.3769999999999998</v>
      </c>
      <c r="E39" s="171">
        <f t="shared" si="42"/>
        <v>6.57</v>
      </c>
      <c r="F39" s="215">
        <f t="shared" si="34"/>
        <v>78.8</v>
      </c>
      <c r="G39" s="154"/>
      <c r="H39" s="154">
        <v>1.4</v>
      </c>
      <c r="I39" s="154"/>
      <c r="J39" s="154"/>
      <c r="K39" s="154"/>
      <c r="L39" s="154">
        <v>70</v>
      </c>
      <c r="M39" s="154">
        <f t="shared" si="35"/>
        <v>150.19999999999999</v>
      </c>
      <c r="N39" s="171">
        <v>0.49</v>
      </c>
      <c r="O39" s="154">
        <f t="shared" si="36"/>
        <v>73.599999999999994</v>
      </c>
      <c r="P39" s="154">
        <f t="shared" si="37"/>
        <v>223.8</v>
      </c>
      <c r="Q39" s="154">
        <f t="shared" si="38"/>
        <v>179</v>
      </c>
      <c r="R39" s="154">
        <f t="shared" si="39"/>
        <v>179</v>
      </c>
      <c r="S39" s="154">
        <f t="shared" si="40"/>
        <v>18.600000000000001</v>
      </c>
      <c r="T39" s="154">
        <f t="shared" si="41"/>
        <v>600.4</v>
      </c>
      <c r="U39" s="2247"/>
      <c r="V39" s="154">
        <f t="shared" si="5"/>
        <v>600.4</v>
      </c>
      <c r="W39" s="154">
        <f t="shared" si="33"/>
        <v>181.3</v>
      </c>
      <c r="X39" s="276"/>
      <c r="Y39" s="24">
        <v>30</v>
      </c>
      <c r="Z39" s="48">
        <f>X39*Y39</f>
        <v>0</v>
      </c>
      <c r="AA39" s="276"/>
      <c r="AB39" s="24">
        <v>15</v>
      </c>
      <c r="AC39" s="48">
        <f>AA39*AB39</f>
        <v>0</v>
      </c>
      <c r="AD39" s="276"/>
      <c r="AE39" s="24">
        <v>30</v>
      </c>
      <c r="AF39" s="48">
        <f t="shared" si="45"/>
        <v>0</v>
      </c>
      <c r="AG39" s="276">
        <f t="shared" si="0"/>
        <v>0</v>
      </c>
      <c r="AH39" s="48">
        <f t="shared" si="49"/>
        <v>0</v>
      </c>
      <c r="AI39" s="34">
        <f>V39/12/C39*1000</f>
        <v>33355.599999999999</v>
      </c>
      <c r="AJ39" s="34"/>
      <c r="AK39" s="216">
        <f t="shared" si="3"/>
        <v>400.3</v>
      </c>
      <c r="AL39" s="216">
        <f t="shared" si="7"/>
        <v>190.3</v>
      </c>
      <c r="AM39" s="217">
        <v>0.30199999999999999</v>
      </c>
      <c r="AN39" s="76"/>
      <c r="AO39" s="76"/>
      <c r="AP39" s="76"/>
      <c r="AQ39" s="50">
        <f t="shared" si="11"/>
        <v>0</v>
      </c>
      <c r="AS39" s="66"/>
    </row>
    <row r="40" spans="1:45" x14ac:dyDescent="0.2">
      <c r="A40" s="276">
        <v>33</v>
      </c>
      <c r="B40" s="218" t="s">
        <v>92</v>
      </c>
      <c r="C40" s="224">
        <v>1</v>
      </c>
      <c r="D40" s="177">
        <v>4.3769999999999998</v>
      </c>
      <c r="E40" s="171">
        <f t="shared" si="42"/>
        <v>4.38</v>
      </c>
      <c r="F40" s="154">
        <f t="shared" si="34"/>
        <v>52.6</v>
      </c>
      <c r="G40" s="154"/>
      <c r="H40" s="154">
        <f>2773.8/1000</f>
        <v>2.8</v>
      </c>
      <c r="I40" s="154"/>
      <c r="J40" s="154"/>
      <c r="K40" s="154"/>
      <c r="L40" s="154">
        <v>38.1</v>
      </c>
      <c r="M40" s="154">
        <f t="shared" si="35"/>
        <v>93.5</v>
      </c>
      <c r="N40" s="171">
        <v>0.47</v>
      </c>
      <c r="O40" s="154">
        <f t="shared" si="36"/>
        <v>43.9</v>
      </c>
      <c r="P40" s="154">
        <f t="shared" si="37"/>
        <v>137.4</v>
      </c>
      <c r="Q40" s="154">
        <f t="shared" si="38"/>
        <v>109.9</v>
      </c>
      <c r="R40" s="154">
        <f t="shared" si="39"/>
        <v>109.9</v>
      </c>
      <c r="S40" s="154">
        <f t="shared" si="40"/>
        <v>11.4</v>
      </c>
      <c r="T40" s="154">
        <f t="shared" si="41"/>
        <v>368.6</v>
      </c>
      <c r="U40" s="2247"/>
      <c r="V40" s="154">
        <f t="shared" si="5"/>
        <v>368.6</v>
      </c>
      <c r="W40" s="154">
        <f t="shared" si="33"/>
        <v>111.3</v>
      </c>
      <c r="X40" s="276">
        <v>1</v>
      </c>
      <c r="Y40" s="24">
        <v>30</v>
      </c>
      <c r="Z40" s="48">
        <f>X40*Y40</f>
        <v>30</v>
      </c>
      <c r="AA40" s="276"/>
      <c r="AB40" s="24">
        <v>15</v>
      </c>
      <c r="AC40" s="48">
        <f>AA40*AB40</f>
        <v>0</v>
      </c>
      <c r="AD40" s="276"/>
      <c r="AE40" s="24">
        <v>30</v>
      </c>
      <c r="AF40" s="48">
        <f t="shared" si="45"/>
        <v>0</v>
      </c>
      <c r="AG40" s="276">
        <f t="shared" si="0"/>
        <v>9</v>
      </c>
      <c r="AH40" s="48">
        <f t="shared" si="49"/>
        <v>39</v>
      </c>
      <c r="AI40" s="34">
        <f>V40/12/C40*1000</f>
        <v>30716.7</v>
      </c>
      <c r="AJ40" s="34"/>
      <c r="AK40" s="216">
        <f t="shared" si="3"/>
        <v>368.6</v>
      </c>
      <c r="AL40" s="216">
        <f t="shared" si="7"/>
        <v>184.6</v>
      </c>
      <c r="AM40" s="217">
        <v>0.30199999999999999</v>
      </c>
      <c r="AN40" s="76"/>
      <c r="AO40" s="76"/>
      <c r="AP40" s="76"/>
      <c r="AQ40" s="50">
        <f t="shared" si="11"/>
        <v>0</v>
      </c>
      <c r="AS40" s="66"/>
    </row>
    <row r="41" spans="1:45" ht="25.5" x14ac:dyDescent="0.2">
      <c r="A41" s="276">
        <v>34</v>
      </c>
      <c r="B41" s="218" t="s">
        <v>102</v>
      </c>
      <c r="C41" s="58">
        <v>2</v>
      </c>
      <c r="D41" s="177">
        <v>4.3769999999999998</v>
      </c>
      <c r="E41" s="171">
        <f>C41*D41</f>
        <v>8.75</v>
      </c>
      <c r="F41" s="215">
        <f t="shared" si="34"/>
        <v>105</v>
      </c>
      <c r="G41" s="154"/>
      <c r="H41" s="154">
        <v>3.3</v>
      </c>
      <c r="I41" s="154"/>
      <c r="J41" s="154"/>
      <c r="K41" s="154"/>
      <c r="L41" s="154">
        <v>70</v>
      </c>
      <c r="M41" s="154">
        <f t="shared" si="35"/>
        <v>178.3</v>
      </c>
      <c r="N41" s="171">
        <v>0.49</v>
      </c>
      <c r="O41" s="154">
        <f t="shared" si="36"/>
        <v>87.4</v>
      </c>
      <c r="P41" s="154">
        <f t="shared" si="37"/>
        <v>265.7</v>
      </c>
      <c r="Q41" s="154">
        <f t="shared" si="38"/>
        <v>212.6</v>
      </c>
      <c r="R41" s="154">
        <f t="shared" si="39"/>
        <v>212.6</v>
      </c>
      <c r="S41" s="154">
        <f t="shared" si="40"/>
        <v>22.1</v>
      </c>
      <c r="T41" s="154">
        <f t="shared" si="41"/>
        <v>713</v>
      </c>
      <c r="U41" s="2247"/>
      <c r="V41" s="154">
        <f t="shared" si="5"/>
        <v>713</v>
      </c>
      <c r="W41" s="154">
        <f t="shared" si="33"/>
        <v>215.3</v>
      </c>
      <c r="X41" s="276">
        <v>1</v>
      </c>
      <c r="Y41" s="24">
        <v>30</v>
      </c>
      <c r="Z41" s="48">
        <f>X41*Y41</f>
        <v>30</v>
      </c>
      <c r="AA41" s="276"/>
      <c r="AB41" s="24">
        <v>15</v>
      </c>
      <c r="AC41" s="48">
        <f>AA41*AB41</f>
        <v>0</v>
      </c>
      <c r="AD41" s="276"/>
      <c r="AE41" s="24">
        <v>30</v>
      </c>
      <c r="AF41" s="48">
        <f t="shared" si="45"/>
        <v>0</v>
      </c>
      <c r="AG41" s="276">
        <f t="shared" si="0"/>
        <v>9</v>
      </c>
      <c r="AH41" s="48">
        <f t="shared" si="49"/>
        <v>39</v>
      </c>
      <c r="AI41" s="34">
        <f>V41/12/C41*1000</f>
        <v>29708.3</v>
      </c>
      <c r="AJ41" s="34"/>
      <c r="AK41" s="216">
        <f t="shared" si="3"/>
        <v>356.5</v>
      </c>
      <c r="AL41" s="216">
        <f t="shared" si="7"/>
        <v>182.4</v>
      </c>
      <c r="AM41" s="217">
        <v>0.30199999999999999</v>
      </c>
      <c r="AN41" s="76"/>
      <c r="AO41" s="76"/>
      <c r="AP41" s="76"/>
      <c r="AQ41" s="50">
        <f t="shared" si="11"/>
        <v>0</v>
      </c>
      <c r="AS41" s="66"/>
    </row>
    <row r="42" spans="1:45" x14ac:dyDescent="0.2">
      <c r="A42" s="225" t="s">
        <v>126</v>
      </c>
      <c r="B42" s="218"/>
      <c r="C42" s="58"/>
      <c r="D42" s="177"/>
      <c r="E42" s="171"/>
      <c r="F42" s="215"/>
      <c r="G42" s="154"/>
      <c r="H42" s="154"/>
      <c r="I42" s="154"/>
      <c r="J42" s="154"/>
      <c r="K42" s="154"/>
      <c r="L42" s="154"/>
      <c r="M42" s="154"/>
      <c r="N42" s="171"/>
      <c r="O42" s="154"/>
      <c r="P42" s="154"/>
      <c r="Q42" s="154"/>
      <c r="R42" s="154"/>
      <c r="S42" s="154"/>
      <c r="T42" s="154"/>
      <c r="U42" s="2247"/>
      <c r="V42" s="154"/>
      <c r="W42" s="154">
        <f t="shared" si="33"/>
        <v>0</v>
      </c>
      <c r="X42" s="276"/>
      <c r="Y42" s="24"/>
      <c r="Z42" s="48"/>
      <c r="AA42" s="276"/>
      <c r="AB42" s="24"/>
      <c r="AC42" s="48"/>
      <c r="AD42" s="276"/>
      <c r="AE42" s="24"/>
      <c r="AF42" s="48"/>
      <c r="AG42" s="276">
        <f t="shared" si="0"/>
        <v>0</v>
      </c>
      <c r="AH42" s="48"/>
      <c r="AJ42" s="34"/>
      <c r="AK42" s="216"/>
      <c r="AL42" s="216"/>
      <c r="AM42" s="217"/>
      <c r="AN42" s="76"/>
      <c r="AO42" s="76"/>
      <c r="AP42" s="76"/>
      <c r="AQ42" s="50">
        <f t="shared" si="11"/>
        <v>0</v>
      </c>
      <c r="AS42" s="66"/>
    </row>
    <row r="43" spans="1:45" x14ac:dyDescent="0.2">
      <c r="A43" s="276">
        <v>35</v>
      </c>
      <c r="B43" s="52" t="s">
        <v>17</v>
      </c>
      <c r="C43" s="276">
        <v>1</v>
      </c>
      <c r="D43" s="177">
        <v>12.335000000000001</v>
      </c>
      <c r="E43" s="226">
        <f>C43*D43</f>
        <v>12.34</v>
      </c>
      <c r="F43" s="227">
        <f>E43*12</f>
        <v>148.1</v>
      </c>
      <c r="G43" s="154"/>
      <c r="H43" s="154">
        <v>1.3</v>
      </c>
      <c r="I43" s="154"/>
      <c r="J43" s="154"/>
      <c r="K43" s="154">
        <f>F43*0.4</f>
        <v>59.2</v>
      </c>
      <c r="L43" s="154">
        <f t="shared" si="4"/>
        <v>50.1</v>
      </c>
      <c r="M43" s="154">
        <f>F43+G43+H43+I43+J43+K43+L43</f>
        <v>258.7</v>
      </c>
      <c r="N43" s="171">
        <v>0.47</v>
      </c>
      <c r="O43" s="154">
        <f>M43*N43</f>
        <v>121.6</v>
      </c>
      <c r="P43" s="154">
        <f>M43+O43</f>
        <v>380.3</v>
      </c>
      <c r="Q43" s="154">
        <f>P43*0.8</f>
        <v>304.2</v>
      </c>
      <c r="R43" s="154">
        <f>P43*0.8</f>
        <v>304.2</v>
      </c>
      <c r="S43" s="154">
        <f>(P43+Q43+R43)*0.032</f>
        <v>31.6</v>
      </c>
      <c r="T43" s="154">
        <f>P43+Q43+R43+S43</f>
        <v>1020.3</v>
      </c>
      <c r="U43" s="2247"/>
      <c r="V43" s="154">
        <f t="shared" si="5"/>
        <v>1020.3</v>
      </c>
      <c r="W43" s="154">
        <f>AQ43</f>
        <v>303.7</v>
      </c>
      <c r="X43" s="276">
        <v>1</v>
      </c>
      <c r="Y43" s="24">
        <v>35</v>
      </c>
      <c r="Z43" s="48">
        <f>X43*Y43</f>
        <v>35</v>
      </c>
      <c r="AA43" s="276"/>
      <c r="AB43" s="24">
        <v>17.5</v>
      </c>
      <c r="AC43" s="48">
        <f>AA43*AB43</f>
        <v>0</v>
      </c>
      <c r="AD43" s="276"/>
      <c r="AE43" s="24">
        <v>35</v>
      </c>
      <c r="AF43" s="48">
        <f>AD43*AE43</f>
        <v>0</v>
      </c>
      <c r="AG43" s="276">
        <f t="shared" si="0"/>
        <v>10.5</v>
      </c>
      <c r="AH43" s="48">
        <f>Z43+AC43+AF43+AG43</f>
        <v>45.5</v>
      </c>
      <c r="AI43" s="39">
        <f t="shared" ref="AI43:AI51" si="73">V43/12/C43*1000</f>
        <v>85025</v>
      </c>
      <c r="AJ43" s="34"/>
      <c r="AK43" s="34">
        <f t="shared" ref="AK43:AK51" si="74">V43/C43</f>
        <v>1020.3</v>
      </c>
      <c r="AL43" s="34">
        <f>((979*0.302)+((AK43-979)*0.182))</f>
        <v>303.2</v>
      </c>
      <c r="AM43" s="51">
        <f>AL43/AK43</f>
        <v>0.29699999999999999</v>
      </c>
      <c r="AN43" s="50">
        <f t="shared" ref="AN43" si="75">AK43*0.22</f>
        <v>224.5</v>
      </c>
      <c r="AO43" s="50">
        <f t="shared" ref="AO43" si="76">865*0.029</f>
        <v>25.1</v>
      </c>
      <c r="AP43" s="50">
        <f t="shared" ref="AP43" si="77">AK43*0.053</f>
        <v>54.1</v>
      </c>
      <c r="AQ43" s="50">
        <f t="shared" si="11"/>
        <v>303.7</v>
      </c>
      <c r="AR43" s="51"/>
    </row>
    <row r="44" spans="1:45" x14ac:dyDescent="0.2">
      <c r="A44" s="276">
        <v>36</v>
      </c>
      <c r="B44" s="52" t="s">
        <v>38</v>
      </c>
      <c r="C44" s="167">
        <f>2-0.25</f>
        <v>1.75</v>
      </c>
      <c r="D44" s="177">
        <v>6.2859999999999996</v>
      </c>
      <c r="E44" s="171">
        <f t="shared" ref="E44:E51" si="78">C44*D44</f>
        <v>11</v>
      </c>
      <c r="F44" s="154">
        <f t="shared" ref="F44:F51" si="79">E44*12</f>
        <v>132</v>
      </c>
      <c r="G44" s="154">
        <f>74.5/1000</f>
        <v>0.1</v>
      </c>
      <c r="H44" s="154">
        <v>2</v>
      </c>
      <c r="I44" s="154"/>
      <c r="J44" s="154"/>
      <c r="K44" s="154"/>
      <c r="L44" s="154">
        <f t="shared" si="4"/>
        <v>44.7</v>
      </c>
      <c r="M44" s="154">
        <f t="shared" ref="M44:M51" si="80">F44+G44+H44+I44+J44+K44+L44</f>
        <v>178.8</v>
      </c>
      <c r="N44" s="171">
        <v>0.45</v>
      </c>
      <c r="O44" s="154">
        <f t="shared" ref="O44:O51" si="81">M44*N44</f>
        <v>80.5</v>
      </c>
      <c r="P44" s="154">
        <f t="shared" ref="P44:P51" si="82">M44+O44</f>
        <v>259.3</v>
      </c>
      <c r="Q44" s="154">
        <f t="shared" ref="Q44:Q51" si="83">P44*0.8</f>
        <v>207.4</v>
      </c>
      <c r="R44" s="154">
        <f t="shared" ref="R44:R51" si="84">P44*0.8</f>
        <v>207.4</v>
      </c>
      <c r="S44" s="154">
        <f t="shared" ref="S44:S51" si="85">(P44+Q44+R44)*0.032</f>
        <v>21.6</v>
      </c>
      <c r="T44" s="154">
        <f t="shared" ref="T44:T51" si="86">P44+Q44+R44+S44</f>
        <v>695.7</v>
      </c>
      <c r="U44" s="2247"/>
      <c r="V44" s="154">
        <f t="shared" si="5"/>
        <v>695.7</v>
      </c>
      <c r="W44" s="154">
        <f t="shared" si="33"/>
        <v>210.1</v>
      </c>
      <c r="X44" s="276">
        <v>1</v>
      </c>
      <c r="Y44" s="24">
        <v>35</v>
      </c>
      <c r="Z44" s="48">
        <f t="shared" ref="Z44:Z51" si="87">X44*Y44</f>
        <v>35</v>
      </c>
      <c r="AA44" s="54"/>
      <c r="AB44" s="24">
        <v>17.5</v>
      </c>
      <c r="AC44" s="48">
        <f t="shared" ref="AC44:AC51" si="88">AA44*AB44</f>
        <v>0</v>
      </c>
      <c r="AD44" s="54"/>
      <c r="AE44" s="24">
        <v>35</v>
      </c>
      <c r="AF44" s="48">
        <f t="shared" ref="AF44:AF51" si="89">AD44*AE44</f>
        <v>0</v>
      </c>
      <c r="AG44" s="276">
        <f t="shared" si="0"/>
        <v>10.5</v>
      </c>
      <c r="AH44" s="48">
        <f t="shared" ref="AH44:AH51" si="90">Z44+AC44+AF44+AG44</f>
        <v>45.5</v>
      </c>
      <c r="AI44" s="39">
        <f t="shared" si="73"/>
        <v>33128.57</v>
      </c>
      <c r="AJ44" s="34"/>
      <c r="AK44" s="34">
        <f t="shared" si="74"/>
        <v>397.5</v>
      </c>
      <c r="AL44" s="34">
        <f t="shared" ref="AL44:AL51" si="91">((979*0.302)+((AK44-979)*0.182))</f>
        <v>189.8</v>
      </c>
      <c r="AM44" s="51">
        <v>0.30199999999999999</v>
      </c>
      <c r="AN44" s="50"/>
      <c r="AO44" s="50"/>
      <c r="AP44" s="50"/>
      <c r="AQ44" s="50">
        <f t="shared" si="11"/>
        <v>0</v>
      </c>
      <c r="AR44" s="51"/>
    </row>
    <row r="45" spans="1:45" ht="12" customHeight="1" x14ac:dyDescent="0.2">
      <c r="A45" s="276">
        <v>37</v>
      </c>
      <c r="B45" s="44" t="s">
        <v>104</v>
      </c>
      <c r="C45" s="54">
        <v>1</v>
      </c>
      <c r="D45" s="177">
        <v>8.4730000000000008</v>
      </c>
      <c r="E45" s="171">
        <f t="shared" si="78"/>
        <v>8.4700000000000006</v>
      </c>
      <c r="F45" s="154">
        <f t="shared" si="79"/>
        <v>101.6</v>
      </c>
      <c r="G45" s="154"/>
      <c r="H45" s="154"/>
      <c r="I45" s="154"/>
      <c r="J45" s="154"/>
      <c r="K45" s="154"/>
      <c r="L45" s="154">
        <f t="shared" si="4"/>
        <v>34.4</v>
      </c>
      <c r="M45" s="154">
        <f t="shared" si="80"/>
        <v>136</v>
      </c>
      <c r="N45" s="171">
        <v>0.41</v>
      </c>
      <c r="O45" s="154">
        <f t="shared" si="81"/>
        <v>55.8</v>
      </c>
      <c r="P45" s="154">
        <f t="shared" si="82"/>
        <v>191.8</v>
      </c>
      <c r="Q45" s="154">
        <f t="shared" si="83"/>
        <v>153.4</v>
      </c>
      <c r="R45" s="154">
        <f t="shared" si="84"/>
        <v>153.4</v>
      </c>
      <c r="S45" s="154">
        <f t="shared" si="85"/>
        <v>16</v>
      </c>
      <c r="T45" s="154">
        <f t="shared" si="86"/>
        <v>514.6</v>
      </c>
      <c r="U45" s="2247"/>
      <c r="V45" s="154">
        <f t="shared" si="5"/>
        <v>514.6</v>
      </c>
      <c r="W45" s="154">
        <f t="shared" si="33"/>
        <v>155.4</v>
      </c>
      <c r="X45" s="276">
        <v>1</v>
      </c>
      <c r="Y45" s="24">
        <v>35</v>
      </c>
      <c r="Z45" s="48">
        <f t="shared" si="87"/>
        <v>35</v>
      </c>
      <c r="AA45" s="54"/>
      <c r="AB45" s="24">
        <v>17.5</v>
      </c>
      <c r="AC45" s="48">
        <f t="shared" si="88"/>
        <v>0</v>
      </c>
      <c r="AD45" s="54">
        <v>1</v>
      </c>
      <c r="AE45" s="24">
        <v>35</v>
      </c>
      <c r="AF45" s="48">
        <f t="shared" si="89"/>
        <v>35</v>
      </c>
      <c r="AG45" s="276">
        <f t="shared" si="0"/>
        <v>21</v>
      </c>
      <c r="AH45" s="48">
        <f t="shared" si="90"/>
        <v>91</v>
      </c>
      <c r="AI45" s="39">
        <f t="shared" si="73"/>
        <v>42883.33</v>
      </c>
      <c r="AJ45" s="34"/>
      <c r="AK45" s="34">
        <f t="shared" si="74"/>
        <v>514.6</v>
      </c>
      <c r="AL45" s="34">
        <f t="shared" si="91"/>
        <v>211.1</v>
      </c>
      <c r="AM45" s="51">
        <v>0.30199999999999999</v>
      </c>
      <c r="AN45" s="50"/>
      <c r="AO45" s="50"/>
      <c r="AP45" s="50"/>
      <c r="AQ45" s="50">
        <f t="shared" si="11"/>
        <v>0</v>
      </c>
      <c r="AR45" s="51"/>
    </row>
    <row r="46" spans="1:45" x14ac:dyDescent="0.2">
      <c r="A46" s="276">
        <v>38</v>
      </c>
      <c r="B46" s="52" t="s">
        <v>39</v>
      </c>
      <c r="C46" s="24">
        <v>0.5</v>
      </c>
      <c r="D46" s="177">
        <v>6.2859999999999996</v>
      </c>
      <c r="E46" s="171">
        <f t="shared" si="78"/>
        <v>3.14</v>
      </c>
      <c r="F46" s="154">
        <f t="shared" si="79"/>
        <v>37.700000000000003</v>
      </c>
      <c r="G46" s="154"/>
      <c r="H46" s="154">
        <f>1106.5/1000</f>
        <v>1.1000000000000001</v>
      </c>
      <c r="I46" s="154"/>
      <c r="J46" s="154"/>
      <c r="K46" s="154"/>
      <c r="L46" s="154">
        <f>F46*$L$4</f>
        <v>12.8</v>
      </c>
      <c r="M46" s="154">
        <f t="shared" si="80"/>
        <v>51.6</v>
      </c>
      <c r="N46" s="171">
        <v>0.45</v>
      </c>
      <c r="O46" s="154">
        <f t="shared" si="81"/>
        <v>23.2</v>
      </c>
      <c r="P46" s="154">
        <f t="shared" si="82"/>
        <v>74.8</v>
      </c>
      <c r="Q46" s="154">
        <f t="shared" si="83"/>
        <v>59.8</v>
      </c>
      <c r="R46" s="154">
        <f t="shared" si="84"/>
        <v>59.8</v>
      </c>
      <c r="S46" s="154">
        <f t="shared" si="85"/>
        <v>6.2</v>
      </c>
      <c r="T46" s="154">
        <f t="shared" si="86"/>
        <v>200.6</v>
      </c>
      <c r="U46" s="2247"/>
      <c r="V46" s="154">
        <f t="shared" si="5"/>
        <v>200.6</v>
      </c>
      <c r="W46" s="154">
        <f t="shared" si="33"/>
        <v>60.6</v>
      </c>
      <c r="X46" s="276"/>
      <c r="Y46" s="24">
        <v>35</v>
      </c>
      <c r="Z46" s="48">
        <f t="shared" si="87"/>
        <v>0</v>
      </c>
      <c r="AA46" s="54"/>
      <c r="AB46" s="24">
        <v>17.5</v>
      </c>
      <c r="AC46" s="48">
        <f t="shared" si="88"/>
        <v>0</v>
      </c>
      <c r="AD46" s="54"/>
      <c r="AE46" s="24">
        <v>35</v>
      </c>
      <c r="AF46" s="48">
        <f t="shared" si="89"/>
        <v>0</v>
      </c>
      <c r="AG46" s="276">
        <f t="shared" si="0"/>
        <v>0</v>
      </c>
      <c r="AH46" s="48">
        <f t="shared" si="90"/>
        <v>0</v>
      </c>
      <c r="AI46" s="39">
        <f t="shared" si="73"/>
        <v>33433.33</v>
      </c>
      <c r="AJ46" s="34"/>
      <c r="AK46" s="34">
        <f t="shared" si="74"/>
        <v>401.2</v>
      </c>
      <c r="AL46" s="34">
        <f t="shared" si="91"/>
        <v>190.5</v>
      </c>
      <c r="AM46" s="51">
        <v>0.30199999999999999</v>
      </c>
      <c r="AQ46" s="50">
        <f t="shared" si="11"/>
        <v>0</v>
      </c>
      <c r="AR46" s="51"/>
    </row>
    <row r="47" spans="1:45" x14ac:dyDescent="0.2">
      <c r="A47" s="276">
        <v>39</v>
      </c>
      <c r="B47" s="218" t="s">
        <v>40</v>
      </c>
      <c r="C47" s="54">
        <v>1</v>
      </c>
      <c r="D47" s="177">
        <v>11.061999999999999</v>
      </c>
      <c r="E47" s="171">
        <f t="shared" si="78"/>
        <v>11.06</v>
      </c>
      <c r="F47" s="154">
        <f t="shared" si="79"/>
        <v>132.69999999999999</v>
      </c>
      <c r="G47" s="228">
        <f>131.07/1000</f>
        <v>0.13</v>
      </c>
      <c r="H47" s="154">
        <v>2.1</v>
      </c>
      <c r="I47" s="154"/>
      <c r="J47" s="154"/>
      <c r="K47" s="154">
        <f>D47*2*0.2</f>
        <v>4.4000000000000004</v>
      </c>
      <c r="L47" s="154">
        <f t="shared" si="4"/>
        <v>44.9</v>
      </c>
      <c r="M47" s="154">
        <f t="shared" si="80"/>
        <v>184.2</v>
      </c>
      <c r="N47" s="171">
        <v>0.43</v>
      </c>
      <c r="O47" s="154">
        <f t="shared" si="81"/>
        <v>79.2</v>
      </c>
      <c r="P47" s="154">
        <f t="shared" si="82"/>
        <v>263.39999999999998</v>
      </c>
      <c r="Q47" s="154">
        <f t="shared" si="83"/>
        <v>210.7</v>
      </c>
      <c r="R47" s="154">
        <f t="shared" si="84"/>
        <v>210.7</v>
      </c>
      <c r="S47" s="154">
        <f t="shared" si="85"/>
        <v>21.9</v>
      </c>
      <c r="T47" s="154">
        <f t="shared" si="86"/>
        <v>706.7</v>
      </c>
      <c r="U47" s="2247"/>
      <c r="V47" s="154">
        <f t="shared" si="5"/>
        <v>706.7</v>
      </c>
      <c r="W47" s="154">
        <f t="shared" si="33"/>
        <v>213.4</v>
      </c>
      <c r="X47" s="276"/>
      <c r="Y47" s="24">
        <v>35</v>
      </c>
      <c r="Z47" s="48">
        <f t="shared" si="87"/>
        <v>0</v>
      </c>
      <c r="AA47" s="54"/>
      <c r="AB47" s="24">
        <v>17.5</v>
      </c>
      <c r="AC47" s="48">
        <f t="shared" si="88"/>
        <v>0</v>
      </c>
      <c r="AD47" s="54"/>
      <c r="AE47" s="24">
        <v>35</v>
      </c>
      <c r="AF47" s="48">
        <f t="shared" si="89"/>
        <v>0</v>
      </c>
      <c r="AG47" s="276">
        <f t="shared" si="0"/>
        <v>0</v>
      </c>
      <c r="AH47" s="48">
        <f t="shared" si="90"/>
        <v>0</v>
      </c>
      <c r="AI47" s="39">
        <f t="shared" si="73"/>
        <v>58891.67</v>
      </c>
      <c r="AJ47" s="34"/>
      <c r="AK47" s="34">
        <f t="shared" si="74"/>
        <v>706.7</v>
      </c>
      <c r="AL47" s="34">
        <f t="shared" si="91"/>
        <v>246.1</v>
      </c>
      <c r="AM47" s="51">
        <v>0.30199999999999999</v>
      </c>
      <c r="AN47" s="50"/>
      <c r="AO47" s="50"/>
      <c r="AP47" s="50"/>
      <c r="AQ47" s="50">
        <f t="shared" si="11"/>
        <v>0</v>
      </c>
      <c r="AR47" s="51"/>
    </row>
    <row r="48" spans="1:45" x14ac:dyDescent="0.2">
      <c r="A48" s="276">
        <v>40</v>
      </c>
      <c r="B48" s="218" t="s">
        <v>41</v>
      </c>
      <c r="C48" s="54">
        <v>1</v>
      </c>
      <c r="D48" s="177">
        <v>8.4730000000000008</v>
      </c>
      <c r="E48" s="171">
        <f t="shared" si="78"/>
        <v>8.4700000000000006</v>
      </c>
      <c r="F48" s="154">
        <f t="shared" si="79"/>
        <v>101.6</v>
      </c>
      <c r="G48" s="154">
        <f>100.4/1000</f>
        <v>0.1</v>
      </c>
      <c r="H48" s="154">
        <v>0.5</v>
      </c>
      <c r="I48" s="154"/>
      <c r="J48" s="154"/>
      <c r="K48" s="154">
        <f>D48*8.5*0.2</f>
        <v>14.4</v>
      </c>
      <c r="L48" s="154">
        <f t="shared" si="4"/>
        <v>34.4</v>
      </c>
      <c r="M48" s="154">
        <f t="shared" si="80"/>
        <v>151</v>
      </c>
      <c r="N48" s="171">
        <v>0.41</v>
      </c>
      <c r="O48" s="154">
        <f t="shared" si="81"/>
        <v>61.9</v>
      </c>
      <c r="P48" s="154">
        <f t="shared" si="82"/>
        <v>212.9</v>
      </c>
      <c r="Q48" s="154">
        <f t="shared" si="83"/>
        <v>170.3</v>
      </c>
      <c r="R48" s="154">
        <f t="shared" si="84"/>
        <v>170.3</v>
      </c>
      <c r="S48" s="154">
        <f t="shared" si="85"/>
        <v>17.7</v>
      </c>
      <c r="T48" s="154">
        <f t="shared" si="86"/>
        <v>571.20000000000005</v>
      </c>
      <c r="U48" s="2247"/>
      <c r="V48" s="154">
        <f t="shared" si="5"/>
        <v>571.20000000000005</v>
      </c>
      <c r="W48" s="154">
        <f t="shared" si="33"/>
        <v>172.5</v>
      </c>
      <c r="X48" s="276">
        <v>1</v>
      </c>
      <c r="Y48" s="24">
        <v>35</v>
      </c>
      <c r="Z48" s="48">
        <f t="shared" si="87"/>
        <v>35</v>
      </c>
      <c r="AA48" s="54"/>
      <c r="AB48" s="24">
        <v>17.5</v>
      </c>
      <c r="AC48" s="48">
        <f>AA48*AB48</f>
        <v>0</v>
      </c>
      <c r="AD48" s="54"/>
      <c r="AE48" s="24">
        <v>35</v>
      </c>
      <c r="AF48" s="48">
        <f t="shared" si="89"/>
        <v>0</v>
      </c>
      <c r="AG48" s="276">
        <f t="shared" si="0"/>
        <v>10.5</v>
      </c>
      <c r="AH48" s="48">
        <f t="shared" si="90"/>
        <v>45.5</v>
      </c>
      <c r="AI48" s="39">
        <f t="shared" si="73"/>
        <v>47600</v>
      </c>
      <c r="AJ48" s="34"/>
      <c r="AK48" s="34">
        <f t="shared" si="74"/>
        <v>571.20000000000005</v>
      </c>
      <c r="AL48" s="34">
        <f t="shared" si="91"/>
        <v>221.4</v>
      </c>
      <c r="AM48" s="51">
        <v>0.30199999999999999</v>
      </c>
      <c r="AN48" s="50"/>
      <c r="AO48" s="50"/>
      <c r="AP48" s="50"/>
      <c r="AQ48" s="50">
        <f t="shared" si="11"/>
        <v>0</v>
      </c>
      <c r="AR48" s="51"/>
    </row>
    <row r="49" spans="1:44" x14ac:dyDescent="0.2">
      <c r="A49" s="276">
        <v>41</v>
      </c>
      <c r="B49" s="218" t="s">
        <v>42</v>
      </c>
      <c r="C49" s="24">
        <v>0.5</v>
      </c>
      <c r="D49" s="213">
        <v>11.061999999999999</v>
      </c>
      <c r="E49" s="171">
        <f t="shared" si="78"/>
        <v>5.53</v>
      </c>
      <c r="F49" s="154">
        <f t="shared" si="79"/>
        <v>66.400000000000006</v>
      </c>
      <c r="G49" s="154">
        <f>65.5/1000</f>
        <v>0.1</v>
      </c>
      <c r="H49" s="154">
        <v>3</v>
      </c>
      <c r="I49" s="154"/>
      <c r="J49" s="154"/>
      <c r="K49" s="154"/>
      <c r="L49" s="154">
        <f t="shared" si="4"/>
        <v>22.5</v>
      </c>
      <c r="M49" s="154">
        <f t="shared" si="80"/>
        <v>92</v>
      </c>
      <c r="N49" s="171">
        <v>0.43</v>
      </c>
      <c r="O49" s="154">
        <f t="shared" si="81"/>
        <v>39.6</v>
      </c>
      <c r="P49" s="154">
        <f t="shared" si="82"/>
        <v>131.6</v>
      </c>
      <c r="Q49" s="154">
        <f t="shared" si="83"/>
        <v>105.3</v>
      </c>
      <c r="R49" s="154">
        <f t="shared" si="84"/>
        <v>105.3</v>
      </c>
      <c r="S49" s="154">
        <f t="shared" si="85"/>
        <v>11</v>
      </c>
      <c r="T49" s="154">
        <f t="shared" si="86"/>
        <v>353.2</v>
      </c>
      <c r="U49" s="2247"/>
      <c r="V49" s="154">
        <f t="shared" si="5"/>
        <v>353.2</v>
      </c>
      <c r="W49" s="154">
        <f t="shared" si="33"/>
        <v>106.7</v>
      </c>
      <c r="X49" s="276"/>
      <c r="Y49" s="24">
        <v>35</v>
      </c>
      <c r="Z49" s="48">
        <f t="shared" si="87"/>
        <v>0</v>
      </c>
      <c r="AA49" s="54"/>
      <c r="AB49" s="24">
        <v>17.5</v>
      </c>
      <c r="AC49" s="48">
        <f t="shared" si="88"/>
        <v>0</v>
      </c>
      <c r="AD49" s="54"/>
      <c r="AE49" s="24">
        <v>35</v>
      </c>
      <c r="AF49" s="48">
        <f t="shared" si="89"/>
        <v>0</v>
      </c>
      <c r="AG49" s="276">
        <f t="shared" si="0"/>
        <v>0</v>
      </c>
      <c r="AH49" s="48">
        <f t="shared" si="90"/>
        <v>0</v>
      </c>
      <c r="AI49" s="39">
        <f t="shared" si="73"/>
        <v>58866.67</v>
      </c>
      <c r="AJ49" s="34"/>
      <c r="AK49" s="34">
        <f t="shared" si="74"/>
        <v>706.4</v>
      </c>
      <c r="AL49" s="34">
        <f t="shared" si="91"/>
        <v>246</v>
      </c>
      <c r="AM49" s="51">
        <v>0.30199999999999999</v>
      </c>
      <c r="AO49" s="50"/>
      <c r="AP49" s="50"/>
      <c r="AQ49" s="50">
        <f t="shared" si="11"/>
        <v>0</v>
      </c>
      <c r="AR49" s="51"/>
    </row>
    <row r="50" spans="1:44" x14ac:dyDescent="0.2">
      <c r="A50" s="276">
        <v>42</v>
      </c>
      <c r="B50" s="52" t="s">
        <v>43</v>
      </c>
      <c r="C50" s="167">
        <v>0.25</v>
      </c>
      <c r="D50" s="177">
        <v>8.4730000000000008</v>
      </c>
      <c r="E50" s="171">
        <f t="shared" si="78"/>
        <v>2.12</v>
      </c>
      <c r="F50" s="154">
        <f t="shared" si="79"/>
        <v>25.4</v>
      </c>
      <c r="G50" s="154"/>
      <c r="H50" s="154"/>
      <c r="I50" s="154"/>
      <c r="J50" s="154"/>
      <c r="K50" s="154"/>
      <c r="L50" s="154">
        <f t="shared" si="4"/>
        <v>8.6</v>
      </c>
      <c r="M50" s="154">
        <f t="shared" si="80"/>
        <v>34</v>
      </c>
      <c r="N50" s="171">
        <v>0.41</v>
      </c>
      <c r="O50" s="154">
        <f t="shared" si="81"/>
        <v>13.9</v>
      </c>
      <c r="P50" s="154">
        <f t="shared" si="82"/>
        <v>47.9</v>
      </c>
      <c r="Q50" s="154">
        <f t="shared" si="83"/>
        <v>38.299999999999997</v>
      </c>
      <c r="R50" s="154">
        <f t="shared" si="84"/>
        <v>38.299999999999997</v>
      </c>
      <c r="S50" s="154">
        <f t="shared" si="85"/>
        <v>4</v>
      </c>
      <c r="T50" s="154">
        <f t="shared" si="86"/>
        <v>128.5</v>
      </c>
      <c r="U50" s="2247"/>
      <c r="V50" s="154">
        <f t="shared" si="5"/>
        <v>128.5</v>
      </c>
      <c r="W50" s="154">
        <f t="shared" si="33"/>
        <v>38.799999999999997</v>
      </c>
      <c r="X50" s="276"/>
      <c r="Y50" s="24">
        <v>35</v>
      </c>
      <c r="Z50" s="48">
        <f t="shared" si="87"/>
        <v>0</v>
      </c>
      <c r="AA50" s="54"/>
      <c r="AB50" s="24">
        <v>17.5</v>
      </c>
      <c r="AC50" s="48">
        <f t="shared" si="88"/>
        <v>0</v>
      </c>
      <c r="AD50" s="54"/>
      <c r="AE50" s="24">
        <v>35</v>
      </c>
      <c r="AF50" s="48">
        <f t="shared" si="89"/>
        <v>0</v>
      </c>
      <c r="AG50" s="276">
        <f t="shared" si="0"/>
        <v>0</v>
      </c>
      <c r="AH50" s="48">
        <f t="shared" si="90"/>
        <v>0</v>
      </c>
      <c r="AI50" s="39">
        <f t="shared" si="73"/>
        <v>42833.33</v>
      </c>
      <c r="AJ50" s="34"/>
      <c r="AK50" s="34">
        <f t="shared" si="74"/>
        <v>514</v>
      </c>
      <c r="AL50" s="34">
        <f t="shared" si="91"/>
        <v>211</v>
      </c>
      <c r="AM50" s="51">
        <v>0.30199999999999999</v>
      </c>
      <c r="AN50" s="50"/>
      <c r="AO50" s="50"/>
      <c r="AP50" s="50"/>
      <c r="AQ50" s="50">
        <f t="shared" si="11"/>
        <v>0</v>
      </c>
      <c r="AR50" s="51"/>
    </row>
    <row r="51" spans="1:44" x14ac:dyDescent="0.2">
      <c r="A51" s="276">
        <v>43</v>
      </c>
      <c r="B51" s="229" t="s">
        <v>44</v>
      </c>
      <c r="C51" s="179">
        <f>1-0.25</f>
        <v>0.75</v>
      </c>
      <c r="D51" s="213">
        <v>11.061999999999999</v>
      </c>
      <c r="E51" s="171">
        <f t="shared" si="78"/>
        <v>8.3000000000000007</v>
      </c>
      <c r="F51" s="154">
        <f t="shared" si="79"/>
        <v>99.6</v>
      </c>
      <c r="G51" s="154"/>
      <c r="H51" s="154">
        <v>2.4</v>
      </c>
      <c r="I51" s="154"/>
      <c r="J51" s="154"/>
      <c r="K51" s="154"/>
      <c r="L51" s="154">
        <f t="shared" si="4"/>
        <v>33.700000000000003</v>
      </c>
      <c r="M51" s="154">
        <f t="shared" si="80"/>
        <v>135.69999999999999</v>
      </c>
      <c r="N51" s="171">
        <v>0.43</v>
      </c>
      <c r="O51" s="154">
        <f t="shared" si="81"/>
        <v>58.4</v>
      </c>
      <c r="P51" s="154">
        <f t="shared" si="82"/>
        <v>194.1</v>
      </c>
      <c r="Q51" s="154">
        <f t="shared" si="83"/>
        <v>155.30000000000001</v>
      </c>
      <c r="R51" s="154">
        <f t="shared" si="84"/>
        <v>155.30000000000001</v>
      </c>
      <c r="S51" s="154">
        <f t="shared" si="85"/>
        <v>16.2</v>
      </c>
      <c r="T51" s="154">
        <f t="shared" si="86"/>
        <v>520.9</v>
      </c>
      <c r="U51" s="2247"/>
      <c r="V51" s="154">
        <f>T51*$U$9-0.3</f>
        <v>520.6</v>
      </c>
      <c r="W51" s="154">
        <f t="shared" si="33"/>
        <v>157.19999999999999</v>
      </c>
      <c r="X51" s="276"/>
      <c r="Y51" s="24">
        <v>35</v>
      </c>
      <c r="Z51" s="48">
        <f t="shared" si="87"/>
        <v>0</v>
      </c>
      <c r="AA51" s="54"/>
      <c r="AB51" s="24">
        <v>17.5</v>
      </c>
      <c r="AC51" s="48">
        <f t="shared" si="88"/>
        <v>0</v>
      </c>
      <c r="AD51" s="54"/>
      <c r="AE51" s="24">
        <v>35</v>
      </c>
      <c r="AF51" s="48">
        <f t="shared" si="89"/>
        <v>0</v>
      </c>
      <c r="AG51" s="276">
        <f t="shared" si="0"/>
        <v>0</v>
      </c>
      <c r="AH51" s="48">
        <f t="shared" si="90"/>
        <v>0</v>
      </c>
      <c r="AI51" s="39">
        <f t="shared" si="73"/>
        <v>57844.44</v>
      </c>
      <c r="AJ51" s="34"/>
      <c r="AK51" s="34">
        <f t="shared" si="74"/>
        <v>694.1</v>
      </c>
      <c r="AL51" s="34">
        <f t="shared" si="91"/>
        <v>243.8</v>
      </c>
      <c r="AM51" s="51">
        <v>0.30199999999999999</v>
      </c>
      <c r="AN51" s="50"/>
      <c r="AO51" s="50"/>
      <c r="AP51" s="50"/>
      <c r="AQ51" s="50">
        <f t="shared" si="11"/>
        <v>0</v>
      </c>
      <c r="AR51" s="51"/>
    </row>
    <row r="52" spans="1:44" s="33" customFormat="1" ht="20.25" customHeight="1" x14ac:dyDescent="0.2">
      <c r="A52" s="2244" t="s">
        <v>72</v>
      </c>
      <c r="B52" s="2244"/>
      <c r="C52" s="230">
        <f t="shared" ref="C52:AG52" si="92">SUM(C9:C51)</f>
        <v>59.75</v>
      </c>
      <c r="D52" s="231">
        <f t="shared" si="92"/>
        <v>419</v>
      </c>
      <c r="E52" s="231">
        <f t="shared" si="92"/>
        <v>591.79999999999995</v>
      </c>
      <c r="F52" s="231">
        <f t="shared" si="92"/>
        <v>7100.7</v>
      </c>
      <c r="G52" s="231">
        <f t="shared" si="92"/>
        <v>0.4</v>
      </c>
      <c r="H52" s="231">
        <f t="shared" si="92"/>
        <v>204.3</v>
      </c>
      <c r="I52" s="231">
        <f t="shared" si="92"/>
        <v>0</v>
      </c>
      <c r="J52" s="231">
        <f t="shared" si="92"/>
        <v>93.9</v>
      </c>
      <c r="K52" s="231">
        <f t="shared" si="92"/>
        <v>1647.5</v>
      </c>
      <c r="L52" s="231">
        <f t="shared" si="92"/>
        <v>2508.9</v>
      </c>
      <c r="M52" s="231">
        <f t="shared" si="92"/>
        <v>11555.7</v>
      </c>
      <c r="N52" s="231">
        <f t="shared" si="92"/>
        <v>19.100000000000001</v>
      </c>
      <c r="O52" s="231">
        <f t="shared" si="92"/>
        <v>5402.6</v>
      </c>
      <c r="P52" s="231">
        <f t="shared" si="92"/>
        <v>16958.3</v>
      </c>
      <c r="Q52" s="231">
        <f t="shared" si="92"/>
        <v>13566</v>
      </c>
      <c r="R52" s="231">
        <f t="shared" si="92"/>
        <v>13566</v>
      </c>
      <c r="S52" s="231">
        <f t="shared" si="92"/>
        <v>1410.9</v>
      </c>
      <c r="T52" s="231">
        <f t="shared" si="92"/>
        <v>45501.2</v>
      </c>
      <c r="U52" s="231">
        <f t="shared" si="92"/>
        <v>1</v>
      </c>
      <c r="V52" s="231">
        <f t="shared" si="92"/>
        <v>45500.9</v>
      </c>
      <c r="W52" s="231">
        <f t="shared" si="92"/>
        <v>13348.7</v>
      </c>
      <c r="X52" s="231">
        <f t="shared" si="92"/>
        <v>34</v>
      </c>
      <c r="Y52" s="231">
        <f t="shared" si="92"/>
        <v>1305</v>
      </c>
      <c r="Z52" s="231">
        <f t="shared" si="92"/>
        <v>1040</v>
      </c>
      <c r="AA52" s="231">
        <f t="shared" si="92"/>
        <v>17</v>
      </c>
      <c r="AB52" s="231">
        <f t="shared" si="92"/>
        <v>652.5</v>
      </c>
      <c r="AC52" s="231">
        <f t="shared" si="92"/>
        <v>255</v>
      </c>
      <c r="AD52" s="231">
        <f t="shared" si="92"/>
        <v>6</v>
      </c>
      <c r="AE52" s="231">
        <f t="shared" si="92"/>
        <v>1305</v>
      </c>
      <c r="AF52" s="231">
        <f t="shared" si="92"/>
        <v>185</v>
      </c>
      <c r="AG52" s="231">
        <f t="shared" si="92"/>
        <v>444</v>
      </c>
      <c r="AH52" s="231">
        <f>SUM(AH9:AH51)</f>
        <v>1924</v>
      </c>
      <c r="AN52" s="211"/>
      <c r="AO52" s="211"/>
      <c r="AP52" s="211"/>
      <c r="AQ52" s="50">
        <f t="shared" si="11"/>
        <v>0</v>
      </c>
    </row>
    <row r="53" spans="1:44" ht="17.25" customHeight="1" x14ac:dyDescent="0.2">
      <c r="G53" s="39"/>
      <c r="H53" s="39"/>
      <c r="I53" s="39"/>
      <c r="J53" s="39"/>
      <c r="K53" s="39"/>
      <c r="L53" s="232"/>
      <c r="M53" s="232"/>
      <c r="N53" s="232"/>
      <c r="O53" s="232"/>
      <c r="P53" s="232"/>
      <c r="Q53" s="39"/>
      <c r="R53" s="39"/>
      <c r="S53" s="39"/>
      <c r="T53" s="39"/>
      <c r="V53" s="34"/>
      <c r="W53" s="66"/>
      <c r="X53" s="39"/>
      <c r="AA53" s="39"/>
      <c r="AD53" s="39"/>
      <c r="AG53" s="39"/>
      <c r="AH53" s="39"/>
    </row>
    <row r="54" spans="1:44" s="75" customFormat="1" x14ac:dyDescent="0.2">
      <c r="A54" s="70"/>
      <c r="B54" s="70"/>
      <c r="C54" s="71"/>
      <c r="D54" s="72"/>
      <c r="E54" s="72"/>
      <c r="F54" s="72"/>
      <c r="G54" s="72"/>
      <c r="H54" s="73"/>
      <c r="I54" s="73"/>
      <c r="J54" s="27"/>
      <c r="K54" s="27"/>
      <c r="L54" s="27"/>
      <c r="M54" s="27"/>
      <c r="N54" s="74"/>
      <c r="O54" s="27"/>
      <c r="P54" s="27"/>
      <c r="Q54" s="27"/>
      <c r="R54" s="27"/>
      <c r="S54" s="27"/>
      <c r="T54" s="27"/>
      <c r="U54" s="27"/>
      <c r="V54" s="27"/>
      <c r="W54" s="27"/>
      <c r="X54" s="27"/>
      <c r="Y54" s="27"/>
      <c r="Z54" s="27"/>
      <c r="AA54" s="27"/>
      <c r="AB54" s="27"/>
      <c r="AC54" s="27"/>
      <c r="AD54" s="27"/>
      <c r="AE54" s="27"/>
      <c r="AF54" s="27"/>
      <c r="AG54" s="27"/>
      <c r="AH54" s="27"/>
      <c r="AI54" s="27"/>
      <c r="AJ54" s="76"/>
      <c r="AN54" s="76"/>
      <c r="AO54" s="76"/>
      <c r="AP54" s="76"/>
      <c r="AQ54" s="76"/>
      <c r="AR54" s="76"/>
    </row>
    <row r="55" spans="1:44" s="75" customFormat="1" ht="104.25" customHeight="1" x14ac:dyDescent="0.2">
      <c r="A55" s="70"/>
      <c r="B55" s="70"/>
      <c r="C55" s="71"/>
      <c r="D55" s="77"/>
      <c r="E55" s="77"/>
      <c r="F55" s="27"/>
      <c r="G55" s="2244" t="s">
        <v>140</v>
      </c>
      <c r="H55" s="2244"/>
      <c r="I55" s="2244" t="s">
        <v>144</v>
      </c>
      <c r="J55" s="2244"/>
      <c r="K55" s="2240" t="s">
        <v>145</v>
      </c>
      <c r="L55" s="2241"/>
      <c r="M55" s="2244" t="s">
        <v>128</v>
      </c>
      <c r="N55" s="2244"/>
      <c r="O55" s="70"/>
      <c r="P55" s="70"/>
      <c r="Q55" s="27"/>
      <c r="R55" s="27"/>
      <c r="S55" s="27"/>
      <c r="T55" s="27"/>
      <c r="U55" s="27"/>
      <c r="V55" s="27"/>
      <c r="W55" s="27"/>
      <c r="X55" s="27"/>
      <c r="Y55" s="27"/>
      <c r="Z55" s="27"/>
      <c r="AA55" s="27"/>
      <c r="AB55" s="27"/>
      <c r="AC55" s="27"/>
      <c r="AD55" s="27"/>
      <c r="AE55" s="27"/>
      <c r="AF55" s="27"/>
      <c r="AG55" s="27"/>
      <c r="AH55" s="27"/>
      <c r="AI55" s="27"/>
      <c r="AJ55" s="76"/>
      <c r="AN55" s="76"/>
      <c r="AO55" s="76"/>
      <c r="AP55" s="76"/>
      <c r="AQ55" s="76"/>
      <c r="AR55" s="76"/>
    </row>
    <row r="56" spans="1:44" s="75" customFormat="1" x14ac:dyDescent="0.2">
      <c r="A56" s="70"/>
      <c r="B56" s="70"/>
      <c r="C56" s="71"/>
      <c r="D56" s="77"/>
      <c r="E56" s="77"/>
      <c r="F56" s="27"/>
      <c r="G56" s="28">
        <v>991</v>
      </c>
      <c r="H56" s="28">
        <v>992</v>
      </c>
      <c r="I56" s="28">
        <v>991</v>
      </c>
      <c r="J56" s="28">
        <v>992</v>
      </c>
      <c r="K56" s="28">
        <v>991</v>
      </c>
      <c r="L56" s="28">
        <v>992</v>
      </c>
      <c r="M56" s="28">
        <v>991</v>
      </c>
      <c r="N56" s="28">
        <v>992</v>
      </c>
      <c r="O56" s="79"/>
      <c r="P56" s="79"/>
      <c r="Q56" s="27"/>
      <c r="R56" s="27"/>
      <c r="S56" s="27"/>
      <c r="T56" s="27"/>
      <c r="U56" s="27"/>
      <c r="V56" s="27"/>
      <c r="W56" s="27"/>
      <c r="X56" s="27"/>
      <c r="Y56" s="27"/>
      <c r="Z56" s="27"/>
      <c r="AA56" s="27"/>
      <c r="AB56" s="27"/>
      <c r="AC56" s="27"/>
      <c r="AD56" s="27"/>
      <c r="AE56" s="27"/>
      <c r="AF56" s="27"/>
      <c r="AG56" s="27"/>
      <c r="AH56" s="27"/>
      <c r="AI56" s="27"/>
      <c r="AJ56" s="76"/>
      <c r="AN56" s="76"/>
      <c r="AO56" s="76"/>
      <c r="AP56" s="76"/>
      <c r="AQ56" s="76"/>
      <c r="AR56" s="76"/>
    </row>
    <row r="57" spans="1:44" s="75" customFormat="1" x14ac:dyDescent="0.2">
      <c r="A57" s="70"/>
      <c r="B57" s="70"/>
      <c r="C57" s="71"/>
      <c r="D57" s="77"/>
      <c r="E57" s="77"/>
      <c r="F57" s="27"/>
      <c r="G57" s="29">
        <v>46179.199999999997</v>
      </c>
      <c r="H57" s="29">
        <v>13446.9</v>
      </c>
      <c r="I57" s="29">
        <f>245.4+176.6+93.6+162.7</f>
        <v>678.3</v>
      </c>
      <c r="J57" s="29">
        <f>74.1+53.3+28.3+49.1</f>
        <v>204.8</v>
      </c>
      <c r="K57" s="29">
        <f>V52</f>
        <v>45500.9</v>
      </c>
      <c r="L57" s="29">
        <f>W52</f>
        <v>13348.7</v>
      </c>
      <c r="M57" s="29">
        <f>G57-I57-K57</f>
        <v>0</v>
      </c>
      <c r="N57" s="29">
        <f>H57-J57-L57</f>
        <v>-106.6</v>
      </c>
      <c r="O57" s="80"/>
      <c r="P57" s="80"/>
      <c r="Q57" s="27"/>
      <c r="R57" s="27"/>
      <c r="S57" s="27"/>
      <c r="T57" s="27"/>
      <c r="U57" s="27"/>
      <c r="V57" s="27"/>
      <c r="W57" s="27"/>
      <c r="X57" s="27"/>
      <c r="Y57" s="27"/>
      <c r="Z57" s="27"/>
      <c r="AA57" s="27"/>
      <c r="AB57" s="27"/>
      <c r="AC57" s="27"/>
      <c r="AD57" s="27"/>
      <c r="AE57" s="27"/>
      <c r="AF57" s="27"/>
      <c r="AG57" s="27"/>
      <c r="AH57" s="27"/>
      <c r="AI57" s="27"/>
      <c r="AJ57" s="76"/>
      <c r="AN57" s="76"/>
      <c r="AO57" s="76"/>
      <c r="AP57" s="76"/>
      <c r="AQ57" s="76"/>
      <c r="AR57" s="76"/>
    </row>
    <row r="58" spans="1:44" s="75" customFormat="1" x14ac:dyDescent="0.2">
      <c r="A58" s="70"/>
      <c r="B58" s="70"/>
      <c r="C58" s="71"/>
      <c r="D58" s="77"/>
      <c r="E58" s="77"/>
      <c r="F58" s="27"/>
      <c r="G58" s="27"/>
      <c r="H58" s="73"/>
      <c r="I58" s="73"/>
      <c r="J58" s="27"/>
      <c r="K58" s="27"/>
      <c r="L58" s="27"/>
      <c r="M58" s="27"/>
      <c r="N58" s="74"/>
      <c r="O58" s="27"/>
      <c r="P58" s="27"/>
      <c r="Q58" s="27"/>
      <c r="R58" s="27"/>
      <c r="S58" s="27"/>
      <c r="T58" s="27"/>
      <c r="U58" s="27"/>
      <c r="V58" s="27"/>
      <c r="W58" s="27"/>
      <c r="X58" s="27"/>
      <c r="Y58" s="27"/>
      <c r="Z58" s="27"/>
      <c r="AA58" s="27"/>
      <c r="AB58" s="27"/>
      <c r="AC58" s="27"/>
      <c r="AD58" s="27"/>
      <c r="AE58" s="27"/>
      <c r="AF58" s="27"/>
      <c r="AG58" s="27"/>
      <c r="AH58" s="76"/>
      <c r="AM58" s="76"/>
      <c r="AN58" s="211"/>
      <c r="AO58" s="211"/>
      <c r="AP58" s="211"/>
      <c r="AQ58" s="211"/>
    </row>
    <row r="59" spans="1:44" s="35" customFormat="1" ht="20.25" x14ac:dyDescent="0.2">
      <c r="A59" s="81"/>
      <c r="B59" s="82" t="s">
        <v>138</v>
      </c>
      <c r="C59" s="83"/>
      <c r="D59" s="84"/>
      <c r="E59" s="84"/>
      <c r="F59" s="85"/>
      <c r="G59" s="85"/>
      <c r="H59" s="86"/>
      <c r="I59" s="86"/>
      <c r="J59" s="85"/>
      <c r="K59" s="30" t="s">
        <v>167</v>
      </c>
      <c r="L59" s="85"/>
      <c r="M59" s="85"/>
      <c r="N59" s="87"/>
      <c r="O59" s="85"/>
      <c r="P59" s="85"/>
      <c r="Q59" s="85"/>
      <c r="R59" s="85"/>
      <c r="S59" s="85"/>
      <c r="T59" s="85"/>
      <c r="U59" s="85"/>
      <c r="V59" s="85"/>
      <c r="W59" s="85"/>
      <c r="X59" s="85"/>
      <c r="Y59" s="85"/>
      <c r="Z59" s="85"/>
      <c r="AA59" s="85"/>
      <c r="AB59" s="85"/>
      <c r="AC59" s="85"/>
      <c r="AD59" s="85"/>
      <c r="AE59" s="85"/>
      <c r="AF59" s="85"/>
      <c r="AG59" s="85"/>
      <c r="AH59" s="85"/>
      <c r="AI59" s="85"/>
      <c r="AK59" s="88"/>
      <c r="AL59" s="88"/>
      <c r="AM59" s="88"/>
      <c r="AN59" s="88"/>
      <c r="AO59" s="88"/>
    </row>
    <row r="60" spans="1:44" s="75" customFormat="1" x14ac:dyDescent="0.2">
      <c r="A60" s="70"/>
      <c r="B60" s="70"/>
      <c r="C60" s="71"/>
      <c r="D60" s="77"/>
      <c r="E60" s="77"/>
      <c r="F60" s="27"/>
      <c r="G60" s="27"/>
      <c r="H60" s="73"/>
      <c r="I60" s="73"/>
      <c r="J60" s="27"/>
      <c r="K60" s="27"/>
      <c r="L60" s="27"/>
      <c r="M60" s="27"/>
      <c r="N60" s="74"/>
      <c r="O60" s="27"/>
      <c r="P60" s="27"/>
      <c r="Q60" s="27"/>
      <c r="R60" s="27"/>
      <c r="S60" s="27"/>
      <c r="T60" s="27"/>
      <c r="U60" s="27"/>
      <c r="V60" s="27"/>
      <c r="W60" s="27"/>
      <c r="X60" s="27"/>
      <c r="Y60" s="27"/>
      <c r="Z60" s="27"/>
      <c r="AA60" s="27"/>
      <c r="AB60" s="27"/>
      <c r="AC60" s="27"/>
      <c r="AD60" s="27"/>
      <c r="AE60" s="27"/>
      <c r="AF60" s="27"/>
      <c r="AG60" s="27"/>
      <c r="AH60" s="76"/>
      <c r="AM60" s="76"/>
      <c r="AN60" s="211"/>
      <c r="AO60" s="211"/>
      <c r="AP60" s="211"/>
      <c r="AQ60" s="211"/>
    </row>
    <row r="61" spans="1:44" s="75" customFormat="1" ht="20.25" customHeight="1" x14ac:dyDescent="0.2">
      <c r="A61" s="89" t="s">
        <v>96</v>
      </c>
      <c r="B61" s="89"/>
      <c r="C61" s="31"/>
      <c r="D61" s="31"/>
      <c r="E61" s="31"/>
      <c r="F61" s="31"/>
      <c r="G61" s="31"/>
      <c r="H61" s="31"/>
      <c r="I61" s="31"/>
      <c r="J61" s="31"/>
      <c r="K61" s="31"/>
      <c r="L61" s="90"/>
      <c r="M61" s="90"/>
      <c r="N61" s="91"/>
      <c r="O61" s="90"/>
      <c r="P61" s="90"/>
      <c r="Q61" s="90"/>
      <c r="R61" s="90"/>
      <c r="S61" s="90"/>
      <c r="T61" s="90"/>
      <c r="U61" s="90"/>
      <c r="V61" s="90"/>
      <c r="W61" s="90"/>
      <c r="X61" s="90"/>
      <c r="Y61" s="90"/>
      <c r="Z61" s="90"/>
      <c r="AA61" s="90"/>
      <c r="AB61" s="90"/>
      <c r="AC61" s="90"/>
      <c r="AD61" s="90"/>
      <c r="AE61" s="90"/>
      <c r="AF61" s="90"/>
      <c r="AG61" s="90"/>
      <c r="AH61" s="76"/>
      <c r="AM61" s="76"/>
      <c r="AN61" s="211"/>
      <c r="AO61" s="211"/>
      <c r="AP61" s="211"/>
      <c r="AQ61" s="211"/>
    </row>
    <row r="62" spans="1:44" s="75" customFormat="1" ht="20.25" customHeight="1" x14ac:dyDescent="0.2">
      <c r="A62" s="89" t="s">
        <v>139</v>
      </c>
      <c r="B62" s="92"/>
      <c r="C62" s="93"/>
      <c r="D62" s="93"/>
      <c r="E62" s="32"/>
      <c r="F62" s="32"/>
      <c r="G62" s="32"/>
      <c r="H62" s="32"/>
      <c r="I62" s="32"/>
      <c r="J62" s="32"/>
      <c r="K62" s="32"/>
      <c r="L62" s="90"/>
      <c r="M62" s="90"/>
      <c r="N62" s="90"/>
      <c r="O62" s="90"/>
      <c r="P62" s="90"/>
      <c r="Q62" s="90"/>
      <c r="R62" s="90"/>
      <c r="S62" s="90"/>
      <c r="T62" s="90"/>
      <c r="U62" s="90"/>
      <c r="V62" s="90"/>
      <c r="W62" s="90"/>
      <c r="X62" s="90"/>
      <c r="Y62" s="90"/>
      <c r="Z62" s="90"/>
      <c r="AA62" s="90"/>
      <c r="AB62" s="90"/>
      <c r="AC62" s="90"/>
      <c r="AD62" s="90"/>
      <c r="AE62" s="90"/>
      <c r="AF62" s="90"/>
      <c r="AG62" s="90"/>
      <c r="AH62" s="76"/>
      <c r="AM62" s="76"/>
      <c r="AN62" s="211"/>
      <c r="AO62" s="211"/>
      <c r="AP62" s="211"/>
      <c r="AQ62" s="211"/>
    </row>
    <row r="64" spans="1:44" hidden="1" x14ac:dyDescent="0.2">
      <c r="A64" s="23"/>
      <c r="B64" s="233" t="s">
        <v>121</v>
      </c>
      <c r="C64" s="233">
        <f t="shared" ref="C64:W64" si="93">C9+C10+C12</f>
        <v>3</v>
      </c>
      <c r="D64" s="233">
        <f t="shared" si="93"/>
        <v>61.43</v>
      </c>
      <c r="E64" s="183">
        <f t="shared" si="93"/>
        <v>61.44</v>
      </c>
      <c r="F64" s="233">
        <f t="shared" si="93"/>
        <v>737.2</v>
      </c>
      <c r="G64" s="233">
        <f t="shared" si="93"/>
        <v>0</v>
      </c>
      <c r="H64" s="233">
        <f t="shared" si="93"/>
        <v>8.6999999999999993</v>
      </c>
      <c r="I64" s="233">
        <f t="shared" si="93"/>
        <v>0</v>
      </c>
      <c r="J64" s="233">
        <f t="shared" si="93"/>
        <v>0</v>
      </c>
      <c r="K64" s="233">
        <f t="shared" si="93"/>
        <v>208.9</v>
      </c>
      <c r="L64" s="233">
        <f t="shared" si="93"/>
        <v>249.5</v>
      </c>
      <c r="M64" s="233">
        <f t="shared" si="93"/>
        <v>1204.3</v>
      </c>
      <c r="N64" s="233">
        <f t="shared" si="93"/>
        <v>1.92</v>
      </c>
      <c r="O64" s="233">
        <f t="shared" si="93"/>
        <v>838.4</v>
      </c>
      <c r="P64" s="233">
        <f t="shared" si="93"/>
        <v>2042.7</v>
      </c>
      <c r="Q64" s="233">
        <f t="shared" si="93"/>
        <v>1634.1</v>
      </c>
      <c r="R64" s="233">
        <f t="shared" si="93"/>
        <v>1634.1</v>
      </c>
      <c r="S64" s="233">
        <f t="shared" si="93"/>
        <v>170</v>
      </c>
      <c r="T64" s="233">
        <f t="shared" si="93"/>
        <v>5480.9</v>
      </c>
      <c r="U64" s="233">
        <f t="shared" si="93"/>
        <v>1</v>
      </c>
      <c r="V64" s="233">
        <f t="shared" si="93"/>
        <v>5480.9</v>
      </c>
      <c r="W64" s="233">
        <f t="shared" si="93"/>
        <v>1328</v>
      </c>
      <c r="X64" s="234">
        <f>V64+W64</f>
        <v>6808.9</v>
      </c>
    </row>
    <row r="65" spans="1:26" hidden="1" x14ac:dyDescent="0.2">
      <c r="A65" s="23"/>
      <c r="B65" s="233" t="s">
        <v>122</v>
      </c>
      <c r="C65" s="233" t="e">
        <f>C13+C14+#REF!+C15+C16+C17+C19+C20+C21+C22+C23+C24+C25+C26+C27+C28+C29+C30+C31+C32+C33+C34+C35+C36+C38+#REF!+C39+C40+C41</f>
        <v>#REF!</v>
      </c>
      <c r="D65" s="233" t="e">
        <f>D13+D14+#REF!+D15+D16+D17+D19+D20+D21+D22+D23+D24+D25+D26+D27+D28+D29+D30+D31+D32+D33+D34+D35+D36+D38+#REF!+D39+D40+D41</f>
        <v>#REF!</v>
      </c>
      <c r="E65" s="183" t="e">
        <f>E13+E14+#REF!+E15+E16+E17+E19+E20+E21+E22+E23+E24+E25+E26+E27+E28+E29+E30+E31+E32+E33+E34+E35+E36+E38+#REF!+E39+E40+E41</f>
        <v>#REF!</v>
      </c>
      <c r="F65" s="233" t="e">
        <f>F13+F14+#REF!+F15+F16+F17+F19+F20+F21+F22+F23+F24+F25+F26+F27+F28+F29+F30+F31+F32+F33+F34+F35+F36+F38+#REF!+F39+F40+F41</f>
        <v>#REF!</v>
      </c>
      <c r="G65" s="233" t="e">
        <f>G13+G14+#REF!+G15+G16+G17+G19+G20+G21+G22+G23+G24+G25+G26+G27+G28+G29+G30+G31+G32+G33+G34+G35+G36+G38+#REF!+G39+G40+G41</f>
        <v>#REF!</v>
      </c>
      <c r="H65" s="233" t="e">
        <f>H13+H14+#REF!+H15+H16+H17+H19+H20+H21+H22+H23+H24+H25+H26+H27+H28+H29+H30+H31+H32+H33+H34+H35+H36+H38+#REF!+H39+H40+H41</f>
        <v>#REF!</v>
      </c>
      <c r="I65" s="233" t="e">
        <f>I13+I14+#REF!+I15+I16+I17+I19+I20+I21+I22+I23+I24+I25+I26+I27+I28+I29+I30+I31+I32+I33+I34+I35+I36+I38+#REF!+I39+I40+I41</f>
        <v>#REF!</v>
      </c>
      <c r="J65" s="233" t="e">
        <f>J13+J14+#REF!+J15+J16+J17+J19+J20+J21+J22+J23+J24+J25+J26+J27+J28+J29+J30+J31+J32+J33+J34+J35+J36+J38+#REF!+J39+J40+J41</f>
        <v>#REF!</v>
      </c>
      <c r="K65" s="233" t="e">
        <f>K13+K14+#REF!+K15+K16+K17+K19+K20+K21+K22+K23+K24+K25+K26+K27+K28+K29+K30+K31+K32+K33+K34+K35+K36+K38+#REF!+K39+K40+K41</f>
        <v>#REF!</v>
      </c>
      <c r="L65" s="233" t="e">
        <f>L13+L14+#REF!+L15+L16+L17+L19+L20+L21+L22+L23+L24+L25+L26+L27+L28+L29+L30+L31+L32+L33+L34+L35+L36+L38+#REF!+L39+L40+L41</f>
        <v>#REF!</v>
      </c>
      <c r="M65" s="233" t="e">
        <f>M13+M14+#REF!+M15+M16+M17+M19+M20+M21+M22+M23+M24+M25+M26+M27+M28+M29+M30+M31+M32+M33+M34+M35+M36+M38+#REF!+M39+M40+M41</f>
        <v>#REF!</v>
      </c>
      <c r="N65" s="233" t="e">
        <f>N13+N14+#REF!+N15+N16+N17+N19+N20+N21+N22+N23+N24+N25+N26+N27+N28+N29+N30+N31+N32+N33+N34+N35+N36+N38+#REF!+N39+N40+N41</f>
        <v>#REF!</v>
      </c>
      <c r="O65" s="233" t="e">
        <f>O13+O14+#REF!+O15+O16+O17+O19+O20+O21+O22+O23+O24+O25+O26+O27+O28+O29+O30+O31+O32+O33+O34+O35+O36+O38+#REF!+O39+O40+O41</f>
        <v>#REF!</v>
      </c>
      <c r="P65" s="233" t="e">
        <f>P13+P14+#REF!+P15+P16+P17+P19+P20+P21+P22+P23+P24+P25+P26+P27+P28+P29+P30+P31+P32+P33+P34+P35+P36+P38+#REF!+P39+P40+P41</f>
        <v>#REF!</v>
      </c>
      <c r="Q65" s="233" t="e">
        <f>Q13+Q14+#REF!+Q15+Q16+Q17+Q19+Q20+Q21+Q22+Q23+Q24+Q25+Q26+Q27+Q28+Q29+Q30+Q31+Q32+Q33+Q34+Q35+Q36+Q38+#REF!+Q39+Q40+Q41</f>
        <v>#REF!</v>
      </c>
      <c r="R65" s="233" t="e">
        <f>R13+R14+#REF!+R15+R16+R17+R19+R20+R21+R22+R23+R24+R25+R26+R27+R28+R29+R30+R31+R32+R33+R34+R35+R36+R38+#REF!+R39+R40+R41</f>
        <v>#REF!</v>
      </c>
      <c r="S65" s="233" t="e">
        <f>S13+S14+#REF!+S15+S16+S17+S19+S20+S21+S22+S23+S24+S25+S26+S27+S28+S29+S30+S31+S32+S33+S34+S35+S36+S38+#REF!+S39+S40+S41</f>
        <v>#REF!</v>
      </c>
      <c r="T65" s="233" t="e">
        <f>T13+T14+#REF!+T15+T16+T17+T19+T20+T21+T22+T23+T24+T25+T26+T27+T28+T29+T30+T31+T32+T33+T34+T35+T36+T38+#REF!+T39+T40+T41</f>
        <v>#REF!</v>
      </c>
      <c r="U65" s="233" t="e">
        <f>U13+U14+#REF!+U15+U16+U17+U19+U20+U21+U22+U23+U24+U25+U26+U27+U28+U29+U30+U31+U32+U33+U34+U35+U36+U38+#REF!+U39+U40+U41</f>
        <v>#REF!</v>
      </c>
      <c r="V65" s="233" t="e">
        <f>V13+V14+#REF!+V15+V16+V17+V19+V20+V21+V22+V23+V24+V25+V26+V27+V28+V29+V30+V31+V32+V33+V34+V35+V36+V38+#REF!+V39+V40+V41</f>
        <v>#REF!</v>
      </c>
      <c r="W65" s="233" t="e">
        <f>W13+W14+#REF!+W15+W16+W17+W19+W20+W21+W22+W23+W24+W25+W26+W27+W28+W29+W30+W31+W32+W33+W34+W35+W36+W38+#REF!+W39+W40+W41</f>
        <v>#REF!</v>
      </c>
      <c r="X65" s="234" t="e">
        <f t="shared" ref="X65:X67" si="94">V65+W65</f>
        <v>#REF!</v>
      </c>
    </row>
    <row r="66" spans="1:26" hidden="1" x14ac:dyDescent="0.2">
      <c r="A66" s="23"/>
      <c r="B66" s="233" t="s">
        <v>123</v>
      </c>
      <c r="C66" s="233" t="e">
        <f>C11+C18+#REF!</f>
        <v>#REF!</v>
      </c>
      <c r="D66" s="233" t="e">
        <f>D11+D18+#REF!</f>
        <v>#REF!</v>
      </c>
      <c r="E66" s="183" t="e">
        <f>E11+E18+#REF!</f>
        <v>#REF!</v>
      </c>
      <c r="F66" s="233" t="e">
        <f>F11+F18+#REF!</f>
        <v>#REF!</v>
      </c>
      <c r="G66" s="233" t="e">
        <f>G11+G18+#REF!</f>
        <v>#REF!</v>
      </c>
      <c r="H66" s="233" t="e">
        <f>H11+H18+#REF!</f>
        <v>#REF!</v>
      </c>
      <c r="I66" s="233" t="e">
        <f>I11+I18+#REF!</f>
        <v>#REF!</v>
      </c>
      <c r="J66" s="233" t="e">
        <f>J11+J18+#REF!</f>
        <v>#REF!</v>
      </c>
      <c r="K66" s="233" t="e">
        <f>K11+K18+#REF!</f>
        <v>#REF!</v>
      </c>
      <c r="L66" s="233" t="e">
        <f>L11+L18+#REF!</f>
        <v>#REF!</v>
      </c>
      <c r="M66" s="233" t="e">
        <f>M11+M18+#REF!</f>
        <v>#REF!</v>
      </c>
      <c r="N66" s="233" t="e">
        <f>N11+N18+#REF!</f>
        <v>#REF!</v>
      </c>
      <c r="O66" s="233" t="e">
        <f>O11+O18+#REF!</f>
        <v>#REF!</v>
      </c>
      <c r="P66" s="233" t="e">
        <f>P11+P18+#REF!</f>
        <v>#REF!</v>
      </c>
      <c r="Q66" s="233" t="e">
        <f>Q11+Q18+#REF!</f>
        <v>#REF!</v>
      </c>
      <c r="R66" s="233" t="e">
        <f>R11+R18+#REF!</f>
        <v>#REF!</v>
      </c>
      <c r="S66" s="233" t="e">
        <f>S11+S18+#REF!</f>
        <v>#REF!</v>
      </c>
      <c r="T66" s="233" t="e">
        <f>T11+T18+#REF!</f>
        <v>#REF!</v>
      </c>
      <c r="U66" s="233" t="e">
        <f>U11+U18+#REF!</f>
        <v>#REF!</v>
      </c>
      <c r="V66" s="233" t="e">
        <f>V11+V18+#REF!</f>
        <v>#REF!</v>
      </c>
      <c r="W66" s="233" t="e">
        <f>W11+W18+#REF!</f>
        <v>#REF!</v>
      </c>
      <c r="X66" s="234" t="e">
        <f t="shared" si="94"/>
        <v>#REF!</v>
      </c>
    </row>
    <row r="67" spans="1:26" hidden="1" x14ac:dyDescent="0.2">
      <c r="A67" s="23"/>
      <c r="B67" s="233"/>
      <c r="C67" s="233" t="e">
        <f>C64+C65+C66</f>
        <v>#REF!</v>
      </c>
      <c r="D67" s="233" t="e">
        <f t="shared" ref="D67:W67" si="95">D64+D65+D66</f>
        <v>#REF!</v>
      </c>
      <c r="E67" s="183" t="e">
        <f t="shared" si="95"/>
        <v>#REF!</v>
      </c>
      <c r="F67" s="233" t="e">
        <f t="shared" si="95"/>
        <v>#REF!</v>
      </c>
      <c r="G67" s="233" t="e">
        <f t="shared" si="95"/>
        <v>#REF!</v>
      </c>
      <c r="H67" s="233" t="e">
        <f t="shared" si="95"/>
        <v>#REF!</v>
      </c>
      <c r="I67" s="233" t="e">
        <f t="shared" si="95"/>
        <v>#REF!</v>
      </c>
      <c r="J67" s="233" t="e">
        <f t="shared" si="95"/>
        <v>#REF!</v>
      </c>
      <c r="K67" s="233" t="e">
        <f t="shared" si="95"/>
        <v>#REF!</v>
      </c>
      <c r="L67" s="233" t="e">
        <f t="shared" si="95"/>
        <v>#REF!</v>
      </c>
      <c r="M67" s="233" t="e">
        <f t="shared" si="95"/>
        <v>#REF!</v>
      </c>
      <c r="N67" s="233" t="e">
        <f t="shared" si="95"/>
        <v>#REF!</v>
      </c>
      <c r="O67" s="233" t="e">
        <f t="shared" si="95"/>
        <v>#REF!</v>
      </c>
      <c r="P67" s="233" t="e">
        <f t="shared" si="95"/>
        <v>#REF!</v>
      </c>
      <c r="Q67" s="233" t="e">
        <f t="shared" si="95"/>
        <v>#REF!</v>
      </c>
      <c r="R67" s="233" t="e">
        <f t="shared" si="95"/>
        <v>#REF!</v>
      </c>
      <c r="S67" s="233" t="e">
        <f t="shared" si="95"/>
        <v>#REF!</v>
      </c>
      <c r="T67" s="233" t="e">
        <f t="shared" si="95"/>
        <v>#REF!</v>
      </c>
      <c r="U67" s="233" t="e">
        <f t="shared" si="95"/>
        <v>#REF!</v>
      </c>
      <c r="V67" s="233" t="e">
        <f t="shared" si="95"/>
        <v>#REF!</v>
      </c>
      <c r="W67" s="233" t="e">
        <f t="shared" si="95"/>
        <v>#REF!</v>
      </c>
      <c r="X67" s="234" t="e">
        <f t="shared" si="94"/>
        <v>#REF!</v>
      </c>
      <c r="Y67" s="22" t="e">
        <f>V67+#REF!</f>
        <v>#REF!</v>
      </c>
      <c r="Z67" s="22" t="e">
        <f>W67+#REF!</f>
        <v>#REF!</v>
      </c>
    </row>
    <row r="68" spans="1:26" hidden="1" x14ac:dyDescent="0.2">
      <c r="A68" s="23"/>
      <c r="B68" s="233"/>
      <c r="C68" s="233"/>
      <c r="D68" s="233"/>
      <c r="E68" s="183"/>
      <c r="F68" s="233"/>
      <c r="G68" s="233"/>
      <c r="H68" s="233"/>
      <c r="I68" s="233"/>
      <c r="J68" s="233"/>
      <c r="K68" s="233"/>
      <c r="L68" s="233"/>
      <c r="M68" s="233"/>
      <c r="N68" s="233"/>
      <c r="O68" s="233"/>
      <c r="P68" s="233"/>
      <c r="Q68" s="233"/>
      <c r="R68" s="233"/>
      <c r="S68" s="233"/>
      <c r="T68" s="233"/>
      <c r="U68" s="233"/>
      <c r="V68" s="233"/>
      <c r="W68" s="233"/>
      <c r="X68" s="233"/>
    </row>
    <row r="69" spans="1:26" hidden="1" x14ac:dyDescent="0.2">
      <c r="E69" s="51"/>
    </row>
    <row r="70" spans="1:26" hidden="1" x14ac:dyDescent="0.2">
      <c r="E70" s="51"/>
    </row>
    <row r="71" spans="1:26" hidden="1" x14ac:dyDescent="0.2">
      <c r="E71" s="51"/>
    </row>
    <row r="72" spans="1:26" hidden="1" x14ac:dyDescent="0.2">
      <c r="E72" s="51"/>
    </row>
    <row r="73" spans="1:26" hidden="1" x14ac:dyDescent="0.2">
      <c r="E73" s="51"/>
    </row>
    <row r="74" spans="1:26" hidden="1" x14ac:dyDescent="0.2">
      <c r="E74" s="51"/>
    </row>
    <row r="75" spans="1:26" hidden="1" x14ac:dyDescent="0.2">
      <c r="E75" s="51"/>
    </row>
    <row r="76" spans="1:26" x14ac:dyDescent="0.2">
      <c r="E76" s="51"/>
    </row>
    <row r="77" spans="1:26" x14ac:dyDescent="0.2">
      <c r="E77" s="51"/>
    </row>
    <row r="78" spans="1:26" x14ac:dyDescent="0.2">
      <c r="E78" s="51"/>
    </row>
    <row r="79" spans="1:26" x14ac:dyDescent="0.2">
      <c r="E79" s="51"/>
    </row>
    <row r="80" spans="1:26" x14ac:dyDescent="0.2">
      <c r="E80" s="51"/>
    </row>
    <row r="81" spans="5:5" x14ac:dyDescent="0.2">
      <c r="E81" s="51"/>
    </row>
    <row r="82" spans="5:5" x14ac:dyDescent="0.2">
      <c r="E82" s="51"/>
    </row>
    <row r="83" spans="5:5" x14ac:dyDescent="0.2">
      <c r="E83" s="51"/>
    </row>
    <row r="84" spans="5:5" x14ac:dyDescent="0.2">
      <c r="E84" s="51"/>
    </row>
    <row r="85" spans="5:5" x14ac:dyDescent="0.2">
      <c r="E85" s="51"/>
    </row>
    <row r="86" spans="5:5" x14ac:dyDescent="0.2">
      <c r="E86" s="51"/>
    </row>
    <row r="87" spans="5:5" x14ac:dyDescent="0.2">
      <c r="E87" s="51"/>
    </row>
    <row r="88" spans="5:5" x14ac:dyDescent="0.2">
      <c r="E88" s="51"/>
    </row>
    <row r="89" spans="5:5" x14ac:dyDescent="0.2">
      <c r="E89" s="51"/>
    </row>
    <row r="90" spans="5:5" x14ac:dyDescent="0.2">
      <c r="E90" s="51"/>
    </row>
    <row r="91" spans="5:5" x14ac:dyDescent="0.2">
      <c r="E91" s="51"/>
    </row>
    <row r="92" spans="5:5" x14ac:dyDescent="0.2">
      <c r="E92" s="51"/>
    </row>
    <row r="93" spans="5:5" x14ac:dyDescent="0.2">
      <c r="E93" s="51"/>
    </row>
    <row r="94" spans="5:5" x14ac:dyDescent="0.2">
      <c r="E94" s="51"/>
    </row>
    <row r="95" spans="5:5" x14ac:dyDescent="0.2">
      <c r="E95" s="51"/>
    </row>
    <row r="96" spans="5:5" x14ac:dyDescent="0.2">
      <c r="E96" s="51"/>
    </row>
    <row r="97" spans="5:5" x14ac:dyDescent="0.2">
      <c r="E97" s="51"/>
    </row>
    <row r="98" spans="5:5" x14ac:dyDescent="0.2">
      <c r="E98" s="51"/>
    </row>
    <row r="99" spans="5:5" x14ac:dyDescent="0.2">
      <c r="E99" s="51"/>
    </row>
    <row r="100" spans="5:5" x14ac:dyDescent="0.2">
      <c r="E100" s="51"/>
    </row>
    <row r="101" spans="5:5" x14ac:dyDescent="0.2">
      <c r="E101" s="51"/>
    </row>
    <row r="102" spans="5:5" x14ac:dyDescent="0.2">
      <c r="E102" s="51"/>
    </row>
    <row r="103" spans="5:5" x14ac:dyDescent="0.2">
      <c r="E103" s="51"/>
    </row>
    <row r="104" spans="5:5" x14ac:dyDescent="0.2">
      <c r="E104" s="51"/>
    </row>
    <row r="105" spans="5:5" x14ac:dyDescent="0.2">
      <c r="E105" s="51"/>
    </row>
  </sheetData>
  <autoFilter ref="A8:AS57" xr:uid="{00000000-0009-0000-0000-000054000000}"/>
  <mergeCells count="38">
    <mergeCell ref="AE1:AH1"/>
    <mergeCell ref="A2:AH2"/>
    <mergeCell ref="A3:AH3"/>
    <mergeCell ref="A5:A7"/>
    <mergeCell ref="B5:B7"/>
    <mergeCell ref="C5:C7"/>
    <mergeCell ref="D5:W5"/>
    <mergeCell ref="D6:D7"/>
    <mergeCell ref="E6:E7"/>
    <mergeCell ref="N6:O6"/>
    <mergeCell ref="P6:P7"/>
    <mergeCell ref="Q6:Q7"/>
    <mergeCell ref="R6:R7"/>
    <mergeCell ref="F6:F7"/>
    <mergeCell ref="S6:S7"/>
    <mergeCell ref="K6:K7"/>
    <mergeCell ref="A52:B52"/>
    <mergeCell ref="U9:U51"/>
    <mergeCell ref="AA6:AC6"/>
    <mergeCell ref="AD6:AF6"/>
    <mergeCell ref="AG6:AG7"/>
    <mergeCell ref="G6:G7"/>
    <mergeCell ref="I55:J55"/>
    <mergeCell ref="K55:L55"/>
    <mergeCell ref="X5:AH5"/>
    <mergeCell ref="G55:H55"/>
    <mergeCell ref="M55:N55"/>
    <mergeCell ref="L6:L7"/>
    <mergeCell ref="M6:M7"/>
    <mergeCell ref="AH6:AH7"/>
    <mergeCell ref="W6:W7"/>
    <mergeCell ref="X6:Z6"/>
    <mergeCell ref="H6:H7"/>
    <mergeCell ref="I6:I7"/>
    <mergeCell ref="J6:J7"/>
    <mergeCell ref="T6:T7"/>
    <mergeCell ref="U6:U7"/>
    <mergeCell ref="V6:V7"/>
  </mergeCells>
  <printOptions horizontalCentered="1"/>
  <pageMargins left="0" right="0" top="0" bottom="0" header="0.31496062992125984" footer="0.31496062992125984"/>
  <pageSetup paperSize="9" scale="37" orientation="landscape" r:id="rId1"/>
  <legacy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00B0F0"/>
    <pageSetUpPr fitToPage="1"/>
  </sheetPr>
  <dimension ref="A1:AS66"/>
  <sheetViews>
    <sheetView view="pageBreakPreview" zoomScale="80" zoomScaleNormal="70" zoomScaleSheetLayoutView="80" workbookViewId="0">
      <pane xSplit="3" ySplit="8" topLeftCell="M18" activePane="bottomRight" state="frozen"/>
      <selection activeCell="M26" sqref="M26:N26"/>
      <selection pane="topRight" activeCell="M26" sqref="M26:N26"/>
      <selection pane="bottomLeft" activeCell="M26" sqref="M26:N26"/>
      <selection pane="bottomRight" activeCell="M26" sqref="M26:N26"/>
    </sheetView>
  </sheetViews>
  <sheetFormatPr defaultRowHeight="15" x14ac:dyDescent="0.2"/>
  <cols>
    <col min="1" max="1" width="9.6640625" style="98" customWidth="1"/>
    <col min="2" max="2" width="30.83203125" style="99" customWidth="1"/>
    <col min="3" max="3" width="13.83203125" style="99" customWidth="1"/>
    <col min="4" max="4" width="13.5" style="99" customWidth="1"/>
    <col min="5" max="5" width="13" style="99" customWidth="1"/>
    <col min="6" max="6" width="14.6640625" style="99" customWidth="1"/>
    <col min="7" max="7" width="11.5" style="99" customWidth="1"/>
    <col min="8" max="8" width="11.6640625" style="99" customWidth="1"/>
    <col min="9" max="9" width="11.33203125" style="99" customWidth="1"/>
    <col min="10" max="10" width="16" style="99" customWidth="1"/>
    <col min="11" max="11" width="13.1640625" style="99" customWidth="1"/>
    <col min="12" max="17" width="11.5" style="99" customWidth="1"/>
    <col min="18" max="18" width="11.6640625" style="99" customWidth="1"/>
    <col min="19" max="19" width="14.6640625" style="99" customWidth="1"/>
    <col min="20" max="20" width="12.33203125" style="99" customWidth="1"/>
    <col min="21" max="21" width="11.6640625" style="99" customWidth="1"/>
    <col min="22" max="22" width="13.83203125" style="99" customWidth="1"/>
    <col min="23" max="23" width="13" style="99" customWidth="1"/>
    <col min="24" max="24" width="11" style="99" customWidth="1"/>
    <col min="25" max="25" width="12.1640625" style="99" customWidth="1"/>
    <col min="26" max="26" width="9.6640625" style="99" customWidth="1"/>
    <col min="27" max="27" width="8.5" style="99" customWidth="1"/>
    <col min="28" max="28" width="9.1640625" style="99" customWidth="1"/>
    <col min="29" max="29" width="9" style="99" customWidth="1"/>
    <col min="30" max="30" width="8.5" style="99" customWidth="1"/>
    <col min="31" max="31" width="9.1640625" style="99" customWidth="1"/>
    <col min="32" max="32" width="10" style="99" customWidth="1"/>
    <col min="33" max="33" width="9.33203125" style="99" customWidth="1"/>
    <col min="34" max="34" width="10.6640625" style="99" customWidth="1"/>
    <col min="35" max="35" width="11.1640625" style="99" customWidth="1"/>
    <col min="36" max="36" width="9.33203125" style="99"/>
    <col min="37" max="37" width="10.6640625" style="99" bestFit="1" customWidth="1"/>
    <col min="38" max="38" width="9.33203125" style="99" hidden="1" customWidth="1"/>
    <col min="39" max="39" width="13" style="99" hidden="1" customWidth="1"/>
    <col min="40" max="40" width="14.1640625" style="211" bestFit="1" customWidth="1"/>
    <col min="41" max="42" width="9.33203125" style="211"/>
    <col min="43" max="43" width="11.33203125" style="211" bestFit="1" customWidth="1"/>
    <col min="44" max="16384" width="9.33203125" style="99"/>
  </cols>
  <sheetData>
    <row r="1" spans="1:45" ht="23.25" customHeight="1" x14ac:dyDescent="0.2">
      <c r="AE1" s="2263"/>
      <c r="AF1" s="2263"/>
      <c r="AG1" s="2263"/>
      <c r="AH1" s="2263"/>
    </row>
    <row r="2" spans="1:45" ht="24" customHeight="1" x14ac:dyDescent="0.2">
      <c r="A2" s="2264" t="s">
        <v>147</v>
      </c>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35"/>
    </row>
    <row r="3" spans="1:45" ht="24.75" customHeight="1" x14ac:dyDescent="0.2">
      <c r="A3" s="2265"/>
      <c r="B3" s="2265"/>
      <c r="C3" s="2265"/>
      <c r="D3" s="2265"/>
      <c r="E3" s="2265"/>
      <c r="F3" s="2265"/>
      <c r="G3" s="2265"/>
      <c r="H3" s="2265"/>
      <c r="I3" s="2265"/>
      <c r="J3" s="2265"/>
      <c r="K3" s="2265"/>
      <c r="L3" s="2265"/>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101"/>
    </row>
    <row r="4" spans="1:45" x14ac:dyDescent="0.2">
      <c r="L4" s="38">
        <v>0.15451000000000001</v>
      </c>
    </row>
    <row r="5" spans="1:45" ht="38.25" customHeight="1" x14ac:dyDescent="0.2">
      <c r="A5" s="2266" t="s">
        <v>78</v>
      </c>
      <c r="B5" s="2266" t="s">
        <v>77</v>
      </c>
      <c r="C5" s="2256" t="s">
        <v>0</v>
      </c>
      <c r="D5" s="2256" t="s">
        <v>3</v>
      </c>
      <c r="E5" s="2256"/>
      <c r="F5" s="2256"/>
      <c r="G5" s="2256"/>
      <c r="H5" s="2256"/>
      <c r="I5" s="2256"/>
      <c r="J5" s="2256"/>
      <c r="K5" s="2256"/>
      <c r="L5" s="2256"/>
      <c r="M5" s="2256"/>
      <c r="N5" s="2256"/>
      <c r="O5" s="2256"/>
      <c r="P5" s="2256"/>
      <c r="Q5" s="2256"/>
      <c r="R5" s="2256"/>
      <c r="S5" s="2256"/>
      <c r="T5" s="2256"/>
      <c r="U5" s="2256"/>
      <c r="V5" s="2256"/>
      <c r="W5" s="2256"/>
      <c r="X5" s="2256" t="s">
        <v>4</v>
      </c>
      <c r="Y5" s="2256"/>
      <c r="Z5" s="2256"/>
      <c r="AA5" s="2256"/>
      <c r="AB5" s="2256"/>
      <c r="AC5" s="2256"/>
      <c r="AD5" s="2256"/>
      <c r="AE5" s="2256"/>
      <c r="AF5" s="2256"/>
      <c r="AG5" s="2256"/>
      <c r="AH5" s="2256"/>
    </row>
    <row r="6" spans="1:45" ht="60" customHeight="1" x14ac:dyDescent="0.2">
      <c r="A6" s="2266"/>
      <c r="B6" s="2266"/>
      <c r="C6" s="2256"/>
      <c r="D6" s="2259" t="s">
        <v>68</v>
      </c>
      <c r="E6" s="2259" t="s">
        <v>69</v>
      </c>
      <c r="F6" s="2259" t="s">
        <v>89</v>
      </c>
      <c r="G6" s="2259" t="s">
        <v>1</v>
      </c>
      <c r="H6" s="2259" t="s">
        <v>2</v>
      </c>
      <c r="I6" s="2259" t="s">
        <v>70</v>
      </c>
      <c r="J6" s="2259" t="s">
        <v>61</v>
      </c>
      <c r="K6" s="2259" t="s">
        <v>27</v>
      </c>
      <c r="L6" s="2261" t="s">
        <v>65</v>
      </c>
      <c r="M6" s="2261" t="s">
        <v>86</v>
      </c>
      <c r="N6" s="2262" t="s">
        <v>90</v>
      </c>
      <c r="O6" s="2262"/>
      <c r="P6" s="2262" t="s">
        <v>88</v>
      </c>
      <c r="Q6" s="2261" t="s">
        <v>82</v>
      </c>
      <c r="R6" s="2259" t="s">
        <v>83</v>
      </c>
      <c r="S6" s="2261" t="s">
        <v>87</v>
      </c>
      <c r="T6" s="2259" t="s">
        <v>84</v>
      </c>
      <c r="U6" s="2259" t="s">
        <v>9</v>
      </c>
      <c r="V6" s="2259" t="s">
        <v>7</v>
      </c>
      <c r="W6" s="2259" t="s">
        <v>85</v>
      </c>
      <c r="X6" s="2256" t="s">
        <v>10</v>
      </c>
      <c r="Y6" s="2256"/>
      <c r="Z6" s="2256"/>
      <c r="AA6" s="2256" t="s">
        <v>11</v>
      </c>
      <c r="AB6" s="2256"/>
      <c r="AC6" s="2256"/>
      <c r="AD6" s="2256" t="s">
        <v>12</v>
      </c>
      <c r="AE6" s="2256"/>
      <c r="AF6" s="2256"/>
      <c r="AG6" s="2256" t="s">
        <v>13</v>
      </c>
      <c r="AH6" s="2256" t="s">
        <v>73</v>
      </c>
    </row>
    <row r="7" spans="1:45" ht="97.5" customHeight="1" x14ac:dyDescent="0.2">
      <c r="A7" s="2266"/>
      <c r="B7" s="2266"/>
      <c r="C7" s="2256"/>
      <c r="D7" s="2259"/>
      <c r="E7" s="2259"/>
      <c r="F7" s="2259"/>
      <c r="G7" s="2259"/>
      <c r="H7" s="2259"/>
      <c r="I7" s="2259"/>
      <c r="J7" s="2259"/>
      <c r="K7" s="2259"/>
      <c r="L7" s="2261" t="s">
        <v>66</v>
      </c>
      <c r="M7" s="2261"/>
      <c r="N7" s="104" t="s">
        <v>80</v>
      </c>
      <c r="O7" s="104" t="s">
        <v>81</v>
      </c>
      <c r="P7" s="2262"/>
      <c r="Q7" s="2261"/>
      <c r="R7" s="2259"/>
      <c r="S7" s="2261" t="s">
        <v>67</v>
      </c>
      <c r="T7" s="2259"/>
      <c r="U7" s="2259"/>
      <c r="V7" s="2259"/>
      <c r="W7" s="2259"/>
      <c r="X7" s="105" t="s">
        <v>5</v>
      </c>
      <c r="Y7" s="105" t="s">
        <v>6</v>
      </c>
      <c r="Z7" s="105" t="s">
        <v>74</v>
      </c>
      <c r="AA7" s="105" t="s">
        <v>5</v>
      </c>
      <c r="AB7" s="105" t="s">
        <v>6</v>
      </c>
      <c r="AC7" s="105" t="s">
        <v>75</v>
      </c>
      <c r="AD7" s="105" t="s">
        <v>5</v>
      </c>
      <c r="AE7" s="105" t="s">
        <v>6</v>
      </c>
      <c r="AF7" s="105" t="s">
        <v>76</v>
      </c>
      <c r="AG7" s="2256"/>
      <c r="AH7" s="2256"/>
      <c r="AK7" s="98" t="s">
        <v>64</v>
      </c>
      <c r="AL7" s="98" t="s">
        <v>62</v>
      </c>
      <c r="AM7" s="98" t="s">
        <v>63</v>
      </c>
    </row>
    <row r="8" spans="1:45" ht="15.75" customHeight="1" x14ac:dyDescent="0.2">
      <c r="A8" s="103">
        <v>1</v>
      </c>
      <c r="B8" s="103">
        <v>2</v>
      </c>
      <c r="C8" s="103">
        <v>3</v>
      </c>
      <c r="D8" s="103">
        <v>4</v>
      </c>
      <c r="E8" s="103">
        <v>5</v>
      </c>
      <c r="F8" s="103">
        <v>6</v>
      </c>
      <c r="G8" s="103">
        <v>7</v>
      </c>
      <c r="H8" s="103">
        <v>8</v>
      </c>
      <c r="I8" s="103">
        <v>9</v>
      </c>
      <c r="J8" s="103">
        <v>10</v>
      </c>
      <c r="K8" s="103">
        <v>11</v>
      </c>
      <c r="L8" s="103">
        <v>12</v>
      </c>
      <c r="M8" s="103">
        <v>13</v>
      </c>
      <c r="N8" s="103">
        <v>14</v>
      </c>
      <c r="O8" s="103">
        <v>15</v>
      </c>
      <c r="P8" s="103">
        <v>16</v>
      </c>
      <c r="Q8" s="103">
        <v>17</v>
      </c>
      <c r="R8" s="103">
        <v>18</v>
      </c>
      <c r="S8" s="103">
        <v>19</v>
      </c>
      <c r="T8" s="103">
        <v>20</v>
      </c>
      <c r="U8" s="103">
        <v>21</v>
      </c>
      <c r="V8" s="103">
        <v>22</v>
      </c>
      <c r="W8" s="103">
        <v>23</v>
      </c>
      <c r="X8" s="103">
        <v>25</v>
      </c>
      <c r="Y8" s="103">
        <v>26</v>
      </c>
      <c r="Z8" s="103">
        <v>27</v>
      </c>
      <c r="AA8" s="103">
        <v>28</v>
      </c>
      <c r="AB8" s="103">
        <v>29</v>
      </c>
      <c r="AC8" s="103">
        <v>30</v>
      </c>
      <c r="AD8" s="103">
        <v>31</v>
      </c>
      <c r="AE8" s="103">
        <v>32</v>
      </c>
      <c r="AF8" s="103">
        <v>33</v>
      </c>
      <c r="AG8" s="103">
        <v>34</v>
      </c>
      <c r="AH8" s="103">
        <v>35</v>
      </c>
      <c r="AN8" s="212" t="s">
        <v>116</v>
      </c>
      <c r="AO8" s="212" t="s">
        <v>117</v>
      </c>
      <c r="AP8" s="212" t="s">
        <v>118</v>
      </c>
      <c r="AQ8" s="212" t="s">
        <v>119</v>
      </c>
    </row>
    <row r="9" spans="1:45" ht="16.5" customHeight="1" x14ac:dyDescent="0.2">
      <c r="A9" s="103">
        <v>1</v>
      </c>
      <c r="B9" s="236" t="s">
        <v>14</v>
      </c>
      <c r="C9" s="103">
        <v>1</v>
      </c>
      <c r="D9" s="237">
        <v>25.672999999999998</v>
      </c>
      <c r="E9" s="169">
        <f t="shared" ref="E9:E24" si="0">C9*D9</f>
        <v>25.67</v>
      </c>
      <c r="F9" s="170">
        <f t="shared" ref="F9:F24" si="1">E9*12</f>
        <v>308</v>
      </c>
      <c r="G9" s="95"/>
      <c r="H9" s="95"/>
      <c r="I9" s="95"/>
      <c r="J9" s="95"/>
      <c r="K9" s="95">
        <f>F9*0.3</f>
        <v>92.4</v>
      </c>
      <c r="L9" s="95">
        <f>F9*$L$4</f>
        <v>47.6</v>
      </c>
      <c r="M9" s="95">
        <f t="shared" ref="M9:M24" si="2">F9+G9+H9+I9+J9+K9+L9</f>
        <v>448</v>
      </c>
      <c r="N9" s="111">
        <v>0.42</v>
      </c>
      <c r="O9" s="95">
        <f t="shared" ref="O9:O24" si="3">M9*N9</f>
        <v>188.2</v>
      </c>
      <c r="P9" s="95">
        <f t="shared" ref="P9:P24" si="4">M9+O9</f>
        <v>636.20000000000005</v>
      </c>
      <c r="Q9" s="95">
        <f t="shared" ref="Q9:Q24" si="5">P9*0.8</f>
        <v>509</v>
      </c>
      <c r="R9" s="95">
        <f t="shared" ref="R9:R24" si="6">P9*0.8</f>
        <v>509</v>
      </c>
      <c r="S9" s="95">
        <f t="shared" ref="S9:S24" si="7">(P9+Q9+R9)*0.032</f>
        <v>52.9</v>
      </c>
      <c r="T9" s="95">
        <f t="shared" ref="T9:T24" si="8">P9+Q9+R9+S9</f>
        <v>1707.1</v>
      </c>
      <c r="U9" s="2915">
        <v>1</v>
      </c>
      <c r="V9" s="95">
        <f>T9*$U$9</f>
        <v>1707.1</v>
      </c>
      <c r="W9" s="95">
        <f>AQ9</f>
        <v>424.3</v>
      </c>
      <c r="X9" s="103">
        <v>1</v>
      </c>
      <c r="Y9" s="112">
        <v>30</v>
      </c>
      <c r="Z9" s="113">
        <f t="shared" ref="Z9:Z24" si="9">X9*Y9</f>
        <v>30</v>
      </c>
      <c r="AA9" s="103"/>
      <c r="AB9" s="112">
        <v>15</v>
      </c>
      <c r="AC9" s="113">
        <f t="shared" ref="AC9:AC24" si="10">AA9*AB9</f>
        <v>0</v>
      </c>
      <c r="AD9" s="103">
        <v>1</v>
      </c>
      <c r="AE9" s="112">
        <v>30</v>
      </c>
      <c r="AF9" s="113">
        <f t="shared" ref="AF9:AF24" si="11">AD9*AE9</f>
        <v>30</v>
      </c>
      <c r="AG9" s="113">
        <f t="shared" ref="AG9:AG24" si="12">(Z9+AC9+AF9)*1%*30</f>
        <v>18</v>
      </c>
      <c r="AH9" s="113">
        <f t="shared" ref="AH9:AH24" si="13">Z9+AC9+AF9+AG9</f>
        <v>78</v>
      </c>
      <c r="AI9" s="114">
        <f t="shared" ref="AI9:AI17" si="14">V9/12/C9*1000</f>
        <v>142258.29999999999</v>
      </c>
      <c r="AK9" s="114">
        <f t="shared" ref="AK9:AK24" si="15">V9/C9</f>
        <v>1707.1</v>
      </c>
      <c r="AL9" s="114">
        <f>((979*0.302)+((AK9-979)*0.182))</f>
        <v>428.2</v>
      </c>
      <c r="AM9" s="115">
        <f>AL9/AK9</f>
        <v>0.251</v>
      </c>
      <c r="AN9" s="50">
        <f>1150*0.22+(AK9-1150)*0.1</f>
        <v>308.7</v>
      </c>
      <c r="AO9" s="50">
        <f>865*0.029</f>
        <v>25.1</v>
      </c>
      <c r="AP9" s="50">
        <f>AK9*0.053</f>
        <v>90.5</v>
      </c>
      <c r="AQ9" s="50">
        <f t="shared" ref="AQ9:AQ24" si="16">SUM(AN9:AP9)*C9</f>
        <v>424.3</v>
      </c>
      <c r="AS9" s="99">
        <f t="shared" ref="AS9:AS17" si="17">D9*1.5</f>
        <v>38.509500000000003</v>
      </c>
    </row>
    <row r="10" spans="1:45" x14ac:dyDescent="0.2">
      <c r="A10" s="103">
        <v>2</v>
      </c>
      <c r="B10" s="236" t="s">
        <v>127</v>
      </c>
      <c r="C10" s="103">
        <v>1</v>
      </c>
      <c r="D10" s="237">
        <v>17.971</v>
      </c>
      <c r="E10" s="169">
        <f>C10*D10</f>
        <v>17.97</v>
      </c>
      <c r="F10" s="170">
        <f t="shared" si="1"/>
        <v>215.6</v>
      </c>
      <c r="G10" s="95"/>
      <c r="H10" s="95">
        <v>11.2</v>
      </c>
      <c r="I10" s="95"/>
      <c r="J10" s="95"/>
      <c r="K10" s="95">
        <f>F10*0.3+D10*0.05*6.5</f>
        <v>70.5</v>
      </c>
      <c r="L10" s="95">
        <f t="shared" ref="L10:L22" si="18">F10*$L$4</f>
        <v>33.299999999999997</v>
      </c>
      <c r="M10" s="95">
        <f t="shared" si="2"/>
        <v>330.6</v>
      </c>
      <c r="N10" s="111">
        <v>0.47</v>
      </c>
      <c r="O10" s="95">
        <f t="shared" si="3"/>
        <v>155.4</v>
      </c>
      <c r="P10" s="95">
        <f t="shared" si="4"/>
        <v>486</v>
      </c>
      <c r="Q10" s="95">
        <f t="shared" si="5"/>
        <v>388.8</v>
      </c>
      <c r="R10" s="95">
        <f t="shared" si="6"/>
        <v>388.8</v>
      </c>
      <c r="S10" s="95">
        <f t="shared" si="7"/>
        <v>40.4</v>
      </c>
      <c r="T10" s="95">
        <f t="shared" si="8"/>
        <v>1304</v>
      </c>
      <c r="U10" s="2916"/>
      <c r="V10" s="95">
        <f>T10*$U$9</f>
        <v>1304</v>
      </c>
      <c r="W10" s="95">
        <f>AQ10</f>
        <v>362.6</v>
      </c>
      <c r="X10" s="103">
        <v>1</v>
      </c>
      <c r="Y10" s="112">
        <v>30</v>
      </c>
      <c r="Z10" s="113">
        <f t="shared" si="9"/>
        <v>30</v>
      </c>
      <c r="AA10" s="103"/>
      <c r="AB10" s="112">
        <v>15</v>
      </c>
      <c r="AC10" s="113">
        <f t="shared" si="10"/>
        <v>0</v>
      </c>
      <c r="AD10" s="103"/>
      <c r="AE10" s="112">
        <v>30</v>
      </c>
      <c r="AF10" s="113">
        <f t="shared" si="11"/>
        <v>0</v>
      </c>
      <c r="AG10" s="113">
        <f t="shared" si="12"/>
        <v>9</v>
      </c>
      <c r="AH10" s="113">
        <f t="shared" si="13"/>
        <v>39</v>
      </c>
      <c r="AI10" s="114">
        <f t="shared" si="14"/>
        <v>108666.7</v>
      </c>
      <c r="AK10" s="114">
        <f t="shared" si="15"/>
        <v>1304</v>
      </c>
      <c r="AL10" s="114">
        <f t="shared" ref="AL10:AL24" si="19">((979*0.302)+((AK10-979)*0.182))</f>
        <v>354.8</v>
      </c>
      <c r="AM10" s="115">
        <f>AL10/AK10</f>
        <v>0.27200000000000002</v>
      </c>
      <c r="AN10" s="50">
        <f>1150*0.22+(AK10-1150)*0.1</f>
        <v>268.39999999999998</v>
      </c>
      <c r="AO10" s="50">
        <f>865*0.029</f>
        <v>25.1</v>
      </c>
      <c r="AP10" s="50">
        <f>AK10*0.053</f>
        <v>69.099999999999994</v>
      </c>
      <c r="AQ10" s="50">
        <f t="shared" ref="AQ10" si="20">SUM(AN10:AP10)*C10</f>
        <v>362.6</v>
      </c>
      <c r="AS10" s="99">
        <f t="shared" si="17"/>
        <v>26.956499999999998</v>
      </c>
    </row>
    <row r="11" spans="1:45" x14ac:dyDescent="0.2">
      <c r="A11" s="103">
        <v>3</v>
      </c>
      <c r="B11" s="236" t="s">
        <v>23</v>
      </c>
      <c r="C11" s="238">
        <v>4</v>
      </c>
      <c r="D11" s="237">
        <v>11.061999999999999</v>
      </c>
      <c r="E11" s="111">
        <f t="shared" si="0"/>
        <v>44.25</v>
      </c>
      <c r="F11" s="95">
        <f t="shared" si="1"/>
        <v>531</v>
      </c>
      <c r="G11" s="95"/>
      <c r="H11" s="95">
        <f>7.01+7.789+7.01</f>
        <v>21.8</v>
      </c>
      <c r="I11" s="95"/>
      <c r="J11" s="95"/>
      <c r="K11" s="95">
        <f>F11*0.25*2+F11*0.3+D11*0.05*11.5</f>
        <v>431.2</v>
      </c>
      <c r="L11" s="95">
        <f t="shared" si="18"/>
        <v>82</v>
      </c>
      <c r="M11" s="95">
        <f t="shared" si="2"/>
        <v>1066</v>
      </c>
      <c r="N11" s="111">
        <v>0.43</v>
      </c>
      <c r="O11" s="95">
        <f t="shared" si="3"/>
        <v>458.4</v>
      </c>
      <c r="P11" s="95">
        <f t="shared" si="4"/>
        <v>1524.4</v>
      </c>
      <c r="Q11" s="95">
        <f t="shared" si="5"/>
        <v>1219.5</v>
      </c>
      <c r="R11" s="95">
        <f t="shared" si="6"/>
        <v>1219.5</v>
      </c>
      <c r="S11" s="95">
        <f t="shared" si="7"/>
        <v>126.8</v>
      </c>
      <c r="T11" s="95">
        <f t="shared" si="8"/>
        <v>4090.2</v>
      </c>
      <c r="U11" s="2916"/>
      <c r="V11" s="95">
        <f t="shared" ref="V11:V22" si="21">T11*$U$9</f>
        <v>4090.2</v>
      </c>
      <c r="W11" s="95">
        <f>AQ11</f>
        <v>1217.2</v>
      </c>
      <c r="X11" s="239">
        <v>2</v>
      </c>
      <c r="Y11" s="240">
        <v>30</v>
      </c>
      <c r="Z11" s="241">
        <f t="shared" si="9"/>
        <v>60</v>
      </c>
      <c r="AA11" s="239">
        <v>1</v>
      </c>
      <c r="AB11" s="240">
        <v>15</v>
      </c>
      <c r="AC11" s="241">
        <f t="shared" si="10"/>
        <v>15</v>
      </c>
      <c r="AD11" s="239">
        <v>1</v>
      </c>
      <c r="AE11" s="240">
        <v>30</v>
      </c>
      <c r="AF11" s="241">
        <f t="shared" si="11"/>
        <v>30</v>
      </c>
      <c r="AG11" s="241">
        <f t="shared" si="12"/>
        <v>31.5</v>
      </c>
      <c r="AH11" s="241">
        <f t="shared" si="13"/>
        <v>136.5</v>
      </c>
      <c r="AI11" s="114">
        <f t="shared" si="14"/>
        <v>85212.5</v>
      </c>
      <c r="AK11" s="114">
        <f t="shared" si="15"/>
        <v>1022.6</v>
      </c>
      <c r="AL11" s="114">
        <f t="shared" si="19"/>
        <v>303.60000000000002</v>
      </c>
      <c r="AM11" s="115">
        <v>0.30199999999999999</v>
      </c>
      <c r="AN11" s="50">
        <f t="shared" ref="AN11:AN24" si="22">AK11*0.22</f>
        <v>225</v>
      </c>
      <c r="AO11" s="50">
        <f>865*0.029</f>
        <v>25.1</v>
      </c>
      <c r="AP11" s="50">
        <f>AK11*0.053</f>
        <v>54.2</v>
      </c>
      <c r="AQ11" s="50">
        <f t="shared" si="16"/>
        <v>1217.2</v>
      </c>
      <c r="AS11" s="99">
        <f t="shared" si="17"/>
        <v>16.593</v>
      </c>
    </row>
    <row r="12" spans="1:45" x14ac:dyDescent="0.2">
      <c r="A12" s="103">
        <v>4</v>
      </c>
      <c r="B12" s="236" t="s">
        <v>47</v>
      </c>
      <c r="C12" s="238">
        <v>1</v>
      </c>
      <c r="D12" s="237">
        <v>6.2859999999999996</v>
      </c>
      <c r="E12" s="111">
        <f t="shared" si="0"/>
        <v>6.29</v>
      </c>
      <c r="F12" s="95">
        <f t="shared" si="1"/>
        <v>75.5</v>
      </c>
      <c r="G12" s="95"/>
      <c r="H12" s="95"/>
      <c r="I12" s="95"/>
      <c r="J12" s="95"/>
      <c r="K12" s="95"/>
      <c r="L12" s="95">
        <f t="shared" si="18"/>
        <v>11.7</v>
      </c>
      <c r="M12" s="95">
        <f t="shared" si="2"/>
        <v>87.2</v>
      </c>
      <c r="N12" s="111">
        <v>0.45</v>
      </c>
      <c r="O12" s="95">
        <f t="shared" si="3"/>
        <v>39.200000000000003</v>
      </c>
      <c r="P12" s="95">
        <f t="shared" si="4"/>
        <v>126.4</v>
      </c>
      <c r="Q12" s="95">
        <f t="shared" si="5"/>
        <v>101.1</v>
      </c>
      <c r="R12" s="95">
        <f t="shared" si="6"/>
        <v>101.1</v>
      </c>
      <c r="S12" s="95">
        <f t="shared" si="7"/>
        <v>10.5</v>
      </c>
      <c r="T12" s="95">
        <f t="shared" si="8"/>
        <v>339.1</v>
      </c>
      <c r="U12" s="2916"/>
      <c r="V12" s="95">
        <f t="shared" si="21"/>
        <v>339.1</v>
      </c>
      <c r="W12" s="95">
        <f t="shared" ref="W12:W24" si="23">V12*0.302</f>
        <v>102.4</v>
      </c>
      <c r="X12" s="239"/>
      <c r="Y12" s="240">
        <v>30</v>
      </c>
      <c r="Z12" s="241">
        <f t="shared" si="9"/>
        <v>0</v>
      </c>
      <c r="AA12" s="239"/>
      <c r="AB12" s="240">
        <v>15</v>
      </c>
      <c r="AC12" s="241">
        <f t="shared" si="10"/>
        <v>0</v>
      </c>
      <c r="AD12" s="239"/>
      <c r="AE12" s="240">
        <v>30</v>
      </c>
      <c r="AF12" s="241">
        <f t="shared" si="11"/>
        <v>0</v>
      </c>
      <c r="AG12" s="241">
        <f t="shared" si="12"/>
        <v>0</v>
      </c>
      <c r="AH12" s="241">
        <f t="shared" si="13"/>
        <v>0</v>
      </c>
      <c r="AI12" s="114">
        <f t="shared" si="14"/>
        <v>28258.3</v>
      </c>
      <c r="AK12" s="114">
        <f t="shared" si="15"/>
        <v>339.1</v>
      </c>
      <c r="AL12" s="114">
        <f t="shared" si="19"/>
        <v>179.2</v>
      </c>
      <c r="AM12" s="115">
        <v>0.30199999999999999</v>
      </c>
      <c r="AN12" s="50">
        <f t="shared" si="22"/>
        <v>74.599999999999994</v>
      </c>
      <c r="AO12" s="50"/>
      <c r="AP12" s="50">
        <f t="shared" ref="AP12:AP24" si="24">AK12*0.053</f>
        <v>18</v>
      </c>
      <c r="AQ12" s="50">
        <f t="shared" si="16"/>
        <v>92.6</v>
      </c>
      <c r="AR12" s="22"/>
      <c r="AS12" s="99">
        <f t="shared" si="17"/>
        <v>9.4290000000000003</v>
      </c>
    </row>
    <row r="13" spans="1:45" s="33" customFormat="1" x14ac:dyDescent="0.2">
      <c r="A13" s="103">
        <v>5</v>
      </c>
      <c r="B13" s="52" t="s">
        <v>48</v>
      </c>
      <c r="C13" s="40">
        <v>1</v>
      </c>
      <c r="D13" s="177">
        <v>11.061999999999999</v>
      </c>
      <c r="E13" s="171">
        <f t="shared" si="0"/>
        <v>11.06</v>
      </c>
      <c r="F13" s="154">
        <f t="shared" si="1"/>
        <v>132.69999999999999</v>
      </c>
      <c r="G13" s="154"/>
      <c r="H13" s="154">
        <f>7010.2/1000</f>
        <v>7</v>
      </c>
      <c r="I13" s="154"/>
      <c r="J13" s="154"/>
      <c r="K13" s="154">
        <f>F13*0.4</f>
        <v>53.1</v>
      </c>
      <c r="L13" s="95">
        <f t="shared" si="18"/>
        <v>20.5</v>
      </c>
      <c r="M13" s="154">
        <f t="shared" si="2"/>
        <v>213.3</v>
      </c>
      <c r="N13" s="111">
        <v>0.47</v>
      </c>
      <c r="O13" s="154">
        <f t="shared" si="3"/>
        <v>100.3</v>
      </c>
      <c r="P13" s="154">
        <f t="shared" si="4"/>
        <v>313.60000000000002</v>
      </c>
      <c r="Q13" s="154">
        <f t="shared" si="5"/>
        <v>250.9</v>
      </c>
      <c r="R13" s="154">
        <f t="shared" si="6"/>
        <v>250.9</v>
      </c>
      <c r="S13" s="154">
        <f t="shared" si="7"/>
        <v>26.1</v>
      </c>
      <c r="T13" s="154">
        <f t="shared" si="8"/>
        <v>841.5</v>
      </c>
      <c r="U13" s="2916"/>
      <c r="V13" s="154">
        <f t="shared" si="21"/>
        <v>841.5</v>
      </c>
      <c r="W13" s="95">
        <f t="shared" si="23"/>
        <v>254.1</v>
      </c>
      <c r="X13" s="54"/>
      <c r="Y13" s="24">
        <v>30</v>
      </c>
      <c r="Z13" s="48">
        <f t="shared" si="9"/>
        <v>0</v>
      </c>
      <c r="AA13" s="54"/>
      <c r="AB13" s="24">
        <v>15</v>
      </c>
      <c r="AC13" s="48">
        <f t="shared" si="10"/>
        <v>0</v>
      </c>
      <c r="AD13" s="54"/>
      <c r="AE13" s="24">
        <v>30</v>
      </c>
      <c r="AF13" s="48">
        <f t="shared" si="11"/>
        <v>0</v>
      </c>
      <c r="AG13" s="48">
        <f t="shared" si="12"/>
        <v>0</v>
      </c>
      <c r="AH13" s="48">
        <f t="shared" si="13"/>
        <v>0</v>
      </c>
      <c r="AI13" s="34">
        <f t="shared" si="14"/>
        <v>70125</v>
      </c>
      <c r="AK13" s="34">
        <f t="shared" si="15"/>
        <v>841.5</v>
      </c>
      <c r="AL13" s="34">
        <f t="shared" si="19"/>
        <v>270.60000000000002</v>
      </c>
      <c r="AM13" s="51">
        <v>0.30199999999999999</v>
      </c>
      <c r="AN13" s="50">
        <f t="shared" si="22"/>
        <v>185.1</v>
      </c>
      <c r="AO13" s="50"/>
      <c r="AP13" s="50">
        <f t="shared" si="24"/>
        <v>44.6</v>
      </c>
      <c r="AQ13" s="50">
        <f t="shared" si="16"/>
        <v>229.7</v>
      </c>
      <c r="AR13" s="22"/>
      <c r="AS13" s="22">
        <f t="shared" si="17"/>
        <v>16.593</v>
      </c>
    </row>
    <row r="14" spans="1:45" x14ac:dyDescent="0.2">
      <c r="A14" s="103">
        <v>6</v>
      </c>
      <c r="B14" s="236" t="s">
        <v>49</v>
      </c>
      <c r="C14" s="127">
        <v>1</v>
      </c>
      <c r="D14" s="237">
        <v>8.4730000000000008</v>
      </c>
      <c r="E14" s="111">
        <f t="shared" si="0"/>
        <v>8.4700000000000006</v>
      </c>
      <c r="F14" s="95">
        <f t="shared" si="1"/>
        <v>101.6</v>
      </c>
      <c r="G14" s="95"/>
      <c r="H14" s="95">
        <f>5966.1/1000</f>
        <v>6</v>
      </c>
      <c r="I14" s="95"/>
      <c r="J14" s="95"/>
      <c r="K14" s="95">
        <f>F14*0.4</f>
        <v>40.6</v>
      </c>
      <c r="L14" s="95">
        <f t="shared" si="18"/>
        <v>15.7</v>
      </c>
      <c r="M14" s="95">
        <f t="shared" si="2"/>
        <v>163.9</v>
      </c>
      <c r="N14" s="111">
        <v>0.41</v>
      </c>
      <c r="O14" s="95">
        <f t="shared" si="3"/>
        <v>67.2</v>
      </c>
      <c r="P14" s="95">
        <f t="shared" si="4"/>
        <v>231.1</v>
      </c>
      <c r="Q14" s="95">
        <f t="shared" si="5"/>
        <v>184.9</v>
      </c>
      <c r="R14" s="95">
        <f t="shared" si="6"/>
        <v>184.9</v>
      </c>
      <c r="S14" s="95">
        <f t="shared" si="7"/>
        <v>19.2</v>
      </c>
      <c r="T14" s="95">
        <f t="shared" si="8"/>
        <v>620.1</v>
      </c>
      <c r="U14" s="2916"/>
      <c r="V14" s="95">
        <f>T14*$U$9</f>
        <v>620.1</v>
      </c>
      <c r="W14" s="95">
        <f t="shared" si="23"/>
        <v>187.3</v>
      </c>
      <c r="X14" s="103"/>
      <c r="Y14" s="112">
        <v>30</v>
      </c>
      <c r="Z14" s="113">
        <f t="shared" si="9"/>
        <v>0</v>
      </c>
      <c r="AA14" s="127"/>
      <c r="AB14" s="112">
        <v>15</v>
      </c>
      <c r="AC14" s="113">
        <f t="shared" si="10"/>
        <v>0</v>
      </c>
      <c r="AD14" s="127"/>
      <c r="AE14" s="112">
        <v>30</v>
      </c>
      <c r="AF14" s="113">
        <f t="shared" si="11"/>
        <v>0</v>
      </c>
      <c r="AG14" s="113">
        <f t="shared" si="12"/>
        <v>0</v>
      </c>
      <c r="AH14" s="113">
        <f t="shared" si="13"/>
        <v>0</v>
      </c>
      <c r="AI14" s="114">
        <f t="shared" si="14"/>
        <v>51675</v>
      </c>
      <c r="AK14" s="114">
        <f t="shared" si="15"/>
        <v>620.1</v>
      </c>
      <c r="AL14" s="114">
        <f t="shared" si="19"/>
        <v>230.3</v>
      </c>
      <c r="AM14" s="115">
        <v>0.30199999999999999</v>
      </c>
      <c r="AN14" s="50">
        <f t="shared" si="22"/>
        <v>136.4</v>
      </c>
      <c r="AO14" s="50"/>
      <c r="AP14" s="50">
        <f t="shared" si="24"/>
        <v>32.9</v>
      </c>
      <c r="AQ14" s="50">
        <f t="shared" si="16"/>
        <v>169.3</v>
      </c>
      <c r="AR14" s="22"/>
      <c r="AS14" s="99">
        <f t="shared" si="17"/>
        <v>12.7095</v>
      </c>
    </row>
    <row r="15" spans="1:45" x14ac:dyDescent="0.2">
      <c r="A15" s="103">
        <v>7</v>
      </c>
      <c r="B15" s="236" t="s">
        <v>52</v>
      </c>
      <c r="C15" s="127">
        <v>1</v>
      </c>
      <c r="D15" s="237">
        <v>8.4730000000000008</v>
      </c>
      <c r="E15" s="111">
        <f t="shared" si="0"/>
        <v>8.4700000000000006</v>
      </c>
      <c r="F15" s="95">
        <f t="shared" si="1"/>
        <v>101.6</v>
      </c>
      <c r="G15" s="95"/>
      <c r="H15" s="95">
        <f>5966.1/1000</f>
        <v>6</v>
      </c>
      <c r="I15" s="95"/>
      <c r="J15" s="95"/>
      <c r="K15" s="95">
        <f>F15*0.25</f>
        <v>25.4</v>
      </c>
      <c r="L15" s="95">
        <f t="shared" si="18"/>
        <v>15.7</v>
      </c>
      <c r="M15" s="95">
        <f t="shared" si="2"/>
        <v>148.69999999999999</v>
      </c>
      <c r="N15" s="111">
        <v>0.41</v>
      </c>
      <c r="O15" s="95">
        <f t="shared" si="3"/>
        <v>61</v>
      </c>
      <c r="P15" s="95">
        <f t="shared" si="4"/>
        <v>209.7</v>
      </c>
      <c r="Q15" s="95">
        <f t="shared" si="5"/>
        <v>167.8</v>
      </c>
      <c r="R15" s="95">
        <f t="shared" si="6"/>
        <v>167.8</v>
      </c>
      <c r="S15" s="95">
        <f t="shared" si="7"/>
        <v>17.399999999999999</v>
      </c>
      <c r="T15" s="95">
        <f t="shared" si="8"/>
        <v>562.70000000000005</v>
      </c>
      <c r="U15" s="2916"/>
      <c r="V15" s="95">
        <f t="shared" si="21"/>
        <v>562.70000000000005</v>
      </c>
      <c r="W15" s="95">
        <f t="shared" si="23"/>
        <v>169.9</v>
      </c>
      <c r="X15" s="103"/>
      <c r="Y15" s="112">
        <v>30</v>
      </c>
      <c r="Z15" s="113">
        <f t="shared" si="9"/>
        <v>0</v>
      </c>
      <c r="AA15" s="127"/>
      <c r="AB15" s="112">
        <v>15</v>
      </c>
      <c r="AC15" s="113">
        <f t="shared" si="10"/>
        <v>0</v>
      </c>
      <c r="AD15" s="127"/>
      <c r="AE15" s="112">
        <v>30</v>
      </c>
      <c r="AF15" s="113">
        <f t="shared" si="11"/>
        <v>0</v>
      </c>
      <c r="AG15" s="113">
        <f t="shared" si="12"/>
        <v>0</v>
      </c>
      <c r="AH15" s="113">
        <f t="shared" si="13"/>
        <v>0</v>
      </c>
      <c r="AI15" s="114">
        <f t="shared" si="14"/>
        <v>46891.7</v>
      </c>
      <c r="AK15" s="114">
        <f t="shared" si="15"/>
        <v>562.70000000000005</v>
      </c>
      <c r="AL15" s="114">
        <f t="shared" si="19"/>
        <v>219.9</v>
      </c>
      <c r="AM15" s="115">
        <v>0.30199999999999999</v>
      </c>
      <c r="AN15" s="50">
        <f t="shared" si="22"/>
        <v>123.8</v>
      </c>
      <c r="AO15" s="50"/>
      <c r="AP15" s="50">
        <f t="shared" si="24"/>
        <v>29.8</v>
      </c>
      <c r="AQ15" s="50">
        <f t="shared" si="16"/>
        <v>153.6</v>
      </c>
      <c r="AS15" s="99">
        <f t="shared" si="17"/>
        <v>12.7095</v>
      </c>
    </row>
    <row r="16" spans="1:45" x14ac:dyDescent="0.2">
      <c r="A16" s="103">
        <v>8</v>
      </c>
      <c r="B16" s="236" t="s">
        <v>40</v>
      </c>
      <c r="C16" s="127">
        <v>1</v>
      </c>
      <c r="D16" s="237">
        <v>11.061999999999999</v>
      </c>
      <c r="E16" s="111">
        <f t="shared" si="0"/>
        <v>11.06</v>
      </c>
      <c r="F16" s="95">
        <f t="shared" si="1"/>
        <v>132.69999999999999</v>
      </c>
      <c r="G16" s="95"/>
      <c r="H16" s="95">
        <f>7010.2/1000</f>
        <v>7</v>
      </c>
      <c r="I16" s="95"/>
      <c r="J16" s="95"/>
      <c r="K16" s="95">
        <f>F16*0.25</f>
        <v>33.200000000000003</v>
      </c>
      <c r="L16" s="95">
        <f t="shared" si="18"/>
        <v>20.5</v>
      </c>
      <c r="M16" s="95">
        <f t="shared" si="2"/>
        <v>193.4</v>
      </c>
      <c r="N16" s="111">
        <v>0.43</v>
      </c>
      <c r="O16" s="95">
        <f t="shared" si="3"/>
        <v>83.2</v>
      </c>
      <c r="P16" s="95">
        <f t="shared" si="4"/>
        <v>276.60000000000002</v>
      </c>
      <c r="Q16" s="95">
        <f t="shared" si="5"/>
        <v>221.3</v>
      </c>
      <c r="R16" s="95">
        <f t="shared" si="6"/>
        <v>221.3</v>
      </c>
      <c r="S16" s="95">
        <f t="shared" si="7"/>
        <v>23</v>
      </c>
      <c r="T16" s="95">
        <f t="shared" si="8"/>
        <v>742.2</v>
      </c>
      <c r="U16" s="2916"/>
      <c r="V16" s="95">
        <f t="shared" si="21"/>
        <v>742.2</v>
      </c>
      <c r="W16" s="95">
        <f t="shared" si="23"/>
        <v>224.1</v>
      </c>
      <c r="X16" s="103"/>
      <c r="Y16" s="112">
        <v>30</v>
      </c>
      <c r="Z16" s="113">
        <f t="shared" si="9"/>
        <v>0</v>
      </c>
      <c r="AA16" s="127"/>
      <c r="AB16" s="112">
        <v>15</v>
      </c>
      <c r="AC16" s="113">
        <f t="shared" si="10"/>
        <v>0</v>
      </c>
      <c r="AD16" s="127"/>
      <c r="AE16" s="112">
        <v>30</v>
      </c>
      <c r="AF16" s="113">
        <f t="shared" si="11"/>
        <v>0</v>
      </c>
      <c r="AG16" s="113">
        <f t="shared" si="12"/>
        <v>0</v>
      </c>
      <c r="AH16" s="113">
        <f t="shared" si="13"/>
        <v>0</v>
      </c>
      <c r="AI16" s="114">
        <f t="shared" si="14"/>
        <v>61850</v>
      </c>
      <c r="AK16" s="114">
        <f t="shared" si="15"/>
        <v>742.2</v>
      </c>
      <c r="AL16" s="114">
        <f t="shared" si="19"/>
        <v>252.6</v>
      </c>
      <c r="AM16" s="115">
        <v>0.30199999999999999</v>
      </c>
      <c r="AN16" s="50">
        <f t="shared" si="22"/>
        <v>163.30000000000001</v>
      </c>
      <c r="AO16" s="242"/>
      <c r="AP16" s="50">
        <f t="shared" si="24"/>
        <v>39.299999999999997</v>
      </c>
      <c r="AQ16" s="50">
        <f t="shared" si="16"/>
        <v>202.6</v>
      </c>
      <c r="AS16" s="99">
        <f t="shared" si="17"/>
        <v>16.593</v>
      </c>
    </row>
    <row r="17" spans="1:45" x14ac:dyDescent="0.2">
      <c r="A17" s="103">
        <v>9</v>
      </c>
      <c r="B17" s="236" t="s">
        <v>29</v>
      </c>
      <c r="C17" s="127">
        <v>1</v>
      </c>
      <c r="D17" s="237">
        <v>8.4730000000000008</v>
      </c>
      <c r="E17" s="111">
        <f t="shared" si="0"/>
        <v>8.4700000000000006</v>
      </c>
      <c r="F17" s="95">
        <f t="shared" si="1"/>
        <v>101.6</v>
      </c>
      <c r="G17" s="95"/>
      <c r="H17" s="95">
        <f>5369.5/1000</f>
        <v>5.4</v>
      </c>
      <c r="I17" s="95"/>
      <c r="J17" s="95">
        <f>D17*0.1*3</f>
        <v>2.5</v>
      </c>
      <c r="K17" s="95">
        <f>D17*0.25*12</f>
        <v>25.4</v>
      </c>
      <c r="L17" s="95">
        <f t="shared" si="18"/>
        <v>15.7</v>
      </c>
      <c r="M17" s="95">
        <f t="shared" si="2"/>
        <v>150.6</v>
      </c>
      <c r="N17" s="111">
        <v>0.41</v>
      </c>
      <c r="O17" s="95">
        <f t="shared" si="3"/>
        <v>61.7</v>
      </c>
      <c r="P17" s="95">
        <f t="shared" si="4"/>
        <v>212.3</v>
      </c>
      <c r="Q17" s="95">
        <f t="shared" si="5"/>
        <v>169.8</v>
      </c>
      <c r="R17" s="95">
        <f t="shared" si="6"/>
        <v>169.8</v>
      </c>
      <c r="S17" s="95">
        <f t="shared" si="7"/>
        <v>17.7</v>
      </c>
      <c r="T17" s="95">
        <f t="shared" si="8"/>
        <v>569.6</v>
      </c>
      <c r="U17" s="2916"/>
      <c r="V17" s="95">
        <f t="shared" si="21"/>
        <v>569.6</v>
      </c>
      <c r="W17" s="95">
        <f t="shared" si="23"/>
        <v>172</v>
      </c>
      <c r="X17" s="103">
        <v>1</v>
      </c>
      <c r="Y17" s="112">
        <v>30</v>
      </c>
      <c r="Z17" s="113">
        <f t="shared" si="9"/>
        <v>30</v>
      </c>
      <c r="AA17" s="127"/>
      <c r="AB17" s="112">
        <v>15</v>
      </c>
      <c r="AC17" s="113">
        <f t="shared" si="10"/>
        <v>0</v>
      </c>
      <c r="AD17" s="127"/>
      <c r="AE17" s="112">
        <v>30</v>
      </c>
      <c r="AF17" s="113">
        <f t="shared" si="11"/>
        <v>0</v>
      </c>
      <c r="AG17" s="113">
        <f t="shared" si="12"/>
        <v>9</v>
      </c>
      <c r="AH17" s="113">
        <f t="shared" si="13"/>
        <v>39</v>
      </c>
      <c r="AI17" s="114">
        <f t="shared" si="14"/>
        <v>47466.7</v>
      </c>
      <c r="AK17" s="114">
        <f t="shared" si="15"/>
        <v>569.6</v>
      </c>
      <c r="AL17" s="114">
        <f t="shared" si="19"/>
        <v>221.1</v>
      </c>
      <c r="AM17" s="115">
        <v>0.30199999999999999</v>
      </c>
      <c r="AN17" s="50">
        <f t="shared" si="22"/>
        <v>125.3</v>
      </c>
      <c r="AO17" s="242"/>
      <c r="AP17" s="50">
        <f t="shared" si="24"/>
        <v>30.2</v>
      </c>
      <c r="AQ17" s="50">
        <f t="shared" si="16"/>
        <v>155.5</v>
      </c>
      <c r="AS17" s="99">
        <f t="shared" si="17"/>
        <v>12.7095</v>
      </c>
    </row>
    <row r="18" spans="1:45" ht="25.5" x14ac:dyDescent="0.2">
      <c r="A18" s="103">
        <v>10</v>
      </c>
      <c r="B18" s="236" t="s">
        <v>148</v>
      </c>
      <c r="C18" s="127">
        <v>1</v>
      </c>
      <c r="D18" s="237">
        <v>8.4730000000000008</v>
      </c>
      <c r="E18" s="111">
        <f t="shared" si="0"/>
        <v>8.4700000000000006</v>
      </c>
      <c r="F18" s="95">
        <f t="shared" si="1"/>
        <v>101.6</v>
      </c>
      <c r="G18" s="95"/>
      <c r="H18" s="95"/>
      <c r="I18" s="95"/>
      <c r="J18" s="95"/>
      <c r="K18" s="95">
        <f>F18*0.25+D18*0.05*11</f>
        <v>30.1</v>
      </c>
      <c r="L18" s="95">
        <f t="shared" ref="L18:L20" si="25">F18*$L$4</f>
        <v>15.7</v>
      </c>
      <c r="M18" s="95">
        <f t="shared" ref="M18:M20" si="26">F18+G18+H18+I18+J18+K18+L18</f>
        <v>147.4</v>
      </c>
      <c r="N18" s="111">
        <v>0.41</v>
      </c>
      <c r="O18" s="95">
        <f t="shared" ref="O18:O20" si="27">M18*N18</f>
        <v>60.4</v>
      </c>
      <c r="P18" s="95">
        <f t="shared" ref="P18:P20" si="28">M18+O18</f>
        <v>207.8</v>
      </c>
      <c r="Q18" s="95">
        <f t="shared" ref="Q18:Q20" si="29">P18*0.8</f>
        <v>166.2</v>
      </c>
      <c r="R18" s="95">
        <f t="shared" ref="R18:R20" si="30">P18*0.8</f>
        <v>166.2</v>
      </c>
      <c r="S18" s="95">
        <f t="shared" ref="S18:S20" si="31">(P18+Q18+R18)*0.032</f>
        <v>17.3</v>
      </c>
      <c r="T18" s="95">
        <f t="shared" ref="T18:T20" si="32">P18+Q18+R18+S18</f>
        <v>557.5</v>
      </c>
      <c r="U18" s="2916"/>
      <c r="V18" s="95">
        <f t="shared" ref="V18:V20" si="33">T18*$U$9</f>
        <v>557.5</v>
      </c>
      <c r="W18" s="95">
        <f t="shared" si="23"/>
        <v>168.4</v>
      </c>
      <c r="X18" s="103">
        <v>1</v>
      </c>
      <c r="Y18" s="112">
        <v>30</v>
      </c>
      <c r="Z18" s="113">
        <f t="shared" ref="Z18:Z20" si="34">X18*Y18</f>
        <v>30</v>
      </c>
      <c r="AA18" s="127"/>
      <c r="AB18" s="112">
        <v>15</v>
      </c>
      <c r="AC18" s="113">
        <f t="shared" ref="AC18:AC20" si="35">AA18*AB18</f>
        <v>0</v>
      </c>
      <c r="AD18" s="127"/>
      <c r="AE18" s="112">
        <v>30</v>
      </c>
      <c r="AF18" s="113">
        <f t="shared" ref="AF18:AF20" si="36">AD18*AE18</f>
        <v>0</v>
      </c>
      <c r="AG18" s="113">
        <f t="shared" ref="AG18:AG20" si="37">(Z18+AC18+AF18)*1%*30</f>
        <v>9</v>
      </c>
      <c r="AH18" s="113">
        <f t="shared" ref="AH18:AH20" si="38">Z18+AC18+AF18+AG18</f>
        <v>39</v>
      </c>
      <c r="AI18" s="114"/>
      <c r="AK18" s="114">
        <f t="shared" si="15"/>
        <v>557.5</v>
      </c>
      <c r="AL18" s="114"/>
      <c r="AM18" s="115"/>
      <c r="AN18" s="50">
        <f t="shared" si="22"/>
        <v>122.7</v>
      </c>
      <c r="AO18" s="242"/>
      <c r="AP18" s="50">
        <f t="shared" si="24"/>
        <v>29.5</v>
      </c>
      <c r="AQ18" s="50">
        <f t="shared" si="16"/>
        <v>152.19999999999999</v>
      </c>
    </row>
    <row r="19" spans="1:45" ht="25.5" x14ac:dyDescent="0.2">
      <c r="A19" s="103">
        <v>11</v>
      </c>
      <c r="B19" s="236" t="s">
        <v>130</v>
      </c>
      <c r="C19" s="127">
        <v>1</v>
      </c>
      <c r="D19" s="237">
        <v>8.4730000000000008</v>
      </c>
      <c r="E19" s="111">
        <f t="shared" si="0"/>
        <v>8.4700000000000006</v>
      </c>
      <c r="F19" s="95">
        <f t="shared" si="1"/>
        <v>101.6</v>
      </c>
      <c r="G19" s="95"/>
      <c r="H19" s="95"/>
      <c r="I19" s="95"/>
      <c r="J19" s="95"/>
      <c r="K19" s="95"/>
      <c r="L19" s="95">
        <f t="shared" si="25"/>
        <v>15.7</v>
      </c>
      <c r="M19" s="95">
        <f t="shared" si="26"/>
        <v>117.3</v>
      </c>
      <c r="N19" s="111">
        <v>0.47</v>
      </c>
      <c r="O19" s="95">
        <f t="shared" si="27"/>
        <v>55.1</v>
      </c>
      <c r="P19" s="95">
        <f t="shared" si="28"/>
        <v>172.4</v>
      </c>
      <c r="Q19" s="95">
        <f t="shared" si="29"/>
        <v>137.9</v>
      </c>
      <c r="R19" s="95">
        <f t="shared" si="30"/>
        <v>137.9</v>
      </c>
      <c r="S19" s="95">
        <f t="shared" si="31"/>
        <v>14.3</v>
      </c>
      <c r="T19" s="95">
        <f t="shared" si="32"/>
        <v>462.5</v>
      </c>
      <c r="U19" s="2916"/>
      <c r="V19" s="95">
        <f t="shared" si="33"/>
        <v>462.5</v>
      </c>
      <c r="W19" s="95">
        <f t="shared" si="23"/>
        <v>139.69999999999999</v>
      </c>
      <c r="X19" s="103"/>
      <c r="Y19" s="112">
        <v>30</v>
      </c>
      <c r="Z19" s="113">
        <f t="shared" si="34"/>
        <v>0</v>
      </c>
      <c r="AA19" s="127"/>
      <c r="AB19" s="112">
        <v>15</v>
      </c>
      <c r="AC19" s="113">
        <f t="shared" si="35"/>
        <v>0</v>
      </c>
      <c r="AD19" s="127"/>
      <c r="AE19" s="112">
        <v>30</v>
      </c>
      <c r="AF19" s="113">
        <f t="shared" si="36"/>
        <v>0</v>
      </c>
      <c r="AG19" s="113">
        <f t="shared" si="37"/>
        <v>0</v>
      </c>
      <c r="AH19" s="113">
        <f t="shared" si="38"/>
        <v>0</v>
      </c>
      <c r="AI19" s="114"/>
      <c r="AK19" s="114">
        <f t="shared" si="15"/>
        <v>462.5</v>
      </c>
      <c r="AL19" s="114"/>
      <c r="AM19" s="115"/>
      <c r="AN19" s="50">
        <f t="shared" si="22"/>
        <v>101.8</v>
      </c>
      <c r="AO19" s="242"/>
      <c r="AP19" s="50">
        <f t="shared" si="24"/>
        <v>24.5</v>
      </c>
      <c r="AQ19" s="50">
        <f t="shared" si="16"/>
        <v>126.3</v>
      </c>
    </row>
    <row r="20" spans="1:45" ht="25.5" x14ac:dyDescent="0.2">
      <c r="A20" s="103">
        <v>12</v>
      </c>
      <c r="B20" s="236" t="s">
        <v>149</v>
      </c>
      <c r="C20" s="127">
        <v>1</v>
      </c>
      <c r="D20" s="237">
        <v>11.061999999999999</v>
      </c>
      <c r="E20" s="111">
        <f t="shared" si="0"/>
        <v>11.06</v>
      </c>
      <c r="F20" s="95">
        <f t="shared" si="1"/>
        <v>132.69999999999999</v>
      </c>
      <c r="G20" s="95"/>
      <c r="H20" s="95"/>
      <c r="I20" s="95"/>
      <c r="J20" s="95"/>
      <c r="K20" s="95"/>
      <c r="L20" s="95">
        <f t="shared" si="25"/>
        <v>20.5</v>
      </c>
      <c r="M20" s="95">
        <f t="shared" si="26"/>
        <v>153.19999999999999</v>
      </c>
      <c r="N20" s="111">
        <v>0.43</v>
      </c>
      <c r="O20" s="95">
        <f t="shared" si="27"/>
        <v>65.900000000000006</v>
      </c>
      <c r="P20" s="95">
        <f t="shared" si="28"/>
        <v>219.1</v>
      </c>
      <c r="Q20" s="95">
        <f t="shared" si="29"/>
        <v>175.3</v>
      </c>
      <c r="R20" s="95">
        <f t="shared" si="30"/>
        <v>175.3</v>
      </c>
      <c r="S20" s="95">
        <f t="shared" si="31"/>
        <v>18.2</v>
      </c>
      <c r="T20" s="95">
        <f t="shared" si="32"/>
        <v>587.9</v>
      </c>
      <c r="U20" s="2916"/>
      <c r="V20" s="95">
        <f t="shared" si="33"/>
        <v>587.9</v>
      </c>
      <c r="W20" s="95">
        <f t="shared" si="23"/>
        <v>177.5</v>
      </c>
      <c r="X20" s="103"/>
      <c r="Y20" s="112">
        <v>30</v>
      </c>
      <c r="Z20" s="113">
        <f t="shared" si="34"/>
        <v>0</v>
      </c>
      <c r="AA20" s="127"/>
      <c r="AB20" s="112">
        <v>15</v>
      </c>
      <c r="AC20" s="113">
        <f t="shared" si="35"/>
        <v>0</v>
      </c>
      <c r="AD20" s="127"/>
      <c r="AE20" s="112">
        <v>30</v>
      </c>
      <c r="AF20" s="113">
        <f t="shared" si="36"/>
        <v>0</v>
      </c>
      <c r="AG20" s="113">
        <f t="shared" si="37"/>
        <v>0</v>
      </c>
      <c r="AH20" s="113">
        <f t="shared" si="38"/>
        <v>0</v>
      </c>
      <c r="AI20" s="114"/>
      <c r="AK20" s="114">
        <f t="shared" si="15"/>
        <v>587.9</v>
      </c>
      <c r="AL20" s="114"/>
      <c r="AM20" s="115"/>
      <c r="AN20" s="50">
        <f t="shared" si="22"/>
        <v>129.30000000000001</v>
      </c>
      <c r="AO20" s="242"/>
      <c r="AP20" s="50">
        <f t="shared" si="24"/>
        <v>31.2</v>
      </c>
      <c r="AQ20" s="50">
        <f t="shared" si="16"/>
        <v>160.5</v>
      </c>
    </row>
    <row r="21" spans="1:45" x14ac:dyDescent="0.2">
      <c r="A21" s="103">
        <v>13</v>
      </c>
      <c r="B21" s="243" t="s">
        <v>42</v>
      </c>
      <c r="C21" s="127">
        <v>1</v>
      </c>
      <c r="D21" s="237">
        <v>11.061999999999999</v>
      </c>
      <c r="E21" s="111">
        <f t="shared" si="0"/>
        <v>11.06</v>
      </c>
      <c r="F21" s="95">
        <f t="shared" si="1"/>
        <v>132.69999999999999</v>
      </c>
      <c r="G21" s="95"/>
      <c r="H21" s="95">
        <f>7789.1/1000</f>
        <v>7.8</v>
      </c>
      <c r="I21" s="95"/>
      <c r="J21" s="95"/>
      <c r="K21" s="95">
        <f>F21*0.3+D21*0.05*2</f>
        <v>40.9</v>
      </c>
      <c r="L21" s="95">
        <f t="shared" si="18"/>
        <v>20.5</v>
      </c>
      <c r="M21" s="95">
        <f t="shared" si="2"/>
        <v>201.9</v>
      </c>
      <c r="N21" s="111">
        <v>0.43</v>
      </c>
      <c r="O21" s="95">
        <f t="shared" si="3"/>
        <v>86.8</v>
      </c>
      <c r="P21" s="95">
        <f t="shared" si="4"/>
        <v>288.7</v>
      </c>
      <c r="Q21" s="95">
        <f t="shared" si="5"/>
        <v>231</v>
      </c>
      <c r="R21" s="95">
        <f t="shared" si="6"/>
        <v>231</v>
      </c>
      <c r="S21" s="95">
        <f t="shared" si="7"/>
        <v>24</v>
      </c>
      <c r="T21" s="95">
        <f t="shared" si="8"/>
        <v>774.7</v>
      </c>
      <c r="U21" s="2916"/>
      <c r="V21" s="95">
        <f t="shared" si="21"/>
        <v>774.7</v>
      </c>
      <c r="W21" s="95">
        <f t="shared" si="23"/>
        <v>234</v>
      </c>
      <c r="X21" s="103"/>
      <c r="Y21" s="112">
        <v>30</v>
      </c>
      <c r="Z21" s="113">
        <f t="shared" si="9"/>
        <v>0</v>
      </c>
      <c r="AA21" s="127"/>
      <c r="AB21" s="112">
        <v>15</v>
      </c>
      <c r="AC21" s="113">
        <f t="shared" si="10"/>
        <v>0</v>
      </c>
      <c r="AD21" s="127"/>
      <c r="AE21" s="112">
        <v>30</v>
      </c>
      <c r="AF21" s="113">
        <f t="shared" si="11"/>
        <v>0</v>
      </c>
      <c r="AG21" s="113">
        <f t="shared" si="12"/>
        <v>0</v>
      </c>
      <c r="AH21" s="113">
        <f t="shared" si="13"/>
        <v>0</v>
      </c>
      <c r="AI21" s="114">
        <f>V21/12/C21*1000</f>
        <v>64558.3</v>
      </c>
      <c r="AK21" s="114">
        <f t="shared" si="15"/>
        <v>774.7</v>
      </c>
      <c r="AL21" s="114">
        <f t="shared" si="19"/>
        <v>258.5</v>
      </c>
      <c r="AM21" s="115">
        <v>0.30199999999999999</v>
      </c>
      <c r="AN21" s="50">
        <f t="shared" si="22"/>
        <v>170.4</v>
      </c>
      <c r="AO21" s="244"/>
      <c r="AP21" s="50">
        <f t="shared" si="24"/>
        <v>41.1</v>
      </c>
      <c r="AQ21" s="50">
        <f t="shared" si="16"/>
        <v>211.5</v>
      </c>
      <c r="AS21" s="99">
        <f>D21*1.5</f>
        <v>16.593</v>
      </c>
    </row>
    <row r="22" spans="1:45" x14ac:dyDescent="0.2">
      <c r="A22" s="103">
        <v>14</v>
      </c>
      <c r="B22" s="236" t="s">
        <v>33</v>
      </c>
      <c r="C22" s="127">
        <v>1</v>
      </c>
      <c r="D22" s="237">
        <v>8.4730000000000008</v>
      </c>
      <c r="E22" s="111">
        <f t="shared" si="0"/>
        <v>8.4700000000000006</v>
      </c>
      <c r="F22" s="95">
        <f t="shared" si="1"/>
        <v>101.6</v>
      </c>
      <c r="G22" s="95">
        <f>18010.1/1000</f>
        <v>18</v>
      </c>
      <c r="H22" s="95">
        <f>4474.6/1000</f>
        <v>4.5</v>
      </c>
      <c r="I22" s="95"/>
      <c r="J22" s="95"/>
      <c r="K22" s="95">
        <f>F22*0.25</f>
        <v>25.4</v>
      </c>
      <c r="L22" s="95">
        <f t="shared" si="18"/>
        <v>15.7</v>
      </c>
      <c r="M22" s="95">
        <f t="shared" si="2"/>
        <v>165.2</v>
      </c>
      <c r="N22" s="111">
        <v>0.41</v>
      </c>
      <c r="O22" s="95">
        <f t="shared" si="3"/>
        <v>67.7</v>
      </c>
      <c r="P22" s="95">
        <f t="shared" si="4"/>
        <v>232.9</v>
      </c>
      <c r="Q22" s="95">
        <f t="shared" si="5"/>
        <v>186.3</v>
      </c>
      <c r="R22" s="95">
        <f t="shared" si="6"/>
        <v>186.3</v>
      </c>
      <c r="S22" s="95">
        <f t="shared" si="7"/>
        <v>19.399999999999999</v>
      </c>
      <c r="T22" s="95">
        <f t="shared" si="8"/>
        <v>624.9</v>
      </c>
      <c r="U22" s="2916"/>
      <c r="V22" s="95">
        <f t="shared" si="21"/>
        <v>624.9</v>
      </c>
      <c r="W22" s="95">
        <f t="shared" si="23"/>
        <v>188.7</v>
      </c>
      <c r="X22" s="238"/>
      <c r="Y22" s="240">
        <v>30</v>
      </c>
      <c r="Z22" s="241">
        <f t="shared" si="9"/>
        <v>0</v>
      </c>
      <c r="AA22" s="238"/>
      <c r="AB22" s="240">
        <v>15</v>
      </c>
      <c r="AC22" s="241">
        <f t="shared" si="10"/>
        <v>0</v>
      </c>
      <c r="AD22" s="238"/>
      <c r="AE22" s="240">
        <v>30</v>
      </c>
      <c r="AF22" s="241">
        <f t="shared" si="11"/>
        <v>0</v>
      </c>
      <c r="AG22" s="241">
        <f t="shared" si="12"/>
        <v>0</v>
      </c>
      <c r="AH22" s="241">
        <f t="shared" si="13"/>
        <v>0</v>
      </c>
      <c r="AI22" s="114">
        <f>V22/12/C22*1000</f>
        <v>52075</v>
      </c>
      <c r="AK22" s="114">
        <f t="shared" si="15"/>
        <v>624.9</v>
      </c>
      <c r="AL22" s="114">
        <f t="shared" si="19"/>
        <v>231.2</v>
      </c>
      <c r="AM22" s="115">
        <v>0.30199999999999999</v>
      </c>
      <c r="AN22" s="50">
        <f t="shared" si="22"/>
        <v>137.5</v>
      </c>
      <c r="AO22" s="244"/>
      <c r="AP22" s="50">
        <f t="shared" si="24"/>
        <v>33.1</v>
      </c>
      <c r="AQ22" s="50">
        <f t="shared" si="16"/>
        <v>170.6</v>
      </c>
      <c r="AR22" s="245"/>
      <c r="AS22" s="99">
        <f>D22*1.5</f>
        <v>12.7095</v>
      </c>
    </row>
    <row r="23" spans="1:45" s="245" customFormat="1" x14ac:dyDescent="0.2">
      <c r="A23" s="103">
        <v>15</v>
      </c>
      <c r="B23" s="236" t="s">
        <v>58</v>
      </c>
      <c r="C23" s="246">
        <v>1</v>
      </c>
      <c r="D23" s="247">
        <v>11.061999999999999</v>
      </c>
      <c r="E23" s="111">
        <f t="shared" si="0"/>
        <v>11.06</v>
      </c>
      <c r="F23" s="95">
        <f t="shared" si="1"/>
        <v>132.69999999999999</v>
      </c>
      <c r="G23" s="248"/>
      <c r="H23" s="248"/>
      <c r="I23" s="248"/>
      <c r="J23" s="248"/>
      <c r="K23" s="248"/>
      <c r="L23" s="95">
        <f t="shared" ref="L23" si="39">F23*$L$4</f>
        <v>20.5</v>
      </c>
      <c r="M23" s="95">
        <f t="shared" ref="M23" si="40">F23+G23+H23+I23+J23+K23+L23</f>
        <v>153.19999999999999</v>
      </c>
      <c r="N23" s="111">
        <v>0.43</v>
      </c>
      <c r="O23" s="95">
        <f t="shared" ref="O23" si="41">M23*N23</f>
        <v>65.900000000000006</v>
      </c>
      <c r="P23" s="95">
        <f t="shared" ref="P23" si="42">M23+O23</f>
        <v>219.1</v>
      </c>
      <c r="Q23" s="95">
        <f t="shared" ref="Q23" si="43">P23*0.8</f>
        <v>175.3</v>
      </c>
      <c r="R23" s="95">
        <f t="shared" ref="R23" si="44">P23*0.8</f>
        <v>175.3</v>
      </c>
      <c r="S23" s="95">
        <f t="shared" ref="S23" si="45">(P23+Q23+R23)*0.032</f>
        <v>18.2</v>
      </c>
      <c r="T23" s="95">
        <f t="shared" ref="T23" si="46">P23+Q23+R23+S23</f>
        <v>587.9</v>
      </c>
      <c r="U23" s="2916"/>
      <c r="V23" s="95">
        <f t="shared" ref="V23" si="47">T23*$U$9</f>
        <v>587.9</v>
      </c>
      <c r="W23" s="95">
        <f t="shared" si="23"/>
        <v>177.5</v>
      </c>
      <c r="X23" s="246"/>
      <c r="Y23" s="240">
        <v>30</v>
      </c>
      <c r="Z23" s="241">
        <f t="shared" ref="Z23" si="48">X23*Y23</f>
        <v>0</v>
      </c>
      <c r="AA23" s="246"/>
      <c r="AB23" s="240">
        <v>15</v>
      </c>
      <c r="AC23" s="241">
        <f t="shared" ref="AC23" si="49">AA23*AB23</f>
        <v>0</v>
      </c>
      <c r="AD23" s="246"/>
      <c r="AE23" s="240">
        <v>30</v>
      </c>
      <c r="AF23" s="241">
        <f t="shared" ref="AF23" si="50">AD23*AE23</f>
        <v>0</v>
      </c>
      <c r="AG23" s="241">
        <f t="shared" ref="AG23" si="51">(Z23+AC23+AF23)*1%*30</f>
        <v>0</v>
      </c>
      <c r="AH23" s="241">
        <f t="shared" ref="AH23" si="52">Z23+AC23+AF23+AG23</f>
        <v>0</v>
      </c>
      <c r="AI23" s="114"/>
      <c r="AK23" s="114">
        <f t="shared" si="15"/>
        <v>587.9</v>
      </c>
      <c r="AL23" s="114"/>
      <c r="AM23" s="115"/>
      <c r="AN23" s="50">
        <f t="shared" si="22"/>
        <v>129.30000000000001</v>
      </c>
      <c r="AO23" s="211"/>
      <c r="AP23" s="50">
        <f t="shared" si="24"/>
        <v>31.2</v>
      </c>
      <c r="AQ23" s="50">
        <f t="shared" si="16"/>
        <v>160.5</v>
      </c>
      <c r="AR23" s="99"/>
      <c r="AS23" s="99"/>
    </row>
    <row r="24" spans="1:45" s="252" customFormat="1" ht="25.5" x14ac:dyDescent="0.2">
      <c r="A24" s="103">
        <v>16</v>
      </c>
      <c r="B24" s="236" t="s">
        <v>102</v>
      </c>
      <c r="C24" s="238">
        <v>1</v>
      </c>
      <c r="D24" s="237">
        <v>4.3769999999999998</v>
      </c>
      <c r="E24" s="249">
        <f t="shared" si="0"/>
        <v>4.38</v>
      </c>
      <c r="F24" s="170">
        <f t="shared" si="1"/>
        <v>52.6</v>
      </c>
      <c r="G24" s="248"/>
      <c r="H24" s="248"/>
      <c r="I24" s="248"/>
      <c r="J24" s="248"/>
      <c r="K24" s="248"/>
      <c r="L24" s="95">
        <v>35.200000000000003</v>
      </c>
      <c r="M24" s="248">
        <f t="shared" si="2"/>
        <v>87.8</v>
      </c>
      <c r="N24" s="111">
        <v>0.49</v>
      </c>
      <c r="O24" s="248">
        <f t="shared" si="3"/>
        <v>43</v>
      </c>
      <c r="P24" s="248">
        <f t="shared" si="4"/>
        <v>130.80000000000001</v>
      </c>
      <c r="Q24" s="248">
        <f t="shared" si="5"/>
        <v>104.6</v>
      </c>
      <c r="R24" s="95">
        <f t="shared" si="6"/>
        <v>104.6</v>
      </c>
      <c r="S24" s="248">
        <f t="shared" si="7"/>
        <v>10.9</v>
      </c>
      <c r="T24" s="248">
        <f t="shared" si="8"/>
        <v>350.9</v>
      </c>
      <c r="U24" s="2917"/>
      <c r="V24" s="250">
        <f>T24*$U$9-0.3</f>
        <v>350.6</v>
      </c>
      <c r="W24" s="95">
        <f t="shared" si="23"/>
        <v>105.9</v>
      </c>
      <c r="X24" s="251">
        <v>1</v>
      </c>
      <c r="Y24" s="112">
        <v>30</v>
      </c>
      <c r="Z24" s="113">
        <f t="shared" si="9"/>
        <v>30</v>
      </c>
      <c r="AA24" s="251"/>
      <c r="AB24" s="112">
        <v>15</v>
      </c>
      <c r="AC24" s="113">
        <f t="shared" si="10"/>
        <v>0</v>
      </c>
      <c r="AD24" s="251"/>
      <c r="AE24" s="112">
        <v>30</v>
      </c>
      <c r="AF24" s="113">
        <f t="shared" si="11"/>
        <v>0</v>
      </c>
      <c r="AG24" s="113">
        <f t="shared" si="12"/>
        <v>9</v>
      </c>
      <c r="AH24" s="113">
        <f t="shared" si="13"/>
        <v>39</v>
      </c>
      <c r="AI24" s="114">
        <f>V24/12/C24*1000</f>
        <v>29216.7</v>
      </c>
      <c r="AK24" s="114">
        <f t="shared" si="15"/>
        <v>350.6</v>
      </c>
      <c r="AL24" s="114">
        <f t="shared" si="19"/>
        <v>181.3</v>
      </c>
      <c r="AM24" s="115">
        <v>0.30199999999999999</v>
      </c>
      <c r="AN24" s="50">
        <f t="shared" si="22"/>
        <v>77.099999999999994</v>
      </c>
      <c r="AO24" s="211"/>
      <c r="AP24" s="50">
        <f t="shared" si="24"/>
        <v>18.600000000000001</v>
      </c>
      <c r="AQ24" s="50">
        <f t="shared" si="16"/>
        <v>95.7</v>
      </c>
      <c r="AR24" s="99"/>
      <c r="AS24" s="99">
        <f>D24*1.5</f>
        <v>6.5655000000000001</v>
      </c>
    </row>
    <row r="25" spans="1:45" s="98" customFormat="1" ht="20.25" customHeight="1" x14ac:dyDescent="0.2">
      <c r="A25" s="2918" t="s">
        <v>8</v>
      </c>
      <c r="B25" s="2918"/>
      <c r="C25" s="253">
        <f t="shared" ref="C25:M25" si="53">SUM(C9:C24)</f>
        <v>19</v>
      </c>
      <c r="D25" s="254">
        <f t="shared" si="53"/>
        <v>171.5</v>
      </c>
      <c r="E25" s="254">
        <f t="shared" si="53"/>
        <v>204.7</v>
      </c>
      <c r="F25" s="254">
        <f t="shared" si="53"/>
        <v>2455.8000000000002</v>
      </c>
      <c r="G25" s="254">
        <f t="shared" si="53"/>
        <v>18</v>
      </c>
      <c r="H25" s="254">
        <f t="shared" si="53"/>
        <v>76.7</v>
      </c>
      <c r="I25" s="254">
        <f t="shared" si="53"/>
        <v>0</v>
      </c>
      <c r="J25" s="254">
        <f t="shared" si="53"/>
        <v>2.5</v>
      </c>
      <c r="K25" s="254">
        <f t="shared" si="53"/>
        <v>868.2</v>
      </c>
      <c r="L25" s="254">
        <f t="shared" si="53"/>
        <v>406.5</v>
      </c>
      <c r="M25" s="254">
        <f t="shared" si="53"/>
        <v>3827.7</v>
      </c>
      <c r="N25" s="254"/>
      <c r="O25" s="254">
        <f t="shared" ref="O25:AH25" si="54">SUM(O9:O24)</f>
        <v>1659.4</v>
      </c>
      <c r="P25" s="254">
        <f t="shared" si="54"/>
        <v>5487.1</v>
      </c>
      <c r="Q25" s="254">
        <f t="shared" si="54"/>
        <v>4389.7</v>
      </c>
      <c r="R25" s="254">
        <f t="shared" si="54"/>
        <v>4389.7</v>
      </c>
      <c r="S25" s="254">
        <f t="shared" si="54"/>
        <v>456.3</v>
      </c>
      <c r="T25" s="254">
        <f t="shared" si="54"/>
        <v>14722.8</v>
      </c>
      <c r="U25" s="254">
        <f t="shared" si="54"/>
        <v>1</v>
      </c>
      <c r="V25" s="254">
        <f t="shared" si="54"/>
        <v>14722.5</v>
      </c>
      <c r="W25" s="254">
        <f t="shared" si="54"/>
        <v>4305.6000000000004</v>
      </c>
      <c r="X25" s="254">
        <f t="shared" si="54"/>
        <v>7</v>
      </c>
      <c r="Y25" s="254">
        <f t="shared" si="54"/>
        <v>480</v>
      </c>
      <c r="Z25" s="254">
        <f t="shared" si="54"/>
        <v>210</v>
      </c>
      <c r="AA25" s="254">
        <f t="shared" si="54"/>
        <v>1</v>
      </c>
      <c r="AB25" s="254">
        <f t="shared" si="54"/>
        <v>240</v>
      </c>
      <c r="AC25" s="254">
        <f t="shared" si="54"/>
        <v>15</v>
      </c>
      <c r="AD25" s="254">
        <f t="shared" si="54"/>
        <v>2</v>
      </c>
      <c r="AE25" s="254">
        <f t="shared" si="54"/>
        <v>480</v>
      </c>
      <c r="AF25" s="254">
        <f t="shared" si="54"/>
        <v>60</v>
      </c>
      <c r="AG25" s="254">
        <f t="shared" si="54"/>
        <v>85.5</v>
      </c>
      <c r="AH25" s="254">
        <f t="shared" si="54"/>
        <v>370.5</v>
      </c>
      <c r="AI25" s="114"/>
      <c r="AN25" s="211"/>
      <c r="AO25" s="211"/>
      <c r="AP25" s="211"/>
      <c r="AQ25" s="211"/>
      <c r="AR25" s="99"/>
      <c r="AS25" s="99"/>
    </row>
    <row r="26" spans="1:45" x14ac:dyDescent="0.2">
      <c r="G26" s="131"/>
      <c r="H26" s="131"/>
      <c r="I26" s="131"/>
      <c r="J26" s="131"/>
      <c r="K26" s="131"/>
      <c r="L26" s="131"/>
      <c r="M26" s="131"/>
      <c r="N26" s="131"/>
      <c r="O26" s="131"/>
      <c r="P26" s="131"/>
      <c r="Q26" s="131"/>
      <c r="R26" s="131"/>
      <c r="S26" s="131"/>
      <c r="T26" s="131"/>
      <c r="V26" s="114"/>
      <c r="W26" s="66"/>
      <c r="X26" s="131"/>
      <c r="AA26" s="131"/>
      <c r="AD26" s="131"/>
      <c r="AG26" s="131"/>
      <c r="AH26" s="131"/>
      <c r="AO26" s="50"/>
      <c r="AP26" s="50"/>
      <c r="AQ26" s="50"/>
    </row>
    <row r="27" spans="1:45" x14ac:dyDescent="0.2">
      <c r="B27" s="255"/>
      <c r="C27" s="256"/>
      <c r="D27" s="256"/>
      <c r="E27" s="257"/>
      <c r="F27" s="257"/>
      <c r="G27" s="257"/>
      <c r="H27" s="257"/>
      <c r="I27" s="133"/>
      <c r="J27" s="131"/>
      <c r="K27" s="131"/>
      <c r="L27" s="131"/>
      <c r="M27" s="131"/>
      <c r="N27" s="131"/>
      <c r="O27" s="131"/>
      <c r="P27" s="131"/>
      <c r="Q27" s="131"/>
      <c r="R27" s="131"/>
      <c r="S27" s="131"/>
      <c r="T27" s="131"/>
      <c r="V27" s="114"/>
      <c r="W27" s="114"/>
      <c r="X27" s="131"/>
      <c r="AA27" s="131"/>
      <c r="AD27" s="131"/>
      <c r="AE27" s="131"/>
    </row>
    <row r="28" spans="1:45" s="75" customFormat="1" x14ac:dyDescent="0.2">
      <c r="A28" s="70"/>
      <c r="B28" s="70"/>
      <c r="C28" s="71"/>
      <c r="D28" s="72"/>
      <c r="E28" s="72"/>
      <c r="F28" s="72"/>
      <c r="G28" s="72"/>
      <c r="H28" s="73"/>
      <c r="I28" s="73"/>
      <c r="J28" s="27"/>
      <c r="K28" s="27"/>
      <c r="L28" s="27"/>
      <c r="M28" s="27"/>
      <c r="N28" s="74"/>
      <c r="O28" s="27"/>
      <c r="P28" s="27"/>
      <c r="Q28" s="27"/>
      <c r="R28" s="27"/>
      <c r="S28" s="27"/>
      <c r="T28" s="27"/>
      <c r="U28" s="27"/>
      <c r="V28" s="27"/>
      <c r="W28" s="27"/>
      <c r="X28" s="27"/>
      <c r="Y28" s="27"/>
      <c r="Z28" s="27"/>
      <c r="AA28" s="27"/>
      <c r="AB28" s="27"/>
      <c r="AC28" s="27"/>
      <c r="AD28" s="27"/>
      <c r="AE28" s="27"/>
      <c r="AF28" s="27"/>
      <c r="AG28" s="27"/>
      <c r="AH28" s="27"/>
      <c r="AI28" s="27"/>
      <c r="AJ28" s="76"/>
      <c r="AN28" s="76"/>
      <c r="AO28" s="76"/>
      <c r="AP28" s="76"/>
      <c r="AQ28" s="76"/>
      <c r="AR28" s="76"/>
    </row>
    <row r="29" spans="1:45" s="75" customFormat="1" ht="59.25" customHeight="1" x14ac:dyDescent="0.2">
      <c r="A29" s="70"/>
      <c r="B29" s="70"/>
      <c r="C29" s="71"/>
      <c r="D29" s="77"/>
      <c r="E29" s="77"/>
      <c r="F29" s="27"/>
      <c r="G29" s="2244" t="s">
        <v>140</v>
      </c>
      <c r="H29" s="2244"/>
      <c r="I29" s="2244" t="s">
        <v>145</v>
      </c>
      <c r="J29" s="2244"/>
      <c r="K29" s="2244" t="s">
        <v>128</v>
      </c>
      <c r="L29" s="2244"/>
      <c r="Q29" s="27"/>
      <c r="R29" s="27"/>
      <c r="S29" s="27"/>
      <c r="T29" s="27"/>
      <c r="U29" s="27"/>
      <c r="V29" s="27"/>
      <c r="W29" s="27"/>
      <c r="X29" s="27"/>
      <c r="Y29" s="27"/>
      <c r="Z29" s="27"/>
      <c r="AA29" s="27"/>
      <c r="AB29" s="27"/>
      <c r="AC29" s="27"/>
      <c r="AD29" s="27"/>
      <c r="AE29" s="27"/>
      <c r="AF29" s="27"/>
      <c r="AG29" s="27"/>
      <c r="AH29" s="27"/>
      <c r="AI29" s="27"/>
      <c r="AJ29" s="76"/>
      <c r="AN29" s="76"/>
      <c r="AO29" s="76"/>
      <c r="AP29" s="76"/>
      <c r="AQ29" s="76"/>
      <c r="AR29" s="76"/>
    </row>
    <row r="30" spans="1:45" s="75" customFormat="1" x14ac:dyDescent="0.2">
      <c r="A30" s="70"/>
      <c r="B30" s="70"/>
      <c r="C30" s="71"/>
      <c r="D30" s="77"/>
      <c r="E30" s="77"/>
      <c r="F30" s="27"/>
      <c r="G30" s="78">
        <v>991</v>
      </c>
      <c r="H30" s="78">
        <v>992</v>
      </c>
      <c r="I30" s="78">
        <v>991</v>
      </c>
      <c r="J30" s="78">
        <v>992</v>
      </c>
      <c r="K30" s="78">
        <v>991</v>
      </c>
      <c r="L30" s="78">
        <v>992</v>
      </c>
      <c r="Q30" s="27"/>
      <c r="R30" s="27"/>
      <c r="S30" s="27"/>
      <c r="T30" s="27"/>
      <c r="U30" s="27"/>
      <c r="V30" s="27"/>
      <c r="W30" s="27"/>
      <c r="X30" s="27"/>
      <c r="Y30" s="27"/>
      <c r="Z30" s="27"/>
      <c r="AA30" s="27"/>
      <c r="AB30" s="27"/>
      <c r="AC30" s="27"/>
      <c r="AD30" s="27"/>
      <c r="AE30" s="27"/>
      <c r="AF30" s="27"/>
      <c r="AG30" s="27"/>
      <c r="AH30" s="27"/>
      <c r="AI30" s="27"/>
      <c r="AJ30" s="76"/>
      <c r="AN30" s="76"/>
      <c r="AO30" s="76"/>
      <c r="AP30" s="76"/>
      <c r="AQ30" s="76"/>
      <c r="AR30" s="76"/>
    </row>
    <row r="31" spans="1:45" s="75" customFormat="1" x14ac:dyDescent="0.2">
      <c r="A31" s="70"/>
      <c r="B31" s="70"/>
      <c r="C31" s="71"/>
      <c r="D31" s="77"/>
      <c r="E31" s="77"/>
      <c r="F31" s="27"/>
      <c r="G31" s="29">
        <v>14722.5</v>
      </c>
      <c r="H31" s="29">
        <v>4245.1000000000004</v>
      </c>
      <c r="I31" s="29">
        <f>V25</f>
        <v>14722.5</v>
      </c>
      <c r="J31" s="29">
        <f>W25</f>
        <v>4305.6000000000004</v>
      </c>
      <c r="K31" s="29">
        <f>G31-I31</f>
        <v>0</v>
      </c>
      <c r="L31" s="29">
        <f>H31-J31</f>
        <v>-60.5</v>
      </c>
      <c r="Q31" s="27"/>
      <c r="R31" s="27"/>
      <c r="S31" s="27"/>
      <c r="T31" s="27"/>
      <c r="U31" s="27"/>
      <c r="V31" s="27"/>
      <c r="W31" s="27"/>
      <c r="X31" s="27"/>
      <c r="Y31" s="27"/>
      <c r="Z31" s="27"/>
      <c r="AA31" s="27"/>
      <c r="AB31" s="27"/>
      <c r="AC31" s="27"/>
      <c r="AD31" s="27"/>
      <c r="AE31" s="27"/>
      <c r="AF31" s="27"/>
      <c r="AG31" s="27"/>
      <c r="AH31" s="27"/>
      <c r="AI31" s="27"/>
      <c r="AJ31" s="76"/>
      <c r="AN31" s="76"/>
      <c r="AO31" s="76"/>
      <c r="AP31" s="76"/>
      <c r="AQ31" s="76"/>
      <c r="AR31" s="76"/>
    </row>
    <row r="32" spans="1:45" s="75" customFormat="1" x14ac:dyDescent="0.2">
      <c r="A32" s="70"/>
      <c r="B32" s="70"/>
      <c r="C32" s="71"/>
      <c r="D32" s="77"/>
      <c r="E32" s="77"/>
      <c r="F32" s="27"/>
      <c r="G32" s="27"/>
      <c r="H32" s="80"/>
      <c r="I32" s="27"/>
      <c r="J32" s="80"/>
      <c r="K32" s="27"/>
      <c r="L32" s="27"/>
      <c r="M32" s="27"/>
      <c r="N32" s="74"/>
      <c r="O32" s="27"/>
      <c r="P32" s="27"/>
      <c r="Q32" s="27"/>
      <c r="R32" s="27"/>
      <c r="S32" s="27"/>
      <c r="T32" s="27"/>
      <c r="U32" s="27"/>
      <c r="V32" s="27"/>
      <c r="W32" s="27"/>
      <c r="X32" s="27"/>
      <c r="Y32" s="27"/>
      <c r="Z32" s="27"/>
      <c r="AA32" s="27"/>
      <c r="AB32" s="27"/>
      <c r="AC32" s="27"/>
      <c r="AD32" s="27"/>
      <c r="AE32" s="27"/>
      <c r="AF32" s="27"/>
      <c r="AG32" s="27"/>
      <c r="AH32" s="27"/>
      <c r="AI32" s="27"/>
      <c r="AJ32" s="76"/>
      <c r="AN32" s="76"/>
      <c r="AO32" s="76"/>
      <c r="AP32" s="76"/>
      <c r="AQ32" s="76"/>
      <c r="AR32" s="76"/>
    </row>
    <row r="33" spans="1:44" s="75" customFormat="1" x14ac:dyDescent="0.2">
      <c r="A33" s="70"/>
      <c r="B33" s="70"/>
      <c r="C33" s="71"/>
      <c r="D33" s="77"/>
      <c r="E33" s="77"/>
      <c r="F33" s="27"/>
      <c r="G33" s="27"/>
      <c r="H33" s="80"/>
      <c r="I33" s="27"/>
      <c r="J33" s="80"/>
      <c r="K33" s="27"/>
      <c r="L33" s="27"/>
      <c r="M33" s="27"/>
      <c r="N33" s="74"/>
      <c r="O33" s="27"/>
      <c r="P33" s="27"/>
      <c r="Q33" s="27"/>
      <c r="R33" s="27"/>
      <c r="S33" s="27"/>
      <c r="T33" s="27"/>
      <c r="U33" s="27"/>
      <c r="V33" s="27"/>
      <c r="W33" s="27"/>
      <c r="X33" s="27"/>
      <c r="Y33" s="27"/>
      <c r="Z33" s="27"/>
      <c r="AA33" s="27"/>
      <c r="AB33" s="27"/>
      <c r="AC33" s="27"/>
      <c r="AD33" s="27"/>
      <c r="AE33" s="27"/>
      <c r="AF33" s="27"/>
      <c r="AG33" s="27"/>
      <c r="AH33" s="27"/>
      <c r="AI33" s="27"/>
      <c r="AJ33" s="76"/>
      <c r="AN33" s="76"/>
      <c r="AO33" s="76"/>
      <c r="AP33" s="76"/>
      <c r="AQ33" s="76"/>
      <c r="AR33" s="76"/>
    </row>
    <row r="34" spans="1:44" s="75" customFormat="1" x14ac:dyDescent="0.2">
      <c r="A34" s="70"/>
      <c r="B34" s="70"/>
      <c r="C34" s="71"/>
      <c r="D34" s="77"/>
      <c r="E34" s="77"/>
      <c r="F34" s="27"/>
      <c r="G34" s="27"/>
      <c r="H34" s="80"/>
      <c r="I34" s="27"/>
      <c r="J34" s="80"/>
      <c r="K34" s="27"/>
      <c r="L34" s="27"/>
      <c r="M34" s="27"/>
      <c r="N34" s="74"/>
      <c r="O34" s="27"/>
      <c r="P34" s="27"/>
      <c r="Q34" s="27"/>
      <c r="R34" s="27"/>
      <c r="S34" s="27"/>
      <c r="T34" s="27"/>
      <c r="U34" s="27"/>
      <c r="V34" s="27"/>
      <c r="W34" s="27"/>
      <c r="X34" s="27"/>
      <c r="Y34" s="27"/>
      <c r="Z34" s="27"/>
      <c r="AA34" s="27"/>
      <c r="AB34" s="27"/>
      <c r="AC34" s="27"/>
      <c r="AD34" s="27"/>
      <c r="AE34" s="27"/>
      <c r="AF34" s="27"/>
      <c r="AG34" s="27"/>
      <c r="AH34" s="27"/>
      <c r="AI34" s="27"/>
      <c r="AJ34" s="76"/>
      <c r="AN34" s="76"/>
      <c r="AO34" s="76"/>
      <c r="AP34" s="76"/>
      <c r="AQ34" s="76"/>
      <c r="AR34" s="76"/>
    </row>
    <row r="35" spans="1:44" s="75" customFormat="1" x14ac:dyDescent="0.2">
      <c r="A35" s="70"/>
      <c r="B35" s="70"/>
      <c r="C35" s="71"/>
      <c r="D35" s="77"/>
      <c r="E35" s="77"/>
      <c r="F35" s="27"/>
      <c r="G35" s="27"/>
      <c r="H35" s="80"/>
      <c r="I35" s="27"/>
      <c r="J35" s="80"/>
      <c r="K35" s="27"/>
      <c r="L35" s="27"/>
      <c r="M35" s="27"/>
      <c r="N35" s="74"/>
      <c r="O35" s="27"/>
      <c r="P35" s="27"/>
      <c r="Q35" s="27"/>
      <c r="R35" s="27"/>
      <c r="S35" s="27"/>
      <c r="T35" s="27"/>
      <c r="U35" s="27"/>
      <c r="V35" s="27"/>
      <c r="W35" s="27"/>
      <c r="X35" s="27"/>
      <c r="Y35" s="27"/>
      <c r="Z35" s="27"/>
      <c r="AA35" s="27"/>
      <c r="AB35" s="27"/>
      <c r="AC35" s="27"/>
      <c r="AD35" s="27"/>
      <c r="AE35" s="27"/>
      <c r="AF35" s="27"/>
      <c r="AG35" s="27"/>
      <c r="AH35" s="27"/>
      <c r="AI35" s="27"/>
      <c r="AJ35" s="76"/>
      <c r="AN35" s="76"/>
      <c r="AO35" s="76"/>
      <c r="AP35" s="76"/>
      <c r="AQ35" s="76"/>
      <c r="AR35" s="76"/>
    </row>
    <row r="36" spans="1:44" s="35" customFormat="1" ht="20.25" x14ac:dyDescent="0.2">
      <c r="A36" s="81"/>
      <c r="B36" s="82" t="s">
        <v>138</v>
      </c>
      <c r="C36" s="83"/>
      <c r="D36" s="84"/>
      <c r="E36" s="84"/>
      <c r="F36" s="85"/>
      <c r="G36" s="85"/>
      <c r="H36" s="86"/>
      <c r="I36" s="86"/>
      <c r="J36" s="85"/>
      <c r="K36" s="30" t="s">
        <v>166</v>
      </c>
      <c r="L36" s="85"/>
      <c r="M36" s="85"/>
      <c r="N36" s="87"/>
      <c r="O36" s="85"/>
      <c r="P36" s="85"/>
      <c r="Q36" s="85"/>
      <c r="R36" s="85"/>
      <c r="S36" s="85"/>
      <c r="T36" s="85"/>
      <c r="U36" s="85"/>
      <c r="V36" s="85"/>
      <c r="W36" s="85"/>
      <c r="X36" s="85"/>
      <c r="Y36" s="85"/>
      <c r="Z36" s="85"/>
      <c r="AA36" s="85"/>
      <c r="AB36" s="85"/>
      <c r="AC36" s="85"/>
      <c r="AD36" s="85"/>
      <c r="AE36" s="85"/>
      <c r="AF36" s="85"/>
      <c r="AG36" s="85"/>
      <c r="AH36" s="85"/>
      <c r="AI36" s="85"/>
      <c r="AK36" s="88"/>
      <c r="AL36" s="88"/>
      <c r="AM36" s="88"/>
      <c r="AN36" s="88"/>
      <c r="AO36" s="88"/>
    </row>
    <row r="37" spans="1:44" s="143" customFormat="1" x14ac:dyDescent="0.2">
      <c r="A37" s="136"/>
      <c r="B37" s="136"/>
      <c r="C37" s="137"/>
      <c r="D37" s="144"/>
      <c r="E37" s="144"/>
      <c r="F37" s="140"/>
      <c r="G37" s="140"/>
      <c r="H37" s="139"/>
      <c r="I37" s="139"/>
      <c r="J37" s="140"/>
      <c r="K37" s="140"/>
      <c r="L37" s="140"/>
      <c r="M37" s="140"/>
      <c r="N37" s="141"/>
      <c r="O37" s="140"/>
      <c r="P37" s="140"/>
      <c r="Q37" s="140"/>
      <c r="R37" s="140"/>
      <c r="S37" s="140"/>
      <c r="T37" s="140"/>
      <c r="U37" s="140"/>
      <c r="V37" s="140"/>
      <c r="W37" s="140"/>
      <c r="X37" s="140"/>
      <c r="Y37" s="140"/>
      <c r="Z37" s="140"/>
      <c r="AA37" s="140"/>
      <c r="AB37" s="140"/>
      <c r="AC37" s="140"/>
      <c r="AD37" s="140"/>
      <c r="AE37" s="140"/>
      <c r="AF37" s="142"/>
      <c r="AK37" s="142"/>
      <c r="AL37" s="142"/>
      <c r="AM37" s="142"/>
      <c r="AN37" s="76"/>
      <c r="AO37" s="76"/>
      <c r="AP37" s="76"/>
      <c r="AQ37" s="76"/>
      <c r="AR37" s="99"/>
    </row>
    <row r="38" spans="1:44" s="143" customFormat="1" x14ac:dyDescent="0.2">
      <c r="A38" s="136"/>
      <c r="B38" s="136"/>
      <c r="C38" s="137"/>
      <c r="D38" s="144"/>
      <c r="E38" s="144"/>
      <c r="F38" s="140"/>
      <c r="G38" s="140"/>
      <c r="H38" s="139"/>
      <c r="I38" s="139"/>
      <c r="J38" s="140"/>
      <c r="K38" s="140"/>
      <c r="L38" s="140"/>
      <c r="M38" s="140"/>
      <c r="N38" s="202"/>
      <c r="O38" s="203"/>
      <c r="P38" s="140"/>
      <c r="Q38" s="140"/>
      <c r="R38" s="140"/>
      <c r="S38" s="140"/>
      <c r="T38" s="140"/>
      <c r="U38" s="140"/>
      <c r="V38" s="140"/>
      <c r="W38" s="140"/>
      <c r="X38" s="140"/>
      <c r="Y38" s="140"/>
      <c r="Z38" s="140"/>
      <c r="AA38" s="140"/>
      <c r="AB38" s="140"/>
      <c r="AC38" s="140"/>
      <c r="AD38" s="140"/>
      <c r="AE38" s="140"/>
      <c r="AF38" s="142"/>
      <c r="AK38" s="142"/>
      <c r="AL38" s="142"/>
      <c r="AM38" s="142"/>
      <c r="AN38" s="76"/>
      <c r="AO38" s="76"/>
      <c r="AP38" s="76"/>
      <c r="AQ38" s="76"/>
      <c r="AR38" s="252"/>
    </row>
    <row r="39" spans="1:44" s="143" customFormat="1" ht="20.25" customHeight="1" x14ac:dyDescent="0.2">
      <c r="A39" s="145" t="s">
        <v>96</v>
      </c>
      <c r="B39" s="145"/>
      <c r="C39" s="146"/>
      <c r="D39" s="146"/>
      <c r="E39" s="146"/>
      <c r="F39" s="146"/>
      <c r="G39" s="146"/>
      <c r="H39" s="146"/>
      <c r="I39" s="146"/>
      <c r="J39" s="146"/>
      <c r="K39" s="146"/>
      <c r="L39" s="147"/>
      <c r="M39" s="147"/>
      <c r="N39" s="202"/>
      <c r="O39" s="203"/>
      <c r="P39" s="147"/>
      <c r="Q39" s="147"/>
      <c r="R39" s="147"/>
      <c r="S39" s="147"/>
      <c r="T39" s="147"/>
      <c r="U39" s="147"/>
      <c r="V39" s="147"/>
      <c r="W39" s="147"/>
      <c r="X39" s="147"/>
      <c r="Y39" s="147"/>
      <c r="Z39" s="147"/>
      <c r="AA39" s="147"/>
      <c r="AB39" s="147"/>
      <c r="AC39" s="147"/>
      <c r="AD39" s="147"/>
      <c r="AE39" s="147"/>
      <c r="AF39" s="142"/>
      <c r="AK39" s="142"/>
      <c r="AL39" s="142"/>
      <c r="AM39" s="142"/>
      <c r="AN39" s="76"/>
      <c r="AO39" s="76"/>
      <c r="AP39" s="76"/>
      <c r="AQ39" s="76"/>
      <c r="AR39" s="99"/>
    </row>
    <row r="40" spans="1:44" s="143" customFormat="1" ht="20.25" customHeight="1" x14ac:dyDescent="0.2">
      <c r="A40" s="145" t="s">
        <v>139</v>
      </c>
      <c r="B40" s="149"/>
      <c r="C40" s="150"/>
      <c r="D40" s="150"/>
      <c r="E40" s="151"/>
      <c r="F40" s="151"/>
      <c r="G40" s="151"/>
      <c r="H40" s="151"/>
      <c r="I40" s="151"/>
      <c r="J40" s="151"/>
      <c r="K40" s="151"/>
      <c r="L40" s="147"/>
      <c r="M40" s="147"/>
      <c r="N40" s="202"/>
      <c r="O40" s="203"/>
      <c r="P40" s="147"/>
      <c r="Q40" s="147"/>
      <c r="R40" s="147"/>
      <c r="S40" s="147"/>
      <c r="T40" s="147"/>
      <c r="U40" s="147"/>
      <c r="V40" s="147"/>
      <c r="W40" s="147"/>
      <c r="X40" s="147"/>
      <c r="Y40" s="147"/>
      <c r="Z40" s="147"/>
      <c r="AA40" s="147"/>
      <c r="AB40" s="147"/>
      <c r="AC40" s="147"/>
      <c r="AD40" s="147"/>
      <c r="AE40" s="147"/>
      <c r="AF40" s="142"/>
      <c r="AK40" s="142"/>
      <c r="AL40" s="142"/>
      <c r="AM40" s="142"/>
      <c r="AN40" s="76"/>
      <c r="AO40" s="76"/>
      <c r="AP40" s="76"/>
      <c r="AQ40" s="76"/>
      <c r="AR40" s="252"/>
    </row>
    <row r="41" spans="1:44" x14ac:dyDescent="0.2">
      <c r="A41" s="99"/>
      <c r="I41" s="153"/>
      <c r="J41" s="153"/>
      <c r="W41" s="131"/>
      <c r="X41" s="131"/>
      <c r="AA41" s="131"/>
      <c r="AD41" s="131"/>
      <c r="AE41" s="131"/>
      <c r="AN41" s="76"/>
      <c r="AO41" s="76"/>
      <c r="AP41" s="76"/>
      <c r="AQ41" s="76"/>
      <c r="AR41" s="98"/>
    </row>
    <row r="42" spans="1:44" ht="16.5" x14ac:dyDescent="0.2">
      <c r="A42" s="258"/>
      <c r="W42" s="131"/>
      <c r="X42" s="131"/>
      <c r="AA42" s="131"/>
      <c r="AD42" s="131"/>
      <c r="AE42" s="131"/>
    </row>
    <row r="43" spans="1:44" x14ac:dyDescent="0.2">
      <c r="AG43" s="114"/>
    </row>
    <row r="45" spans="1:44" x14ac:dyDescent="0.2">
      <c r="E45" s="115"/>
    </row>
    <row r="46" spans="1:44" x14ac:dyDescent="0.2">
      <c r="E46" s="115"/>
    </row>
    <row r="47" spans="1:44" x14ac:dyDescent="0.2">
      <c r="E47" s="115"/>
      <c r="K47" s="153"/>
    </row>
    <row r="48" spans="1:44" x14ac:dyDescent="0.2">
      <c r="A48" s="99"/>
      <c r="E48" s="115"/>
    </row>
    <row r="49" spans="1:45" x14ac:dyDescent="0.2">
      <c r="A49" s="99"/>
      <c r="E49" s="115"/>
    </row>
    <row r="50" spans="1:45" x14ac:dyDescent="0.2">
      <c r="A50" s="99"/>
      <c r="E50" s="115"/>
    </row>
    <row r="51" spans="1:45" x14ac:dyDescent="0.2">
      <c r="A51" s="99"/>
      <c r="E51" s="115"/>
    </row>
    <row r="52" spans="1:45" x14ac:dyDescent="0.2">
      <c r="A52" s="99"/>
      <c r="E52" s="115"/>
    </row>
    <row r="53" spans="1:45" x14ac:dyDescent="0.2">
      <c r="A53" s="99"/>
      <c r="E53" s="115"/>
    </row>
    <row r="54" spans="1:45" x14ac:dyDescent="0.2">
      <c r="A54" s="99"/>
      <c r="E54" s="115"/>
    </row>
    <row r="55" spans="1:45" x14ac:dyDescent="0.2">
      <c r="A55" s="99"/>
      <c r="E55" s="115"/>
    </row>
    <row r="56" spans="1:45" x14ac:dyDescent="0.2">
      <c r="A56" s="99"/>
      <c r="E56" s="115"/>
    </row>
    <row r="57" spans="1:45" x14ac:dyDescent="0.2">
      <c r="A57" s="99"/>
      <c r="E57" s="115"/>
    </row>
    <row r="58" spans="1:45" x14ac:dyDescent="0.2">
      <c r="A58" s="99"/>
      <c r="E58" s="115"/>
    </row>
    <row r="59" spans="1:45" x14ac:dyDescent="0.2">
      <c r="A59" s="99"/>
      <c r="E59" s="115"/>
    </row>
    <row r="60" spans="1:45" s="211" customFormat="1" x14ac:dyDescent="0.2">
      <c r="A60" s="99"/>
      <c r="B60" s="99"/>
      <c r="C60" s="99"/>
      <c r="D60" s="99"/>
      <c r="E60" s="115"/>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R60" s="99"/>
      <c r="AS60" s="99"/>
    </row>
    <row r="61" spans="1:45" s="211" customFormat="1" x14ac:dyDescent="0.2">
      <c r="A61" s="99"/>
      <c r="B61" s="99"/>
      <c r="C61" s="99"/>
      <c r="D61" s="99"/>
      <c r="E61" s="115"/>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R61" s="99"/>
      <c r="AS61" s="99"/>
    </row>
    <row r="62" spans="1:45" s="211" customFormat="1" x14ac:dyDescent="0.2">
      <c r="A62" s="99"/>
      <c r="B62" s="99"/>
      <c r="C62" s="99"/>
      <c r="D62" s="99"/>
      <c r="E62" s="115"/>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R62" s="99"/>
      <c r="AS62" s="99"/>
    </row>
    <row r="63" spans="1:45" s="211" customFormat="1" x14ac:dyDescent="0.2">
      <c r="A63" s="99"/>
      <c r="B63" s="99"/>
      <c r="C63" s="99"/>
      <c r="D63" s="99"/>
      <c r="E63" s="115"/>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R63" s="99"/>
      <c r="AS63" s="99"/>
    </row>
    <row r="64" spans="1:45" s="211" customFormat="1" x14ac:dyDescent="0.2">
      <c r="A64" s="99"/>
      <c r="B64" s="99"/>
      <c r="C64" s="99"/>
      <c r="D64" s="99"/>
      <c r="E64" s="115"/>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R64" s="99"/>
      <c r="AS64" s="99"/>
    </row>
    <row r="65" spans="1:45" s="211" customFormat="1" x14ac:dyDescent="0.2">
      <c r="A65" s="99"/>
      <c r="B65" s="99"/>
      <c r="C65" s="99"/>
      <c r="D65" s="99"/>
      <c r="E65" s="115"/>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R65" s="99"/>
      <c r="AS65" s="99"/>
    </row>
    <row r="66" spans="1:45" s="211" customFormat="1" x14ac:dyDescent="0.2">
      <c r="A66" s="99"/>
      <c r="B66" s="99"/>
      <c r="C66" s="99"/>
      <c r="D66" s="99"/>
      <c r="E66" s="115"/>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R66" s="99"/>
      <c r="AS66" s="99"/>
    </row>
  </sheetData>
  <autoFilter ref="A8:AS25" xr:uid="{00000000-0009-0000-0000-000055000000}"/>
  <mergeCells count="37">
    <mergeCell ref="AE1:AH1"/>
    <mergeCell ref="A2:AH2"/>
    <mergeCell ref="A3:AH3"/>
    <mergeCell ref="A5:A7"/>
    <mergeCell ref="B5:B7"/>
    <mergeCell ref="C5:C7"/>
    <mergeCell ref="D5:W5"/>
    <mergeCell ref="D6:D7"/>
    <mergeCell ref="E6:E7"/>
    <mergeCell ref="F6:F7"/>
    <mergeCell ref="G6:G7"/>
    <mergeCell ref="H6:H7"/>
    <mergeCell ref="I6:I7"/>
    <mergeCell ref="J6:J7"/>
    <mergeCell ref="AG6:AG7"/>
    <mergeCell ref="X5:AH5"/>
    <mergeCell ref="A25:B25"/>
    <mergeCell ref="S6:S7"/>
    <mergeCell ref="T6:T7"/>
    <mergeCell ref="U6:U7"/>
    <mergeCell ref="V6:V7"/>
    <mergeCell ref="L6:L7"/>
    <mergeCell ref="M6:M7"/>
    <mergeCell ref="N6:O6"/>
    <mergeCell ref="P6:P7"/>
    <mergeCell ref="Q6:Q7"/>
    <mergeCell ref="R6:R7"/>
    <mergeCell ref="G29:H29"/>
    <mergeCell ref="AA6:AC6"/>
    <mergeCell ref="AD6:AF6"/>
    <mergeCell ref="K6:K7"/>
    <mergeCell ref="AH6:AH7"/>
    <mergeCell ref="U9:U24"/>
    <mergeCell ref="W6:W7"/>
    <mergeCell ref="X6:Z6"/>
    <mergeCell ref="I29:J29"/>
    <mergeCell ref="K29:L29"/>
  </mergeCells>
  <printOptions horizontalCentered="1"/>
  <pageMargins left="0" right="0" top="0" bottom="0" header="0.31496062992125984" footer="0.31496062992125984"/>
  <pageSetup paperSize="9" scale="40" orientation="landscape" r:id="rId1"/>
  <legacy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00B0F0"/>
    <pageSetUpPr fitToPage="1"/>
  </sheetPr>
  <dimension ref="A1:AS68"/>
  <sheetViews>
    <sheetView view="pageBreakPreview" zoomScale="80" zoomScaleNormal="70" zoomScaleSheetLayoutView="80" workbookViewId="0">
      <pane xSplit="3" ySplit="8" topLeftCell="N21" activePane="bottomRight" state="frozen"/>
      <selection activeCell="M26" sqref="M26:N26"/>
      <selection pane="topRight" activeCell="M26" sqref="M26:N26"/>
      <selection pane="bottomLeft" activeCell="M26" sqref="M26:N26"/>
      <selection pane="bottomRight" activeCell="M26" sqref="M26:N26"/>
    </sheetView>
  </sheetViews>
  <sheetFormatPr defaultRowHeight="15" x14ac:dyDescent="0.2"/>
  <cols>
    <col min="1" max="1" width="10.33203125" style="99" customWidth="1"/>
    <col min="2" max="2" width="30.83203125" style="99" customWidth="1"/>
    <col min="3" max="22" width="13.5" style="99" customWidth="1"/>
    <col min="23" max="23" width="12" style="99" customWidth="1"/>
    <col min="24" max="24" width="11.5" style="99" customWidth="1"/>
    <col min="25" max="25" width="12.33203125" style="99" customWidth="1"/>
    <col min="26" max="26" width="9.6640625" style="99" customWidth="1"/>
    <col min="27" max="32" width="8.5" style="99" customWidth="1"/>
    <col min="33" max="33" width="9.33203125" style="99" customWidth="1"/>
    <col min="34" max="34" width="10.6640625" style="99" customWidth="1"/>
    <col min="35" max="35" width="13.5" style="99" customWidth="1"/>
    <col min="36" max="36" width="12.6640625" style="99" customWidth="1"/>
    <col min="37" max="37" width="13" style="99" bestFit="1" customWidth="1"/>
    <col min="38" max="38" width="0" style="99" hidden="1" customWidth="1"/>
    <col min="39" max="39" width="13" style="99" hidden="1" customWidth="1"/>
    <col min="40" max="42" width="9.33203125" style="211"/>
    <col min="43" max="43" width="11.33203125" style="211" bestFit="1" customWidth="1"/>
    <col min="44" max="16384" width="9.33203125" style="99"/>
  </cols>
  <sheetData>
    <row r="1" spans="1:45" ht="22.5" customHeight="1" x14ac:dyDescent="0.2">
      <c r="AE1" s="2263"/>
      <c r="AF1" s="2263"/>
      <c r="AG1" s="2263"/>
      <c r="AH1" s="2263"/>
    </row>
    <row r="2" spans="1:45" ht="24" customHeight="1" x14ac:dyDescent="0.2">
      <c r="A2" s="2264" t="s">
        <v>150</v>
      </c>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35"/>
    </row>
    <row r="3" spans="1:45" ht="24.75" customHeight="1" x14ac:dyDescent="0.2">
      <c r="A3" s="2265"/>
      <c r="B3" s="2265"/>
      <c r="C3" s="2265"/>
      <c r="D3" s="2265"/>
      <c r="E3" s="2265"/>
      <c r="F3" s="2265"/>
      <c r="G3" s="2265"/>
      <c r="H3" s="2265"/>
      <c r="I3" s="2265"/>
      <c r="J3" s="2265"/>
      <c r="K3" s="2265"/>
      <c r="L3" s="2265"/>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101"/>
    </row>
    <row r="4" spans="1:45" x14ac:dyDescent="0.2">
      <c r="L4" s="38">
        <v>0.27208500000000002</v>
      </c>
      <c r="M4" s="38"/>
    </row>
    <row r="5" spans="1:45" ht="38.25" customHeight="1" x14ac:dyDescent="0.2">
      <c r="A5" s="2266" t="s">
        <v>78</v>
      </c>
      <c r="B5" s="2266" t="s">
        <v>77</v>
      </c>
      <c r="C5" s="2256" t="s">
        <v>0</v>
      </c>
      <c r="D5" s="2256" t="s">
        <v>3</v>
      </c>
      <c r="E5" s="2256"/>
      <c r="F5" s="2256"/>
      <c r="G5" s="2256"/>
      <c r="H5" s="2256"/>
      <c r="I5" s="2256"/>
      <c r="J5" s="2256"/>
      <c r="K5" s="2256"/>
      <c r="L5" s="2256"/>
      <c r="M5" s="2256"/>
      <c r="N5" s="2256"/>
      <c r="O5" s="2256"/>
      <c r="P5" s="2256"/>
      <c r="Q5" s="2256"/>
      <c r="R5" s="2256"/>
      <c r="S5" s="2256"/>
      <c r="T5" s="2256"/>
      <c r="U5" s="2256"/>
      <c r="V5" s="2256"/>
      <c r="W5" s="2256"/>
      <c r="X5" s="2256" t="s">
        <v>4</v>
      </c>
      <c r="Y5" s="2256"/>
      <c r="Z5" s="2256"/>
      <c r="AA5" s="2256"/>
      <c r="AB5" s="2256"/>
      <c r="AC5" s="2256"/>
      <c r="AD5" s="2256"/>
      <c r="AE5" s="2256"/>
      <c r="AF5" s="2256"/>
      <c r="AG5" s="2256"/>
      <c r="AH5" s="2256"/>
    </row>
    <row r="6" spans="1:45" ht="60" customHeight="1" x14ac:dyDescent="0.2">
      <c r="A6" s="2266"/>
      <c r="B6" s="2266"/>
      <c r="C6" s="2256"/>
      <c r="D6" s="2259" t="s">
        <v>68</v>
      </c>
      <c r="E6" s="2259" t="s">
        <v>69</v>
      </c>
      <c r="F6" s="2259" t="s">
        <v>89</v>
      </c>
      <c r="G6" s="2259" t="s">
        <v>1</v>
      </c>
      <c r="H6" s="2259" t="s">
        <v>2</v>
      </c>
      <c r="I6" s="2259" t="s">
        <v>70</v>
      </c>
      <c r="J6" s="2259" t="s">
        <v>61</v>
      </c>
      <c r="K6" s="2259" t="s">
        <v>27</v>
      </c>
      <c r="L6" s="2261" t="s">
        <v>65</v>
      </c>
      <c r="M6" s="2261" t="s">
        <v>86</v>
      </c>
      <c r="N6" s="2262" t="s">
        <v>90</v>
      </c>
      <c r="O6" s="2262"/>
      <c r="P6" s="2262" t="s">
        <v>88</v>
      </c>
      <c r="Q6" s="2261" t="s">
        <v>82</v>
      </c>
      <c r="R6" s="2259" t="s">
        <v>83</v>
      </c>
      <c r="S6" s="2261" t="s">
        <v>87</v>
      </c>
      <c r="T6" s="2259" t="s">
        <v>84</v>
      </c>
      <c r="U6" s="2259" t="s">
        <v>9</v>
      </c>
      <c r="V6" s="2259" t="s">
        <v>7</v>
      </c>
      <c r="W6" s="2259" t="s">
        <v>85</v>
      </c>
      <c r="X6" s="2256" t="s">
        <v>10</v>
      </c>
      <c r="Y6" s="2256"/>
      <c r="Z6" s="2256"/>
      <c r="AA6" s="2256" t="s">
        <v>11</v>
      </c>
      <c r="AB6" s="2256"/>
      <c r="AC6" s="2256"/>
      <c r="AD6" s="2256" t="s">
        <v>12</v>
      </c>
      <c r="AE6" s="2256"/>
      <c r="AF6" s="2256"/>
      <c r="AG6" s="2256" t="s">
        <v>13</v>
      </c>
      <c r="AH6" s="2256" t="s">
        <v>73</v>
      </c>
    </row>
    <row r="7" spans="1:45" ht="97.5" customHeight="1" x14ac:dyDescent="0.2">
      <c r="A7" s="2266"/>
      <c r="B7" s="2266"/>
      <c r="C7" s="2256"/>
      <c r="D7" s="2259"/>
      <c r="E7" s="2259"/>
      <c r="F7" s="2259"/>
      <c r="G7" s="2259"/>
      <c r="H7" s="2259"/>
      <c r="I7" s="2259"/>
      <c r="J7" s="2259"/>
      <c r="K7" s="2259"/>
      <c r="L7" s="2261" t="s">
        <v>66</v>
      </c>
      <c r="M7" s="2261"/>
      <c r="N7" s="104" t="s">
        <v>80</v>
      </c>
      <c r="O7" s="104" t="s">
        <v>81</v>
      </c>
      <c r="P7" s="2262"/>
      <c r="Q7" s="2261"/>
      <c r="R7" s="2259"/>
      <c r="S7" s="2261" t="s">
        <v>67</v>
      </c>
      <c r="T7" s="2259"/>
      <c r="U7" s="2259"/>
      <c r="V7" s="2259"/>
      <c r="W7" s="2259"/>
      <c r="X7" s="105" t="s">
        <v>5</v>
      </c>
      <c r="Y7" s="105" t="s">
        <v>6</v>
      </c>
      <c r="Z7" s="105" t="s">
        <v>74</v>
      </c>
      <c r="AA7" s="105" t="s">
        <v>5</v>
      </c>
      <c r="AB7" s="105" t="s">
        <v>6</v>
      </c>
      <c r="AC7" s="105" t="s">
        <v>75</v>
      </c>
      <c r="AD7" s="105" t="s">
        <v>5</v>
      </c>
      <c r="AE7" s="105" t="s">
        <v>6</v>
      </c>
      <c r="AF7" s="105" t="s">
        <v>76</v>
      </c>
      <c r="AG7" s="2256"/>
      <c r="AH7" s="2256"/>
      <c r="AK7" s="99" t="s">
        <v>64</v>
      </c>
      <c r="AL7" s="99" t="s">
        <v>62</v>
      </c>
      <c r="AM7" s="99" t="s">
        <v>63</v>
      </c>
    </row>
    <row r="8" spans="1:45" ht="18" customHeight="1" x14ac:dyDescent="0.2">
      <c r="A8" s="103">
        <v>1</v>
      </c>
      <c r="B8" s="103">
        <v>2</v>
      </c>
      <c r="C8" s="103">
        <v>3</v>
      </c>
      <c r="D8" s="103">
        <v>4</v>
      </c>
      <c r="E8" s="103">
        <v>5</v>
      </c>
      <c r="F8" s="103">
        <v>6</v>
      </c>
      <c r="G8" s="103">
        <v>7</v>
      </c>
      <c r="H8" s="103">
        <v>8</v>
      </c>
      <c r="I8" s="103">
        <v>9</v>
      </c>
      <c r="J8" s="103">
        <v>10</v>
      </c>
      <c r="K8" s="103">
        <v>11</v>
      </c>
      <c r="L8" s="103">
        <v>12</v>
      </c>
      <c r="M8" s="103">
        <v>13</v>
      </c>
      <c r="N8" s="103">
        <v>14</v>
      </c>
      <c r="O8" s="103">
        <v>15</v>
      </c>
      <c r="P8" s="103">
        <v>16</v>
      </c>
      <c r="Q8" s="103">
        <v>17</v>
      </c>
      <c r="R8" s="103">
        <v>18</v>
      </c>
      <c r="S8" s="103">
        <v>19</v>
      </c>
      <c r="T8" s="103">
        <v>20</v>
      </c>
      <c r="U8" s="103">
        <v>21</v>
      </c>
      <c r="V8" s="103">
        <v>22</v>
      </c>
      <c r="W8" s="103">
        <v>23</v>
      </c>
      <c r="X8" s="103">
        <v>24</v>
      </c>
      <c r="Y8" s="103">
        <v>25</v>
      </c>
      <c r="Z8" s="103">
        <v>26</v>
      </c>
      <c r="AA8" s="103">
        <v>27</v>
      </c>
      <c r="AB8" s="103">
        <v>28</v>
      </c>
      <c r="AC8" s="103">
        <v>29</v>
      </c>
      <c r="AD8" s="103">
        <v>30</v>
      </c>
      <c r="AE8" s="103">
        <v>31</v>
      </c>
      <c r="AF8" s="103">
        <v>32</v>
      </c>
      <c r="AG8" s="103">
        <v>33</v>
      </c>
      <c r="AH8" s="103">
        <v>34</v>
      </c>
      <c r="AN8" s="212" t="s">
        <v>116</v>
      </c>
      <c r="AO8" s="212" t="s">
        <v>117</v>
      </c>
      <c r="AP8" s="212" t="s">
        <v>118</v>
      </c>
      <c r="AQ8" s="212" t="s">
        <v>119</v>
      </c>
    </row>
    <row r="9" spans="1:45" ht="16.5" customHeight="1" x14ac:dyDescent="0.2">
      <c r="A9" s="103">
        <v>1</v>
      </c>
      <c r="B9" s="236" t="s">
        <v>14</v>
      </c>
      <c r="C9" s="259">
        <v>1</v>
      </c>
      <c r="D9" s="237">
        <v>25.873000000000001</v>
      </c>
      <c r="E9" s="260">
        <f t="shared" ref="E9:E27" si="0">C9*D9</f>
        <v>25.87</v>
      </c>
      <c r="F9" s="185">
        <f t="shared" ref="F9:F27" si="1">E9*12</f>
        <v>310.39999999999998</v>
      </c>
      <c r="G9" s="95"/>
      <c r="H9" s="95"/>
      <c r="I9" s="95"/>
      <c r="J9" s="95"/>
      <c r="K9" s="95"/>
      <c r="L9" s="95">
        <f>F9*$L$4</f>
        <v>84.5</v>
      </c>
      <c r="M9" s="95">
        <f t="shared" ref="M9:M27" si="2">F9+G9+H9+I9+J9+K9+L9</f>
        <v>394.9</v>
      </c>
      <c r="N9" s="111">
        <v>0.47</v>
      </c>
      <c r="O9" s="95">
        <f t="shared" ref="O9:O27" si="3">M9*N9</f>
        <v>185.6</v>
      </c>
      <c r="P9" s="95">
        <f t="shared" ref="P9:P27" si="4">M9+O9</f>
        <v>580.5</v>
      </c>
      <c r="Q9" s="95">
        <f t="shared" ref="Q9:Q27" si="5">P9*0.8</f>
        <v>464.4</v>
      </c>
      <c r="R9" s="95">
        <f t="shared" ref="R9:R27" si="6">P9*0.8</f>
        <v>464.4</v>
      </c>
      <c r="S9" s="95">
        <f t="shared" ref="S9:S27" si="7">(P9+Q9+R9)*0.032</f>
        <v>48.3</v>
      </c>
      <c r="T9" s="95">
        <f t="shared" ref="T9:T27" si="8">P9+Q9+R9+S9</f>
        <v>1557.6</v>
      </c>
      <c r="U9" s="2915">
        <v>1</v>
      </c>
      <c r="V9" s="95">
        <f t="shared" ref="V9:V26" si="9">T9*$U$9</f>
        <v>1557.6</v>
      </c>
      <c r="W9" s="95">
        <f>AQ9</f>
        <v>401.5</v>
      </c>
      <c r="X9" s="103">
        <v>1</v>
      </c>
      <c r="Y9" s="112">
        <v>30</v>
      </c>
      <c r="Z9" s="113">
        <f t="shared" ref="Z9:Z27" si="10">X9*Y9</f>
        <v>30</v>
      </c>
      <c r="AA9" s="103"/>
      <c r="AB9" s="112">
        <v>15</v>
      </c>
      <c r="AC9" s="113">
        <f t="shared" ref="AC9:AC27" si="11">AA9*AB9</f>
        <v>0</v>
      </c>
      <c r="AD9" s="103"/>
      <c r="AE9" s="112">
        <v>30</v>
      </c>
      <c r="AF9" s="113">
        <f t="shared" ref="AF9:AF27" si="12">AD9*AE9</f>
        <v>0</v>
      </c>
      <c r="AG9" s="113">
        <f t="shared" ref="AG9:AG27" si="13">(Z9+AC9+AF9)*1%*30</f>
        <v>9</v>
      </c>
      <c r="AH9" s="113">
        <f t="shared" ref="AH9:AH27" si="14">Z9+AC9+AF9+AG9</f>
        <v>39</v>
      </c>
      <c r="AI9" s="131">
        <f t="shared" ref="AI9:AI23" si="15">V9/12/C9*1000</f>
        <v>129800</v>
      </c>
      <c r="AK9" s="114">
        <f t="shared" ref="AK9:AK23" si="16">V9/C9</f>
        <v>1557.6</v>
      </c>
      <c r="AL9" s="114">
        <f>((979*0.302)+((AK9-979)*0.182))</f>
        <v>401</v>
      </c>
      <c r="AM9" s="115">
        <f>AL9/AK9</f>
        <v>0.25700000000000001</v>
      </c>
      <c r="AN9" s="50">
        <f>1150*0.22+(AK9-1150)*0.1</f>
        <v>293.8</v>
      </c>
      <c r="AO9" s="50">
        <f>865*0.029</f>
        <v>25.1</v>
      </c>
      <c r="AP9" s="50">
        <f>AK9*0.053</f>
        <v>82.6</v>
      </c>
      <c r="AQ9" s="50">
        <f>SUM(AN9:AP9)*C9</f>
        <v>401.5</v>
      </c>
      <c r="AS9" s="99">
        <f t="shared" ref="AS9:AS27" si="17">D9*1.5</f>
        <v>38.8095</v>
      </c>
    </row>
    <row r="10" spans="1:45" x14ac:dyDescent="0.2">
      <c r="A10" s="103">
        <v>2</v>
      </c>
      <c r="B10" s="236" t="s">
        <v>127</v>
      </c>
      <c r="C10" s="259">
        <v>2</v>
      </c>
      <c r="D10" s="237">
        <v>18.111000000000001</v>
      </c>
      <c r="E10" s="260">
        <f t="shared" si="0"/>
        <v>36.22</v>
      </c>
      <c r="F10" s="185">
        <f t="shared" si="1"/>
        <v>434.6</v>
      </c>
      <c r="G10" s="95"/>
      <c r="H10" s="95">
        <f>7.062+7.945</f>
        <v>15</v>
      </c>
      <c r="I10" s="95"/>
      <c r="J10" s="95"/>
      <c r="K10" s="95">
        <f>(D10*0.4+D10*0.2)*12</f>
        <v>130.4</v>
      </c>
      <c r="L10" s="95">
        <f t="shared" ref="L10:L25" si="18">F10*$L$4</f>
        <v>118.2</v>
      </c>
      <c r="M10" s="95">
        <f t="shared" si="2"/>
        <v>698.2</v>
      </c>
      <c r="N10" s="111">
        <v>0.47</v>
      </c>
      <c r="O10" s="95">
        <f t="shared" si="3"/>
        <v>328.2</v>
      </c>
      <c r="P10" s="95">
        <f t="shared" si="4"/>
        <v>1026.4000000000001</v>
      </c>
      <c r="Q10" s="95">
        <f t="shared" si="5"/>
        <v>821.1</v>
      </c>
      <c r="R10" s="95">
        <f t="shared" si="6"/>
        <v>821.1</v>
      </c>
      <c r="S10" s="95">
        <f t="shared" si="7"/>
        <v>85.4</v>
      </c>
      <c r="T10" s="95">
        <f t="shared" si="8"/>
        <v>2754</v>
      </c>
      <c r="U10" s="2916"/>
      <c r="V10" s="95">
        <f t="shared" si="9"/>
        <v>2754</v>
      </c>
      <c r="W10" s="95">
        <f>AQ10</f>
        <v>747.6</v>
      </c>
      <c r="X10" s="103"/>
      <c r="Y10" s="112">
        <v>30</v>
      </c>
      <c r="Z10" s="113">
        <f t="shared" si="10"/>
        <v>0</v>
      </c>
      <c r="AA10" s="103"/>
      <c r="AB10" s="112">
        <v>15</v>
      </c>
      <c r="AC10" s="113">
        <f t="shared" si="11"/>
        <v>0</v>
      </c>
      <c r="AD10" s="103"/>
      <c r="AE10" s="112">
        <v>30</v>
      </c>
      <c r="AF10" s="113">
        <f t="shared" si="12"/>
        <v>0</v>
      </c>
      <c r="AG10" s="113">
        <f t="shared" si="13"/>
        <v>0</v>
      </c>
      <c r="AH10" s="113">
        <f t="shared" si="14"/>
        <v>0</v>
      </c>
      <c r="AI10" s="131">
        <f t="shared" si="15"/>
        <v>114750</v>
      </c>
      <c r="AK10" s="114">
        <f t="shared" si="16"/>
        <v>1377</v>
      </c>
      <c r="AL10" s="114">
        <f t="shared" ref="AL10:AL27" si="19">((979*0.302)+((AK10-979)*0.182))</f>
        <v>368.1</v>
      </c>
      <c r="AM10" s="115">
        <f>AL10/AK10</f>
        <v>0.26700000000000002</v>
      </c>
      <c r="AN10" s="50">
        <f>1150*0.22+(AK10-1150)*0.1</f>
        <v>275.7</v>
      </c>
      <c r="AO10" s="50">
        <f>865*0.029</f>
        <v>25.1</v>
      </c>
      <c r="AP10" s="50">
        <f>AK10*0.053</f>
        <v>73</v>
      </c>
      <c r="AQ10" s="50">
        <f>SUM(AN10:AP10)*C10</f>
        <v>747.6</v>
      </c>
      <c r="AS10" s="99">
        <f t="shared" si="17"/>
        <v>27.166499999999999</v>
      </c>
    </row>
    <row r="11" spans="1:45" ht="15.75" customHeight="1" x14ac:dyDescent="0.2">
      <c r="A11" s="103">
        <v>3</v>
      </c>
      <c r="B11" s="261" t="s">
        <v>23</v>
      </c>
      <c r="C11" s="262">
        <v>4</v>
      </c>
      <c r="D11" s="237">
        <v>11.061999999999999</v>
      </c>
      <c r="E11" s="111">
        <f t="shared" si="0"/>
        <v>44.25</v>
      </c>
      <c r="F11" s="95">
        <f t="shared" si="1"/>
        <v>531</v>
      </c>
      <c r="G11" s="95"/>
      <c r="H11" s="95">
        <f>2.757+7.01+7.01+7.789</f>
        <v>24.6</v>
      </c>
      <c r="I11" s="95"/>
      <c r="J11" s="95"/>
      <c r="K11" s="95">
        <f>(D11*0.4*3+D11*0.25)*12</f>
        <v>192.5</v>
      </c>
      <c r="L11" s="95">
        <f t="shared" si="18"/>
        <v>144.5</v>
      </c>
      <c r="M11" s="95">
        <f t="shared" si="2"/>
        <v>892.6</v>
      </c>
      <c r="N11" s="111">
        <v>0.43</v>
      </c>
      <c r="O11" s="95">
        <f t="shared" si="3"/>
        <v>383.8</v>
      </c>
      <c r="P11" s="95">
        <f t="shared" si="4"/>
        <v>1276.4000000000001</v>
      </c>
      <c r="Q11" s="95">
        <f t="shared" si="5"/>
        <v>1021.1</v>
      </c>
      <c r="R11" s="95">
        <f t="shared" si="6"/>
        <v>1021.1</v>
      </c>
      <c r="S11" s="95">
        <f t="shared" si="7"/>
        <v>106.2</v>
      </c>
      <c r="T11" s="95">
        <f t="shared" si="8"/>
        <v>3424.8</v>
      </c>
      <c r="U11" s="2916"/>
      <c r="V11" s="95">
        <f>T11*$U$9</f>
        <v>3424.8</v>
      </c>
      <c r="W11" s="95">
        <f>V11*0.302</f>
        <v>1034.3</v>
      </c>
      <c r="X11" s="239">
        <v>2</v>
      </c>
      <c r="Y11" s="240">
        <v>30</v>
      </c>
      <c r="Z11" s="241">
        <f t="shared" si="10"/>
        <v>60</v>
      </c>
      <c r="AA11" s="239"/>
      <c r="AB11" s="240">
        <v>15</v>
      </c>
      <c r="AC11" s="241">
        <f t="shared" si="11"/>
        <v>0</v>
      </c>
      <c r="AD11" s="239">
        <v>2</v>
      </c>
      <c r="AE11" s="240">
        <v>30</v>
      </c>
      <c r="AF11" s="241">
        <f t="shared" si="12"/>
        <v>60</v>
      </c>
      <c r="AG11" s="241">
        <f t="shared" si="13"/>
        <v>36</v>
      </c>
      <c r="AH11" s="241">
        <f t="shared" si="14"/>
        <v>156</v>
      </c>
      <c r="AI11" s="131">
        <f t="shared" si="15"/>
        <v>71350</v>
      </c>
      <c r="AK11" s="114">
        <f t="shared" si="16"/>
        <v>856.2</v>
      </c>
      <c r="AL11" s="114">
        <f t="shared" si="19"/>
        <v>273.3</v>
      </c>
      <c r="AM11" s="115">
        <v>0.30199999999999999</v>
      </c>
      <c r="AN11" s="50"/>
      <c r="AO11" s="50"/>
      <c r="AP11" s="50"/>
      <c r="AQ11" s="50"/>
      <c r="AS11" s="99">
        <f t="shared" si="17"/>
        <v>16.593</v>
      </c>
    </row>
    <row r="12" spans="1:45" x14ac:dyDescent="0.2">
      <c r="A12" s="103">
        <v>4</v>
      </c>
      <c r="B12" s="261" t="s">
        <v>47</v>
      </c>
      <c r="C12" s="262">
        <v>1</v>
      </c>
      <c r="D12" s="237">
        <v>6.2859999999999996</v>
      </c>
      <c r="E12" s="111">
        <f t="shared" si="0"/>
        <v>6.29</v>
      </c>
      <c r="F12" s="95">
        <f t="shared" si="1"/>
        <v>75.5</v>
      </c>
      <c r="G12" s="95"/>
      <c r="H12" s="95">
        <f>3064.3/1000</f>
        <v>3.1</v>
      </c>
      <c r="I12" s="95"/>
      <c r="J12" s="95"/>
      <c r="K12" s="95">
        <f>F12*0.25</f>
        <v>18.899999999999999</v>
      </c>
      <c r="L12" s="95">
        <f t="shared" si="18"/>
        <v>20.5</v>
      </c>
      <c r="M12" s="95">
        <f t="shared" si="2"/>
        <v>118</v>
      </c>
      <c r="N12" s="111">
        <v>0.45</v>
      </c>
      <c r="O12" s="95">
        <f t="shared" si="3"/>
        <v>53.1</v>
      </c>
      <c r="P12" s="95">
        <f t="shared" si="4"/>
        <v>171.1</v>
      </c>
      <c r="Q12" s="95">
        <f t="shared" si="5"/>
        <v>136.9</v>
      </c>
      <c r="R12" s="95">
        <f t="shared" si="6"/>
        <v>136.9</v>
      </c>
      <c r="S12" s="95">
        <f t="shared" si="7"/>
        <v>14.2</v>
      </c>
      <c r="T12" s="95">
        <f t="shared" si="8"/>
        <v>459.1</v>
      </c>
      <c r="U12" s="2916"/>
      <c r="V12" s="95">
        <f t="shared" si="9"/>
        <v>459.1</v>
      </c>
      <c r="W12" s="95">
        <f t="shared" ref="W12:W27" si="20">V12*0.302</f>
        <v>138.6</v>
      </c>
      <c r="X12" s="239">
        <v>1</v>
      </c>
      <c r="Y12" s="240">
        <v>30</v>
      </c>
      <c r="Z12" s="241">
        <f t="shared" si="10"/>
        <v>30</v>
      </c>
      <c r="AA12" s="239"/>
      <c r="AB12" s="240">
        <v>15</v>
      </c>
      <c r="AC12" s="241">
        <f t="shared" si="11"/>
        <v>0</v>
      </c>
      <c r="AD12" s="239"/>
      <c r="AE12" s="240">
        <v>30</v>
      </c>
      <c r="AF12" s="241">
        <f t="shared" si="12"/>
        <v>0</v>
      </c>
      <c r="AG12" s="241">
        <f t="shared" si="13"/>
        <v>9</v>
      </c>
      <c r="AH12" s="241">
        <f t="shared" si="14"/>
        <v>39</v>
      </c>
      <c r="AI12" s="131">
        <f t="shared" si="15"/>
        <v>38258.33</v>
      </c>
      <c r="AK12" s="114">
        <f t="shared" si="16"/>
        <v>459.1</v>
      </c>
      <c r="AL12" s="114">
        <f t="shared" si="19"/>
        <v>201</v>
      </c>
      <c r="AM12" s="115">
        <v>0.30199999999999999</v>
      </c>
      <c r="AO12" s="50"/>
      <c r="AP12" s="50"/>
      <c r="AQ12" s="50"/>
      <c r="AS12" s="99">
        <f t="shared" si="17"/>
        <v>9.4290000000000003</v>
      </c>
    </row>
    <row r="13" spans="1:45" x14ac:dyDescent="0.2">
      <c r="A13" s="103">
        <v>5</v>
      </c>
      <c r="B13" s="236" t="s">
        <v>15</v>
      </c>
      <c r="C13" s="262">
        <v>1</v>
      </c>
      <c r="D13" s="237">
        <v>11.061999999999999</v>
      </c>
      <c r="E13" s="111">
        <f t="shared" si="0"/>
        <v>11.06</v>
      </c>
      <c r="F13" s="95">
        <f t="shared" si="1"/>
        <v>132.69999999999999</v>
      </c>
      <c r="G13" s="95"/>
      <c r="H13" s="95"/>
      <c r="I13" s="95"/>
      <c r="J13" s="95"/>
      <c r="K13" s="95">
        <f>D11*0.25*4.6+D11*0.3*7.4</f>
        <v>37.299999999999997</v>
      </c>
      <c r="L13" s="95">
        <f t="shared" si="18"/>
        <v>36.1</v>
      </c>
      <c r="M13" s="95">
        <f t="shared" si="2"/>
        <v>206.1</v>
      </c>
      <c r="N13" s="111">
        <v>0.43</v>
      </c>
      <c r="O13" s="95">
        <f t="shared" si="3"/>
        <v>88.6</v>
      </c>
      <c r="P13" s="95">
        <f t="shared" si="4"/>
        <v>294.7</v>
      </c>
      <c r="Q13" s="95">
        <f t="shared" si="5"/>
        <v>235.8</v>
      </c>
      <c r="R13" s="95">
        <f t="shared" si="6"/>
        <v>235.8</v>
      </c>
      <c r="S13" s="95">
        <f t="shared" si="7"/>
        <v>24.5</v>
      </c>
      <c r="T13" s="95">
        <f t="shared" si="8"/>
        <v>790.8</v>
      </c>
      <c r="U13" s="2916"/>
      <c r="V13" s="95">
        <f t="shared" si="9"/>
        <v>790.8</v>
      </c>
      <c r="W13" s="95">
        <f t="shared" si="20"/>
        <v>238.8</v>
      </c>
      <c r="X13" s="239"/>
      <c r="Y13" s="240">
        <v>30</v>
      </c>
      <c r="Z13" s="241">
        <f t="shared" si="10"/>
        <v>0</v>
      </c>
      <c r="AA13" s="239"/>
      <c r="AB13" s="240">
        <v>15</v>
      </c>
      <c r="AC13" s="241">
        <f t="shared" si="11"/>
        <v>0</v>
      </c>
      <c r="AD13" s="239"/>
      <c r="AE13" s="240">
        <v>30</v>
      </c>
      <c r="AF13" s="241">
        <f t="shared" si="12"/>
        <v>0</v>
      </c>
      <c r="AG13" s="241">
        <f t="shared" si="13"/>
        <v>0</v>
      </c>
      <c r="AH13" s="241">
        <f t="shared" si="14"/>
        <v>0</v>
      </c>
      <c r="AI13" s="131">
        <f t="shared" si="15"/>
        <v>65900</v>
      </c>
      <c r="AK13" s="114">
        <f t="shared" si="16"/>
        <v>790.8</v>
      </c>
      <c r="AL13" s="114">
        <f t="shared" si="19"/>
        <v>261.39999999999998</v>
      </c>
      <c r="AM13" s="115">
        <v>0.30199999999999999</v>
      </c>
      <c r="AN13" s="50"/>
      <c r="AO13" s="50"/>
      <c r="AP13" s="50"/>
      <c r="AQ13" s="50"/>
      <c r="AS13" s="99">
        <f t="shared" si="17"/>
        <v>16.593</v>
      </c>
    </row>
    <row r="14" spans="1:45" s="245" customFormat="1" x14ac:dyDescent="0.2">
      <c r="A14" s="103">
        <v>6</v>
      </c>
      <c r="B14" s="261" t="s">
        <v>48</v>
      </c>
      <c r="C14" s="262">
        <v>1</v>
      </c>
      <c r="D14" s="237">
        <v>11.061999999999999</v>
      </c>
      <c r="E14" s="249">
        <f t="shared" si="0"/>
        <v>11.06</v>
      </c>
      <c r="F14" s="248">
        <f t="shared" si="1"/>
        <v>132.69999999999999</v>
      </c>
      <c r="G14" s="248"/>
      <c r="H14" s="248">
        <v>7</v>
      </c>
      <c r="I14" s="248"/>
      <c r="J14" s="248"/>
      <c r="K14" s="248">
        <f>F14*0.4</f>
        <v>53.1</v>
      </c>
      <c r="L14" s="95">
        <f t="shared" si="18"/>
        <v>36.1</v>
      </c>
      <c r="M14" s="248">
        <f t="shared" si="2"/>
        <v>228.9</v>
      </c>
      <c r="N14" s="111">
        <v>0.47</v>
      </c>
      <c r="O14" s="248">
        <f t="shared" si="3"/>
        <v>107.6</v>
      </c>
      <c r="P14" s="248">
        <f t="shared" si="4"/>
        <v>336.5</v>
      </c>
      <c r="Q14" s="248">
        <f t="shared" si="5"/>
        <v>269.2</v>
      </c>
      <c r="R14" s="248">
        <f t="shared" si="6"/>
        <v>269.2</v>
      </c>
      <c r="S14" s="248">
        <f t="shared" si="7"/>
        <v>28</v>
      </c>
      <c r="T14" s="248">
        <f t="shared" si="8"/>
        <v>902.9</v>
      </c>
      <c r="U14" s="2916"/>
      <c r="V14" s="248">
        <f t="shared" si="9"/>
        <v>902.9</v>
      </c>
      <c r="W14" s="95">
        <f>AQ14</f>
        <v>271.60000000000002</v>
      </c>
      <c r="X14" s="239"/>
      <c r="Y14" s="240">
        <v>30</v>
      </c>
      <c r="Z14" s="241">
        <f t="shared" si="10"/>
        <v>0</v>
      </c>
      <c r="AA14" s="239"/>
      <c r="AB14" s="240">
        <v>15</v>
      </c>
      <c r="AC14" s="241">
        <f t="shared" si="11"/>
        <v>0</v>
      </c>
      <c r="AD14" s="239"/>
      <c r="AE14" s="240">
        <v>30</v>
      </c>
      <c r="AF14" s="241">
        <f t="shared" si="12"/>
        <v>0</v>
      </c>
      <c r="AG14" s="241">
        <f t="shared" si="13"/>
        <v>0</v>
      </c>
      <c r="AH14" s="241">
        <f t="shared" si="14"/>
        <v>0</v>
      </c>
      <c r="AI14" s="131">
        <f t="shared" si="15"/>
        <v>75241.67</v>
      </c>
      <c r="AK14" s="114">
        <f t="shared" si="16"/>
        <v>902.9</v>
      </c>
      <c r="AL14" s="114">
        <f t="shared" si="19"/>
        <v>281.8</v>
      </c>
      <c r="AM14" s="115">
        <v>0.30199999999999999</v>
      </c>
      <c r="AN14" s="50">
        <f>AK14*0.22</f>
        <v>198.6</v>
      </c>
      <c r="AO14" s="50">
        <f>865*0.029</f>
        <v>25.1</v>
      </c>
      <c r="AP14" s="50">
        <f>AK14*0.053</f>
        <v>47.9</v>
      </c>
      <c r="AQ14" s="50">
        <f>SUM(AN14:AP14)*C14</f>
        <v>271.60000000000002</v>
      </c>
      <c r="AS14" s="99">
        <f t="shared" si="17"/>
        <v>16.593</v>
      </c>
    </row>
    <row r="15" spans="1:45" x14ac:dyDescent="0.2">
      <c r="A15" s="103">
        <v>7</v>
      </c>
      <c r="B15" s="236" t="s">
        <v>49</v>
      </c>
      <c r="C15" s="259">
        <v>1</v>
      </c>
      <c r="D15" s="237">
        <v>8.4730000000000008</v>
      </c>
      <c r="E15" s="111">
        <f t="shared" si="0"/>
        <v>8.4700000000000006</v>
      </c>
      <c r="F15" s="95">
        <f t="shared" si="1"/>
        <v>101.6</v>
      </c>
      <c r="G15" s="95"/>
      <c r="H15" s="95">
        <v>6</v>
      </c>
      <c r="I15" s="95"/>
      <c r="J15" s="95"/>
      <c r="K15" s="95">
        <f>F15*0.2</f>
        <v>20.3</v>
      </c>
      <c r="L15" s="95">
        <f t="shared" si="18"/>
        <v>27.6</v>
      </c>
      <c r="M15" s="95">
        <f t="shared" si="2"/>
        <v>155.5</v>
      </c>
      <c r="N15" s="111">
        <v>0.41</v>
      </c>
      <c r="O15" s="95">
        <f t="shared" si="3"/>
        <v>63.8</v>
      </c>
      <c r="P15" s="95">
        <f t="shared" si="4"/>
        <v>219.3</v>
      </c>
      <c r="Q15" s="95">
        <f t="shared" si="5"/>
        <v>175.4</v>
      </c>
      <c r="R15" s="95">
        <f t="shared" si="6"/>
        <v>175.4</v>
      </c>
      <c r="S15" s="95">
        <f t="shared" si="7"/>
        <v>18.2</v>
      </c>
      <c r="T15" s="95">
        <f t="shared" si="8"/>
        <v>588.29999999999995</v>
      </c>
      <c r="U15" s="2916"/>
      <c r="V15" s="95">
        <f t="shared" si="9"/>
        <v>588.29999999999995</v>
      </c>
      <c r="W15" s="95">
        <f t="shared" si="20"/>
        <v>177.7</v>
      </c>
      <c r="X15" s="103"/>
      <c r="Y15" s="112">
        <v>30</v>
      </c>
      <c r="Z15" s="113">
        <f t="shared" si="10"/>
        <v>0</v>
      </c>
      <c r="AA15" s="127"/>
      <c r="AB15" s="112">
        <v>15</v>
      </c>
      <c r="AC15" s="113">
        <f t="shared" si="11"/>
        <v>0</v>
      </c>
      <c r="AD15" s="127"/>
      <c r="AE15" s="112">
        <v>30</v>
      </c>
      <c r="AF15" s="113">
        <f t="shared" si="12"/>
        <v>0</v>
      </c>
      <c r="AG15" s="113">
        <f t="shared" si="13"/>
        <v>0</v>
      </c>
      <c r="AH15" s="113">
        <f t="shared" si="14"/>
        <v>0</v>
      </c>
      <c r="AI15" s="131">
        <f t="shared" si="15"/>
        <v>49025</v>
      </c>
      <c r="AK15" s="114">
        <f t="shared" si="16"/>
        <v>588.29999999999995</v>
      </c>
      <c r="AL15" s="114">
        <f t="shared" si="19"/>
        <v>224.6</v>
      </c>
      <c r="AM15" s="115">
        <v>0.30199999999999999</v>
      </c>
      <c r="AO15" s="50"/>
      <c r="AP15" s="50"/>
      <c r="AQ15" s="50"/>
      <c r="AS15" s="99">
        <f t="shared" si="17"/>
        <v>12.7095</v>
      </c>
    </row>
    <row r="16" spans="1:45" x14ac:dyDescent="0.2">
      <c r="A16" s="103">
        <v>8</v>
      </c>
      <c r="B16" s="236" t="s">
        <v>59</v>
      </c>
      <c r="C16" s="259">
        <v>1</v>
      </c>
      <c r="D16" s="237">
        <v>8.4730000000000008</v>
      </c>
      <c r="E16" s="111">
        <f t="shared" si="0"/>
        <v>8.4700000000000006</v>
      </c>
      <c r="F16" s="95">
        <f t="shared" si="1"/>
        <v>101.6</v>
      </c>
      <c r="G16" s="95"/>
      <c r="H16" s="95">
        <v>5.4</v>
      </c>
      <c r="I16" s="95"/>
      <c r="J16" s="95"/>
      <c r="K16" s="95">
        <f>F16*0.4</f>
        <v>40.6</v>
      </c>
      <c r="L16" s="95">
        <f t="shared" si="18"/>
        <v>27.6</v>
      </c>
      <c r="M16" s="95">
        <f t="shared" si="2"/>
        <v>175.2</v>
      </c>
      <c r="N16" s="111">
        <v>0.41</v>
      </c>
      <c r="O16" s="95">
        <f t="shared" si="3"/>
        <v>71.8</v>
      </c>
      <c r="P16" s="95">
        <f t="shared" si="4"/>
        <v>247</v>
      </c>
      <c r="Q16" s="95">
        <f t="shared" si="5"/>
        <v>197.6</v>
      </c>
      <c r="R16" s="95">
        <f t="shared" si="6"/>
        <v>197.6</v>
      </c>
      <c r="S16" s="95">
        <f t="shared" si="7"/>
        <v>20.6</v>
      </c>
      <c r="T16" s="95">
        <f t="shared" si="8"/>
        <v>662.8</v>
      </c>
      <c r="U16" s="2916"/>
      <c r="V16" s="95">
        <f t="shared" si="9"/>
        <v>662.8</v>
      </c>
      <c r="W16" s="95">
        <f t="shared" si="20"/>
        <v>200.2</v>
      </c>
      <c r="X16" s="103"/>
      <c r="Y16" s="112">
        <v>30</v>
      </c>
      <c r="Z16" s="113">
        <f t="shared" si="10"/>
        <v>0</v>
      </c>
      <c r="AA16" s="127"/>
      <c r="AB16" s="112">
        <v>15</v>
      </c>
      <c r="AC16" s="113">
        <f t="shared" si="11"/>
        <v>0</v>
      </c>
      <c r="AD16" s="127"/>
      <c r="AE16" s="112">
        <v>30</v>
      </c>
      <c r="AF16" s="113">
        <f t="shared" si="12"/>
        <v>0</v>
      </c>
      <c r="AG16" s="113">
        <f t="shared" si="13"/>
        <v>0</v>
      </c>
      <c r="AH16" s="113">
        <f t="shared" si="14"/>
        <v>0</v>
      </c>
      <c r="AI16" s="131">
        <f t="shared" si="15"/>
        <v>55233.33</v>
      </c>
      <c r="AK16" s="114">
        <f t="shared" si="16"/>
        <v>662.8</v>
      </c>
      <c r="AL16" s="114">
        <f t="shared" si="19"/>
        <v>238.1</v>
      </c>
      <c r="AM16" s="115">
        <v>0.30199999999999999</v>
      </c>
      <c r="AN16" s="50"/>
      <c r="AO16" s="50"/>
      <c r="AP16" s="50"/>
      <c r="AQ16" s="50"/>
      <c r="AS16" s="99">
        <f t="shared" si="17"/>
        <v>12.7095</v>
      </c>
    </row>
    <row r="17" spans="1:45" x14ac:dyDescent="0.2">
      <c r="A17" s="103">
        <v>9</v>
      </c>
      <c r="B17" s="261" t="s">
        <v>40</v>
      </c>
      <c r="C17" s="259">
        <v>1</v>
      </c>
      <c r="D17" s="237">
        <v>11.061999999999999</v>
      </c>
      <c r="E17" s="111">
        <f t="shared" si="0"/>
        <v>11.06</v>
      </c>
      <c r="F17" s="95">
        <f t="shared" si="1"/>
        <v>132.69999999999999</v>
      </c>
      <c r="G17" s="95"/>
      <c r="H17" s="95">
        <f>5392.4/1000</f>
        <v>5.4</v>
      </c>
      <c r="I17" s="95"/>
      <c r="J17" s="95"/>
      <c r="K17" s="95"/>
      <c r="L17" s="95">
        <f t="shared" si="18"/>
        <v>36.1</v>
      </c>
      <c r="M17" s="95">
        <f t="shared" si="2"/>
        <v>174.2</v>
      </c>
      <c r="N17" s="111">
        <v>0.43</v>
      </c>
      <c r="O17" s="95">
        <f t="shared" si="3"/>
        <v>74.900000000000006</v>
      </c>
      <c r="P17" s="95">
        <f t="shared" si="4"/>
        <v>249.1</v>
      </c>
      <c r="Q17" s="95">
        <f t="shared" si="5"/>
        <v>199.3</v>
      </c>
      <c r="R17" s="95">
        <f t="shared" si="6"/>
        <v>199.3</v>
      </c>
      <c r="S17" s="95">
        <f t="shared" si="7"/>
        <v>20.7</v>
      </c>
      <c r="T17" s="95">
        <f t="shared" si="8"/>
        <v>668.4</v>
      </c>
      <c r="U17" s="2916"/>
      <c r="V17" s="95">
        <f t="shared" si="9"/>
        <v>668.4</v>
      </c>
      <c r="W17" s="95">
        <f t="shared" si="20"/>
        <v>201.9</v>
      </c>
      <c r="X17" s="103"/>
      <c r="Y17" s="112">
        <v>30</v>
      </c>
      <c r="Z17" s="113">
        <f t="shared" si="10"/>
        <v>0</v>
      </c>
      <c r="AA17" s="127"/>
      <c r="AB17" s="112">
        <v>15</v>
      </c>
      <c r="AC17" s="113">
        <f t="shared" si="11"/>
        <v>0</v>
      </c>
      <c r="AD17" s="127"/>
      <c r="AE17" s="112">
        <v>30</v>
      </c>
      <c r="AF17" s="113">
        <f t="shared" si="12"/>
        <v>0</v>
      </c>
      <c r="AG17" s="113">
        <f t="shared" si="13"/>
        <v>0</v>
      </c>
      <c r="AH17" s="113">
        <f t="shared" si="14"/>
        <v>0</v>
      </c>
      <c r="AI17" s="131">
        <f t="shared" si="15"/>
        <v>55700</v>
      </c>
      <c r="AK17" s="114">
        <f t="shared" si="16"/>
        <v>668.4</v>
      </c>
      <c r="AL17" s="114">
        <f t="shared" si="19"/>
        <v>239.1</v>
      </c>
      <c r="AM17" s="115">
        <v>0.30199999999999999</v>
      </c>
      <c r="AN17" s="50"/>
      <c r="AO17" s="50"/>
      <c r="AP17" s="50"/>
      <c r="AQ17" s="50"/>
      <c r="AS17" s="99">
        <f t="shared" si="17"/>
        <v>16.593</v>
      </c>
    </row>
    <row r="18" spans="1:45" x14ac:dyDescent="0.2">
      <c r="A18" s="103">
        <v>10</v>
      </c>
      <c r="B18" s="261" t="s">
        <v>29</v>
      </c>
      <c r="C18" s="259">
        <v>2</v>
      </c>
      <c r="D18" s="237">
        <v>8.4730000000000008</v>
      </c>
      <c r="E18" s="111">
        <f t="shared" si="0"/>
        <v>16.95</v>
      </c>
      <c r="F18" s="95">
        <f t="shared" si="1"/>
        <v>203.4</v>
      </c>
      <c r="G18" s="95"/>
      <c r="H18" s="95">
        <f>2065.2/1000</f>
        <v>2.1</v>
      </c>
      <c r="I18" s="95"/>
      <c r="J18" s="95"/>
      <c r="K18" s="95">
        <f>(D18*0.25+D18*0.3)*12</f>
        <v>55.9</v>
      </c>
      <c r="L18" s="95">
        <f t="shared" si="18"/>
        <v>55.3</v>
      </c>
      <c r="M18" s="95">
        <f t="shared" si="2"/>
        <v>316.7</v>
      </c>
      <c r="N18" s="111">
        <v>0.41</v>
      </c>
      <c r="O18" s="95">
        <f t="shared" si="3"/>
        <v>129.80000000000001</v>
      </c>
      <c r="P18" s="95">
        <f t="shared" si="4"/>
        <v>446.5</v>
      </c>
      <c r="Q18" s="95">
        <f t="shared" si="5"/>
        <v>357.2</v>
      </c>
      <c r="R18" s="95">
        <f t="shared" si="6"/>
        <v>357.2</v>
      </c>
      <c r="S18" s="95">
        <f t="shared" si="7"/>
        <v>37.1</v>
      </c>
      <c r="T18" s="95">
        <f t="shared" si="8"/>
        <v>1198</v>
      </c>
      <c r="U18" s="2916"/>
      <c r="V18" s="95">
        <f t="shared" si="9"/>
        <v>1198</v>
      </c>
      <c r="W18" s="95">
        <f t="shared" si="20"/>
        <v>361.8</v>
      </c>
      <c r="X18" s="103"/>
      <c r="Y18" s="112">
        <v>30</v>
      </c>
      <c r="Z18" s="113">
        <f t="shared" si="10"/>
        <v>0</v>
      </c>
      <c r="AA18" s="127"/>
      <c r="AB18" s="112">
        <v>15</v>
      </c>
      <c r="AC18" s="113">
        <f t="shared" si="11"/>
        <v>0</v>
      </c>
      <c r="AD18" s="127"/>
      <c r="AE18" s="112">
        <v>30</v>
      </c>
      <c r="AF18" s="113">
        <f t="shared" si="12"/>
        <v>0</v>
      </c>
      <c r="AG18" s="113">
        <f t="shared" si="13"/>
        <v>0</v>
      </c>
      <c r="AH18" s="113">
        <f t="shared" si="14"/>
        <v>0</v>
      </c>
      <c r="AI18" s="131">
        <f t="shared" si="15"/>
        <v>49916.67</v>
      </c>
      <c r="AK18" s="114">
        <f t="shared" si="16"/>
        <v>599</v>
      </c>
      <c r="AL18" s="114">
        <f t="shared" si="19"/>
        <v>226.5</v>
      </c>
      <c r="AM18" s="115">
        <v>0.30199999999999999</v>
      </c>
      <c r="AN18" s="263"/>
      <c r="AO18" s="263"/>
      <c r="AP18" s="263"/>
      <c r="AS18" s="99">
        <f t="shared" si="17"/>
        <v>12.7095</v>
      </c>
    </row>
    <row r="19" spans="1:45" x14ac:dyDescent="0.2">
      <c r="A19" s="103">
        <v>11</v>
      </c>
      <c r="B19" s="261" t="s">
        <v>58</v>
      </c>
      <c r="C19" s="259">
        <v>1</v>
      </c>
      <c r="D19" s="237">
        <v>11.061999999999999</v>
      </c>
      <c r="E19" s="111">
        <f t="shared" si="0"/>
        <v>11.06</v>
      </c>
      <c r="F19" s="95">
        <f t="shared" si="1"/>
        <v>132.69999999999999</v>
      </c>
      <c r="G19" s="95"/>
      <c r="H19" s="95">
        <f>5392.4/1000</f>
        <v>5.4</v>
      </c>
      <c r="I19" s="95"/>
      <c r="J19" s="95"/>
      <c r="K19" s="95">
        <f>F19*0.4</f>
        <v>53.1</v>
      </c>
      <c r="L19" s="95">
        <f t="shared" si="18"/>
        <v>36.1</v>
      </c>
      <c r="M19" s="95">
        <f t="shared" si="2"/>
        <v>227.3</v>
      </c>
      <c r="N19" s="111">
        <v>0.43</v>
      </c>
      <c r="O19" s="95">
        <f t="shared" si="3"/>
        <v>97.7</v>
      </c>
      <c r="P19" s="95">
        <f t="shared" si="4"/>
        <v>325</v>
      </c>
      <c r="Q19" s="95">
        <f t="shared" si="5"/>
        <v>260</v>
      </c>
      <c r="R19" s="95">
        <f t="shared" si="6"/>
        <v>260</v>
      </c>
      <c r="S19" s="95">
        <f t="shared" si="7"/>
        <v>27</v>
      </c>
      <c r="T19" s="95">
        <f t="shared" si="8"/>
        <v>872</v>
      </c>
      <c r="U19" s="2916"/>
      <c r="V19" s="95">
        <f t="shared" si="9"/>
        <v>872</v>
      </c>
      <c r="W19" s="95">
        <f t="shared" si="20"/>
        <v>263.3</v>
      </c>
      <c r="X19" s="103"/>
      <c r="Y19" s="112">
        <v>30</v>
      </c>
      <c r="Z19" s="113">
        <f t="shared" si="10"/>
        <v>0</v>
      </c>
      <c r="AA19" s="127"/>
      <c r="AB19" s="112">
        <v>15</v>
      </c>
      <c r="AC19" s="113">
        <f t="shared" si="11"/>
        <v>0</v>
      </c>
      <c r="AD19" s="127"/>
      <c r="AE19" s="112">
        <v>30</v>
      </c>
      <c r="AF19" s="113">
        <f t="shared" si="12"/>
        <v>0</v>
      </c>
      <c r="AG19" s="113">
        <f t="shared" si="13"/>
        <v>0</v>
      </c>
      <c r="AH19" s="113">
        <f t="shared" si="14"/>
        <v>0</v>
      </c>
      <c r="AI19" s="131">
        <f t="shared" si="15"/>
        <v>72666.67</v>
      </c>
      <c r="AK19" s="114">
        <f t="shared" si="16"/>
        <v>872</v>
      </c>
      <c r="AL19" s="114">
        <f t="shared" si="19"/>
        <v>276.2</v>
      </c>
      <c r="AM19" s="115">
        <v>0.30199999999999999</v>
      </c>
      <c r="AN19" s="50"/>
      <c r="AO19" s="50"/>
      <c r="AP19" s="50"/>
      <c r="AQ19" s="50"/>
      <c r="AS19" s="99">
        <f t="shared" si="17"/>
        <v>16.593</v>
      </c>
    </row>
    <row r="20" spans="1:45" x14ac:dyDescent="0.2">
      <c r="A20" s="103">
        <v>12</v>
      </c>
      <c r="B20" s="236" t="s">
        <v>42</v>
      </c>
      <c r="C20" s="259">
        <v>1</v>
      </c>
      <c r="D20" s="237">
        <v>11.061999999999999</v>
      </c>
      <c r="E20" s="111">
        <f t="shared" si="0"/>
        <v>11.06</v>
      </c>
      <c r="F20" s="95">
        <f t="shared" si="1"/>
        <v>132.69999999999999</v>
      </c>
      <c r="G20" s="95"/>
      <c r="H20" s="95">
        <v>7.8</v>
      </c>
      <c r="I20" s="95"/>
      <c r="J20" s="95"/>
      <c r="K20" s="95">
        <f>F20*0.2</f>
        <v>26.5</v>
      </c>
      <c r="L20" s="95">
        <f t="shared" si="18"/>
        <v>36.1</v>
      </c>
      <c r="M20" s="95">
        <f t="shared" si="2"/>
        <v>203.1</v>
      </c>
      <c r="N20" s="111">
        <v>0.43</v>
      </c>
      <c r="O20" s="95">
        <f t="shared" si="3"/>
        <v>87.3</v>
      </c>
      <c r="P20" s="95">
        <f t="shared" si="4"/>
        <v>290.39999999999998</v>
      </c>
      <c r="Q20" s="95">
        <f t="shared" si="5"/>
        <v>232.3</v>
      </c>
      <c r="R20" s="95">
        <f t="shared" si="6"/>
        <v>232.3</v>
      </c>
      <c r="S20" s="95">
        <f t="shared" si="7"/>
        <v>24.2</v>
      </c>
      <c r="T20" s="95">
        <f t="shared" si="8"/>
        <v>779.2</v>
      </c>
      <c r="U20" s="2916"/>
      <c r="V20" s="95">
        <f t="shared" si="9"/>
        <v>779.2</v>
      </c>
      <c r="W20" s="95">
        <f t="shared" si="20"/>
        <v>235.3</v>
      </c>
      <c r="X20" s="103"/>
      <c r="Y20" s="112">
        <v>30</v>
      </c>
      <c r="Z20" s="113">
        <f t="shared" si="10"/>
        <v>0</v>
      </c>
      <c r="AA20" s="127"/>
      <c r="AB20" s="112">
        <v>15</v>
      </c>
      <c r="AC20" s="113">
        <f t="shared" si="11"/>
        <v>0</v>
      </c>
      <c r="AD20" s="127"/>
      <c r="AE20" s="112">
        <v>30</v>
      </c>
      <c r="AF20" s="113">
        <f t="shared" si="12"/>
        <v>0</v>
      </c>
      <c r="AG20" s="113">
        <f t="shared" si="13"/>
        <v>0</v>
      </c>
      <c r="AH20" s="113">
        <f t="shared" si="14"/>
        <v>0</v>
      </c>
      <c r="AI20" s="131">
        <f t="shared" si="15"/>
        <v>64933.33</v>
      </c>
      <c r="AK20" s="114">
        <f t="shared" si="16"/>
        <v>779.2</v>
      </c>
      <c r="AL20" s="114">
        <f t="shared" si="19"/>
        <v>259.3</v>
      </c>
      <c r="AM20" s="115">
        <v>0.30199999999999999</v>
      </c>
      <c r="AN20" s="50"/>
      <c r="AO20" s="50"/>
      <c r="AP20" s="50"/>
      <c r="AQ20" s="50"/>
      <c r="AS20" s="99">
        <f t="shared" si="17"/>
        <v>16.593</v>
      </c>
    </row>
    <row r="21" spans="1:45" s="22" customFormat="1" ht="25.5" x14ac:dyDescent="0.2">
      <c r="A21" s="274">
        <v>13</v>
      </c>
      <c r="B21" s="52" t="s">
        <v>132</v>
      </c>
      <c r="C21" s="167">
        <v>1</v>
      </c>
      <c r="D21" s="177">
        <v>8.4730000000000008</v>
      </c>
      <c r="E21" s="171">
        <f t="shared" ref="E21" si="21">C21*D21</f>
        <v>8.4700000000000006</v>
      </c>
      <c r="F21" s="154">
        <f>E21*12</f>
        <v>101.6</v>
      </c>
      <c r="G21" s="154"/>
      <c r="H21" s="154">
        <f>4130.4/1000</f>
        <v>4.0999999999999996</v>
      </c>
      <c r="I21" s="154"/>
      <c r="J21" s="154"/>
      <c r="K21" s="154"/>
      <c r="L21" s="154">
        <f t="shared" ref="L21" si="22">F21*$L$4</f>
        <v>27.6</v>
      </c>
      <c r="M21" s="154">
        <f t="shared" ref="M21" si="23">F21+G21+H21+I21+J21+K21+L21</f>
        <v>133.30000000000001</v>
      </c>
      <c r="N21" s="171">
        <v>0.47</v>
      </c>
      <c r="O21" s="154">
        <f t="shared" ref="O21" si="24">M21*N21</f>
        <v>62.7</v>
      </c>
      <c r="P21" s="154">
        <f t="shared" ref="P21" si="25">M21+O21</f>
        <v>196</v>
      </c>
      <c r="Q21" s="154">
        <f t="shared" ref="Q21" si="26">P21*0.8</f>
        <v>156.80000000000001</v>
      </c>
      <c r="R21" s="154">
        <f t="shared" ref="R21" si="27">P21*0.8</f>
        <v>156.80000000000001</v>
      </c>
      <c r="S21" s="154">
        <f t="shared" ref="S21" si="28">(P21+Q21+R21)*0.032</f>
        <v>16.3</v>
      </c>
      <c r="T21" s="154">
        <f t="shared" ref="T21" si="29">P21+Q21+R21+S21</f>
        <v>525.9</v>
      </c>
      <c r="U21" s="2916"/>
      <c r="V21" s="154">
        <f>T21*$U$9</f>
        <v>525.9</v>
      </c>
      <c r="W21" s="95">
        <f t="shared" si="20"/>
        <v>158.80000000000001</v>
      </c>
      <c r="X21" s="40"/>
      <c r="Y21" s="24">
        <v>30</v>
      </c>
      <c r="Z21" s="48">
        <f t="shared" ref="Z21" si="30">X21*Y21</f>
        <v>0</v>
      </c>
      <c r="AA21" s="54"/>
      <c r="AB21" s="24">
        <v>15</v>
      </c>
      <c r="AC21" s="48">
        <f t="shared" ref="AC21" si="31">AA21*AB21</f>
        <v>0</v>
      </c>
      <c r="AD21" s="54"/>
      <c r="AE21" s="24">
        <v>30</v>
      </c>
      <c r="AF21" s="48">
        <f t="shared" ref="AF21" si="32">AD21*AE21</f>
        <v>0</v>
      </c>
      <c r="AG21" s="48">
        <f t="shared" ref="AG21" si="33">(Z21+AC21+AF21)*1%*30</f>
        <v>0</v>
      </c>
      <c r="AH21" s="48">
        <f t="shared" ref="AH21" si="34">Z21+AC21+AF21+AG21</f>
        <v>0</v>
      </c>
      <c r="AI21" s="39">
        <f t="shared" si="15"/>
        <v>43825</v>
      </c>
      <c r="AK21" s="34">
        <f t="shared" si="16"/>
        <v>525.9</v>
      </c>
      <c r="AL21" s="34">
        <f t="shared" ref="AL21" si="35">((979*0.302)+((AK21-979)*0.182))</f>
        <v>213.2</v>
      </c>
      <c r="AM21" s="51">
        <v>0.30199999999999999</v>
      </c>
      <c r="AN21" s="211"/>
      <c r="AO21" s="211"/>
      <c r="AP21" s="211"/>
      <c r="AQ21" s="211"/>
      <c r="AS21" s="22">
        <f t="shared" si="17"/>
        <v>12.7095</v>
      </c>
    </row>
    <row r="22" spans="1:45" x14ac:dyDescent="0.2">
      <c r="A22" s="103">
        <v>14</v>
      </c>
      <c r="B22" s="261" t="s">
        <v>44</v>
      </c>
      <c r="C22" s="259">
        <v>1</v>
      </c>
      <c r="D22" s="237">
        <v>11.061999999999999</v>
      </c>
      <c r="E22" s="111">
        <f t="shared" si="0"/>
        <v>11.06</v>
      </c>
      <c r="F22" s="95">
        <f t="shared" si="1"/>
        <v>132.69999999999999</v>
      </c>
      <c r="G22" s="95"/>
      <c r="H22" s="95">
        <v>7</v>
      </c>
      <c r="I22" s="95"/>
      <c r="J22" s="95"/>
      <c r="K22" s="95">
        <f>F22*0.4</f>
        <v>53.1</v>
      </c>
      <c r="L22" s="95">
        <f t="shared" si="18"/>
        <v>36.1</v>
      </c>
      <c r="M22" s="95">
        <f t="shared" si="2"/>
        <v>228.9</v>
      </c>
      <c r="N22" s="111">
        <v>0.43</v>
      </c>
      <c r="O22" s="95">
        <f t="shared" si="3"/>
        <v>98.4</v>
      </c>
      <c r="P22" s="95">
        <f t="shared" si="4"/>
        <v>327.3</v>
      </c>
      <c r="Q22" s="95">
        <f t="shared" si="5"/>
        <v>261.8</v>
      </c>
      <c r="R22" s="95">
        <f t="shared" si="6"/>
        <v>261.8</v>
      </c>
      <c r="S22" s="95">
        <f t="shared" si="7"/>
        <v>27.2</v>
      </c>
      <c r="T22" s="95">
        <f t="shared" si="8"/>
        <v>878.1</v>
      </c>
      <c r="U22" s="2916"/>
      <c r="V22" s="95">
        <f t="shared" si="9"/>
        <v>878.1</v>
      </c>
      <c r="W22" s="95">
        <f t="shared" si="20"/>
        <v>265.2</v>
      </c>
      <c r="X22" s="103">
        <v>1</v>
      </c>
      <c r="Y22" s="112">
        <v>30</v>
      </c>
      <c r="Z22" s="113">
        <f t="shared" si="10"/>
        <v>30</v>
      </c>
      <c r="AA22" s="127">
        <v>1</v>
      </c>
      <c r="AB22" s="112">
        <v>15</v>
      </c>
      <c r="AC22" s="113">
        <f t="shared" si="11"/>
        <v>15</v>
      </c>
      <c r="AD22" s="127"/>
      <c r="AE22" s="112">
        <v>30</v>
      </c>
      <c r="AF22" s="113">
        <f t="shared" si="12"/>
        <v>0</v>
      </c>
      <c r="AG22" s="113">
        <f t="shared" si="13"/>
        <v>13.5</v>
      </c>
      <c r="AH22" s="113">
        <f t="shared" si="14"/>
        <v>58.5</v>
      </c>
      <c r="AI22" s="131">
        <f t="shared" si="15"/>
        <v>73175</v>
      </c>
      <c r="AK22" s="114">
        <f t="shared" si="16"/>
        <v>878.1</v>
      </c>
      <c r="AL22" s="114">
        <f t="shared" si="19"/>
        <v>277.3</v>
      </c>
      <c r="AM22" s="115">
        <v>0.30199999999999999</v>
      </c>
      <c r="AN22" s="50"/>
      <c r="AO22" s="50"/>
      <c r="AP22" s="50"/>
      <c r="AQ22" s="50"/>
      <c r="AS22" s="99">
        <f t="shared" si="17"/>
        <v>16.593</v>
      </c>
    </row>
    <row r="23" spans="1:45" x14ac:dyDescent="0.2">
      <c r="A23" s="103">
        <v>15</v>
      </c>
      <c r="B23" s="236" t="s">
        <v>33</v>
      </c>
      <c r="C23" s="174">
        <v>1</v>
      </c>
      <c r="D23" s="237">
        <v>8.4730000000000008</v>
      </c>
      <c r="E23" s="111">
        <f t="shared" si="0"/>
        <v>8.4700000000000006</v>
      </c>
      <c r="F23" s="95">
        <f t="shared" si="1"/>
        <v>101.6</v>
      </c>
      <c r="G23" s="95">
        <f>4015.6/1000</f>
        <v>4</v>
      </c>
      <c r="H23" s="95">
        <f>5782.5/1000</f>
        <v>5.8</v>
      </c>
      <c r="I23" s="95"/>
      <c r="J23" s="95"/>
      <c r="K23" s="95">
        <f>D23*0.2*7.6+D23*0.25*4.4</f>
        <v>22.2</v>
      </c>
      <c r="L23" s="95">
        <f t="shared" si="18"/>
        <v>27.6</v>
      </c>
      <c r="M23" s="95">
        <f t="shared" si="2"/>
        <v>161.19999999999999</v>
      </c>
      <c r="N23" s="111">
        <v>0.41</v>
      </c>
      <c r="O23" s="95">
        <f t="shared" si="3"/>
        <v>66.099999999999994</v>
      </c>
      <c r="P23" s="95">
        <f t="shared" si="4"/>
        <v>227.3</v>
      </c>
      <c r="Q23" s="95">
        <f t="shared" si="5"/>
        <v>181.8</v>
      </c>
      <c r="R23" s="95">
        <f t="shared" si="6"/>
        <v>181.8</v>
      </c>
      <c r="S23" s="95">
        <f t="shared" si="7"/>
        <v>18.899999999999999</v>
      </c>
      <c r="T23" s="95">
        <f t="shared" si="8"/>
        <v>609.79999999999995</v>
      </c>
      <c r="U23" s="2916"/>
      <c r="V23" s="95">
        <f t="shared" si="9"/>
        <v>609.79999999999995</v>
      </c>
      <c r="W23" s="95">
        <f t="shared" si="20"/>
        <v>184.2</v>
      </c>
      <c r="X23" s="238">
        <v>1</v>
      </c>
      <c r="Y23" s="240">
        <v>30</v>
      </c>
      <c r="Z23" s="241">
        <f t="shared" si="10"/>
        <v>30</v>
      </c>
      <c r="AA23" s="238"/>
      <c r="AB23" s="240">
        <v>15</v>
      </c>
      <c r="AC23" s="241">
        <f t="shared" si="11"/>
        <v>0</v>
      </c>
      <c r="AD23" s="238">
        <v>1</v>
      </c>
      <c r="AE23" s="240">
        <v>30</v>
      </c>
      <c r="AF23" s="241">
        <f t="shared" si="12"/>
        <v>30</v>
      </c>
      <c r="AG23" s="241">
        <f t="shared" si="13"/>
        <v>18</v>
      </c>
      <c r="AH23" s="241">
        <f t="shared" si="14"/>
        <v>78</v>
      </c>
      <c r="AI23" s="131">
        <f t="shared" si="15"/>
        <v>50816.67</v>
      </c>
      <c r="AK23" s="114">
        <f t="shared" si="16"/>
        <v>609.79999999999995</v>
      </c>
      <c r="AL23" s="114">
        <f t="shared" si="19"/>
        <v>228.5</v>
      </c>
      <c r="AM23" s="115">
        <v>0.30199999999999999</v>
      </c>
      <c r="AN23" s="263"/>
      <c r="AO23" s="263"/>
      <c r="AP23" s="263"/>
      <c r="AS23" s="99">
        <f t="shared" si="17"/>
        <v>12.7095</v>
      </c>
    </row>
    <row r="24" spans="1:45" ht="25.5" x14ac:dyDescent="0.2">
      <c r="A24" s="103">
        <v>16</v>
      </c>
      <c r="B24" s="236" t="s">
        <v>102</v>
      </c>
      <c r="C24" s="174">
        <v>0.5</v>
      </c>
      <c r="D24" s="237">
        <v>4.3769999999999998</v>
      </c>
      <c r="E24" s="111">
        <f t="shared" si="0"/>
        <v>2.19</v>
      </c>
      <c r="F24" s="95">
        <f t="shared" si="1"/>
        <v>26.3</v>
      </c>
      <c r="G24" s="95"/>
      <c r="H24" s="95"/>
      <c r="I24" s="95"/>
      <c r="J24" s="95"/>
      <c r="K24" s="95"/>
      <c r="L24" s="95">
        <f t="shared" si="18"/>
        <v>7.2</v>
      </c>
      <c r="M24" s="95">
        <f t="shared" ref="M24:M25" si="36">F24+G24+H24+I24+J24+K24+L24</f>
        <v>33.5</v>
      </c>
      <c r="N24" s="111">
        <v>0.49</v>
      </c>
      <c r="O24" s="95">
        <f t="shared" ref="O24:O25" si="37">M24*N24</f>
        <v>16.399999999999999</v>
      </c>
      <c r="P24" s="95">
        <f t="shared" ref="P24:P25" si="38">M24+O24</f>
        <v>49.9</v>
      </c>
      <c r="Q24" s="95">
        <f t="shared" ref="Q24:Q25" si="39">P24*0.8</f>
        <v>39.9</v>
      </c>
      <c r="R24" s="95">
        <f t="shared" ref="R24:R25" si="40">P24*0.8</f>
        <v>39.9</v>
      </c>
      <c r="S24" s="95">
        <f t="shared" ref="S24:S25" si="41">(P24+Q24+R24)*0.032</f>
        <v>4.2</v>
      </c>
      <c r="T24" s="95">
        <f t="shared" ref="T24:T25" si="42">P24+Q24+R24+S24</f>
        <v>133.9</v>
      </c>
      <c r="U24" s="2916"/>
      <c r="V24" s="95">
        <f t="shared" ref="V24:V25" si="43">T24*$U$9</f>
        <v>133.9</v>
      </c>
      <c r="W24" s="95">
        <f t="shared" si="20"/>
        <v>40.4</v>
      </c>
      <c r="X24" s="238"/>
      <c r="Y24" s="240"/>
      <c r="Z24" s="241"/>
      <c r="AA24" s="238"/>
      <c r="AB24" s="240"/>
      <c r="AC24" s="241"/>
      <c r="AD24" s="238"/>
      <c r="AE24" s="240"/>
      <c r="AF24" s="241"/>
      <c r="AG24" s="241"/>
      <c r="AH24" s="241"/>
      <c r="AI24" s="131"/>
      <c r="AK24" s="114"/>
      <c r="AL24" s="114"/>
      <c r="AM24" s="115"/>
      <c r="AN24" s="263"/>
      <c r="AO24" s="263"/>
      <c r="AP24" s="263"/>
      <c r="AS24" s="99">
        <f t="shared" si="17"/>
        <v>6.5655000000000001</v>
      </c>
    </row>
    <row r="25" spans="1:45" x14ac:dyDescent="0.2">
      <c r="A25" s="103">
        <v>17</v>
      </c>
      <c r="B25" s="236" t="s">
        <v>136</v>
      </c>
      <c r="C25" s="174">
        <v>0.5</v>
      </c>
      <c r="D25" s="237">
        <v>4.3769999999999998</v>
      </c>
      <c r="E25" s="111">
        <f t="shared" si="0"/>
        <v>2.19</v>
      </c>
      <c r="F25" s="95">
        <f t="shared" si="1"/>
        <v>26.3</v>
      </c>
      <c r="G25" s="95"/>
      <c r="H25" s="95"/>
      <c r="I25" s="95"/>
      <c r="J25" s="95"/>
      <c r="K25" s="95"/>
      <c r="L25" s="95">
        <f t="shared" si="18"/>
        <v>7.2</v>
      </c>
      <c r="M25" s="95">
        <f t="shared" si="36"/>
        <v>33.5</v>
      </c>
      <c r="N25" s="111">
        <v>0.49</v>
      </c>
      <c r="O25" s="95">
        <f t="shared" si="37"/>
        <v>16.399999999999999</v>
      </c>
      <c r="P25" s="95">
        <f t="shared" si="38"/>
        <v>49.9</v>
      </c>
      <c r="Q25" s="95">
        <f t="shared" si="39"/>
        <v>39.9</v>
      </c>
      <c r="R25" s="95">
        <f t="shared" si="40"/>
        <v>39.9</v>
      </c>
      <c r="S25" s="95">
        <f t="shared" si="41"/>
        <v>4.2</v>
      </c>
      <c r="T25" s="95">
        <f t="shared" si="42"/>
        <v>133.9</v>
      </c>
      <c r="U25" s="2916"/>
      <c r="V25" s="95">
        <f t="shared" si="43"/>
        <v>133.9</v>
      </c>
      <c r="W25" s="95">
        <f t="shared" si="20"/>
        <v>40.4</v>
      </c>
      <c r="X25" s="238"/>
      <c r="Y25" s="240"/>
      <c r="Z25" s="241"/>
      <c r="AA25" s="238"/>
      <c r="AB25" s="240"/>
      <c r="AC25" s="241"/>
      <c r="AD25" s="238"/>
      <c r="AE25" s="240"/>
      <c r="AF25" s="241"/>
      <c r="AG25" s="241"/>
      <c r="AH25" s="241"/>
      <c r="AI25" s="131"/>
      <c r="AK25" s="114"/>
      <c r="AL25" s="114"/>
      <c r="AM25" s="115"/>
      <c r="AN25" s="263"/>
      <c r="AO25" s="263"/>
      <c r="AP25" s="263"/>
      <c r="AS25" s="99">
        <f t="shared" si="17"/>
        <v>6.5655000000000001</v>
      </c>
    </row>
    <row r="26" spans="1:45" s="245" customFormat="1" x14ac:dyDescent="0.2">
      <c r="A26" s="103">
        <v>18</v>
      </c>
      <c r="B26" s="236" t="s">
        <v>60</v>
      </c>
      <c r="C26" s="262">
        <v>2</v>
      </c>
      <c r="D26" s="247">
        <v>4.3769999999999998</v>
      </c>
      <c r="E26" s="249">
        <f t="shared" si="0"/>
        <v>8.75</v>
      </c>
      <c r="F26" s="248">
        <f t="shared" si="1"/>
        <v>105</v>
      </c>
      <c r="G26" s="248">
        <f>12446.4/1000</f>
        <v>12.4</v>
      </c>
      <c r="H26" s="248">
        <f>5974.3/1000</f>
        <v>6</v>
      </c>
      <c r="I26" s="248"/>
      <c r="J26" s="248"/>
      <c r="K26" s="248"/>
      <c r="L26" s="95">
        <v>59</v>
      </c>
      <c r="M26" s="248">
        <f t="shared" si="2"/>
        <v>182.4</v>
      </c>
      <c r="N26" s="111">
        <v>0.49</v>
      </c>
      <c r="O26" s="248">
        <f t="shared" si="3"/>
        <v>89.4</v>
      </c>
      <c r="P26" s="248">
        <f t="shared" si="4"/>
        <v>271.8</v>
      </c>
      <c r="Q26" s="248">
        <f t="shared" si="5"/>
        <v>217.4</v>
      </c>
      <c r="R26" s="248">
        <f t="shared" si="6"/>
        <v>217.4</v>
      </c>
      <c r="S26" s="248">
        <f t="shared" si="7"/>
        <v>22.6</v>
      </c>
      <c r="T26" s="248">
        <f t="shared" si="8"/>
        <v>729.2</v>
      </c>
      <c r="U26" s="2916"/>
      <c r="V26" s="248">
        <f t="shared" si="9"/>
        <v>729.2</v>
      </c>
      <c r="W26" s="95">
        <f t="shared" si="20"/>
        <v>220.2</v>
      </c>
      <c r="X26" s="246">
        <v>1</v>
      </c>
      <c r="Y26" s="240">
        <v>30</v>
      </c>
      <c r="Z26" s="241">
        <f t="shared" si="10"/>
        <v>30</v>
      </c>
      <c r="AA26" s="246"/>
      <c r="AB26" s="240">
        <v>15</v>
      </c>
      <c r="AC26" s="241">
        <f t="shared" si="11"/>
        <v>0</v>
      </c>
      <c r="AD26" s="246"/>
      <c r="AE26" s="240">
        <v>30</v>
      </c>
      <c r="AF26" s="241">
        <f t="shared" si="12"/>
        <v>0</v>
      </c>
      <c r="AG26" s="241">
        <f t="shared" si="13"/>
        <v>9</v>
      </c>
      <c r="AH26" s="241">
        <f t="shared" si="14"/>
        <v>39</v>
      </c>
      <c r="AI26" s="131">
        <f>V26/12/C26*1000</f>
        <v>30383.33</v>
      </c>
      <c r="AK26" s="114">
        <f>V26/C26</f>
        <v>364.6</v>
      </c>
      <c r="AL26" s="114">
        <f t="shared" si="19"/>
        <v>183.8</v>
      </c>
      <c r="AM26" s="115">
        <v>0.30199999999999999</v>
      </c>
      <c r="AN26" s="211"/>
      <c r="AO26" s="211"/>
      <c r="AP26" s="211"/>
      <c r="AQ26" s="211"/>
      <c r="AS26" s="99">
        <f t="shared" si="17"/>
        <v>6.5655000000000001</v>
      </c>
    </row>
    <row r="27" spans="1:45" x14ac:dyDescent="0.2">
      <c r="A27" s="103">
        <v>19</v>
      </c>
      <c r="B27" s="261" t="s">
        <v>94</v>
      </c>
      <c r="C27" s="264">
        <v>2</v>
      </c>
      <c r="D27" s="237">
        <v>4.3769999999999998</v>
      </c>
      <c r="E27" s="111">
        <f t="shared" si="0"/>
        <v>8.75</v>
      </c>
      <c r="F27" s="95">
        <f t="shared" si="1"/>
        <v>105</v>
      </c>
      <c r="G27" s="95">
        <f>2074.4/1000</f>
        <v>2.1</v>
      </c>
      <c r="H27" s="95">
        <f>5.974</f>
        <v>6</v>
      </c>
      <c r="I27" s="95"/>
      <c r="J27" s="95"/>
      <c r="K27" s="95"/>
      <c r="L27" s="95">
        <v>70.8</v>
      </c>
      <c r="M27" s="95">
        <f t="shared" si="2"/>
        <v>183.9</v>
      </c>
      <c r="N27" s="111">
        <v>0.47</v>
      </c>
      <c r="O27" s="95">
        <f t="shared" si="3"/>
        <v>86.4</v>
      </c>
      <c r="P27" s="95">
        <f t="shared" si="4"/>
        <v>270.3</v>
      </c>
      <c r="Q27" s="95">
        <f t="shared" si="5"/>
        <v>216.2</v>
      </c>
      <c r="R27" s="95">
        <f t="shared" si="6"/>
        <v>216.2</v>
      </c>
      <c r="S27" s="95">
        <f t="shared" si="7"/>
        <v>22.5</v>
      </c>
      <c r="T27" s="95">
        <f t="shared" si="8"/>
        <v>725.2</v>
      </c>
      <c r="U27" s="2916"/>
      <c r="V27" s="95">
        <f>T27*$U$9+0.1</f>
        <v>725.3</v>
      </c>
      <c r="W27" s="95">
        <f t="shared" si="20"/>
        <v>219</v>
      </c>
      <c r="X27" s="103">
        <v>1</v>
      </c>
      <c r="Y27" s="112">
        <v>30</v>
      </c>
      <c r="Z27" s="113">
        <f t="shared" si="10"/>
        <v>30</v>
      </c>
      <c r="AA27" s="103"/>
      <c r="AB27" s="112">
        <v>15</v>
      </c>
      <c r="AC27" s="113">
        <f t="shared" si="11"/>
        <v>0</v>
      </c>
      <c r="AD27" s="103"/>
      <c r="AE27" s="112">
        <v>30</v>
      </c>
      <c r="AF27" s="113">
        <f t="shared" si="12"/>
        <v>0</v>
      </c>
      <c r="AG27" s="113">
        <f t="shared" si="13"/>
        <v>9</v>
      </c>
      <c r="AH27" s="113">
        <f t="shared" si="14"/>
        <v>39</v>
      </c>
      <c r="AI27" s="131">
        <f>V27/12/C27*1000</f>
        <v>30220.83</v>
      </c>
      <c r="AK27" s="114">
        <f>V27/C27</f>
        <v>362.7</v>
      </c>
      <c r="AL27" s="114">
        <f t="shared" si="19"/>
        <v>183.5</v>
      </c>
      <c r="AM27" s="115">
        <v>0.30199999999999999</v>
      </c>
      <c r="AS27" s="99">
        <f t="shared" si="17"/>
        <v>6.5655000000000001</v>
      </c>
    </row>
    <row r="28" spans="1:45" s="98" customFormat="1" ht="20.25" customHeight="1" x14ac:dyDescent="0.2">
      <c r="A28" s="2919" t="s">
        <v>8</v>
      </c>
      <c r="B28" s="2919"/>
      <c r="C28" s="265">
        <f>SUM(C9:C27)</f>
        <v>25</v>
      </c>
      <c r="D28" s="266">
        <f t="shared" ref="D28:T28" si="44">SUM(D9:D27)</f>
        <v>187.6</v>
      </c>
      <c r="E28" s="266">
        <f t="shared" si="44"/>
        <v>251.7</v>
      </c>
      <c r="F28" s="266">
        <f t="shared" si="44"/>
        <v>3020.1</v>
      </c>
      <c r="G28" s="266">
        <f t="shared" si="44"/>
        <v>18.5</v>
      </c>
      <c r="H28" s="266">
        <f t="shared" si="44"/>
        <v>110.7</v>
      </c>
      <c r="I28" s="266">
        <f t="shared" si="44"/>
        <v>0</v>
      </c>
      <c r="J28" s="266">
        <f t="shared" si="44"/>
        <v>0</v>
      </c>
      <c r="K28" s="266">
        <f t="shared" si="44"/>
        <v>703.9</v>
      </c>
      <c r="L28" s="266">
        <f t="shared" si="44"/>
        <v>894.2</v>
      </c>
      <c r="M28" s="266">
        <f t="shared" si="44"/>
        <v>4747.3999999999996</v>
      </c>
      <c r="N28" s="266">
        <f t="shared" si="44"/>
        <v>8.5</v>
      </c>
      <c r="O28" s="266">
        <f t="shared" si="44"/>
        <v>2108</v>
      </c>
      <c r="P28" s="266">
        <f t="shared" si="44"/>
        <v>6855.4</v>
      </c>
      <c r="Q28" s="266">
        <f t="shared" si="44"/>
        <v>5484.1</v>
      </c>
      <c r="R28" s="266">
        <f t="shared" si="44"/>
        <v>5484.1</v>
      </c>
      <c r="S28" s="266">
        <f t="shared" si="44"/>
        <v>570.29999999999995</v>
      </c>
      <c r="T28" s="266">
        <f t="shared" si="44"/>
        <v>18393.900000000001</v>
      </c>
      <c r="U28" s="266"/>
      <c r="V28" s="266">
        <f t="shared" ref="V28:AH28" si="45">SUM(V9:V27)</f>
        <v>18394</v>
      </c>
      <c r="W28" s="266">
        <f>SUM(W9:W27)</f>
        <v>5400.8</v>
      </c>
      <c r="X28" s="266">
        <f t="shared" si="45"/>
        <v>8</v>
      </c>
      <c r="Y28" s="266">
        <f t="shared" si="45"/>
        <v>510</v>
      </c>
      <c r="Z28" s="266">
        <f t="shared" si="45"/>
        <v>240</v>
      </c>
      <c r="AA28" s="266">
        <f t="shared" si="45"/>
        <v>1</v>
      </c>
      <c r="AB28" s="266">
        <f t="shared" si="45"/>
        <v>255</v>
      </c>
      <c r="AC28" s="266">
        <f t="shared" si="45"/>
        <v>15</v>
      </c>
      <c r="AD28" s="266">
        <f t="shared" si="45"/>
        <v>3</v>
      </c>
      <c r="AE28" s="266">
        <f t="shared" si="45"/>
        <v>510</v>
      </c>
      <c r="AF28" s="266">
        <f t="shared" si="45"/>
        <v>90</v>
      </c>
      <c r="AG28" s="266">
        <f t="shared" si="45"/>
        <v>103.5</v>
      </c>
      <c r="AH28" s="266">
        <f t="shared" si="45"/>
        <v>448.5</v>
      </c>
      <c r="AI28" s="131"/>
      <c r="AK28" s="114"/>
      <c r="AL28" s="114"/>
      <c r="AM28" s="115"/>
      <c r="AN28" s="211"/>
      <c r="AO28" s="211"/>
      <c r="AP28" s="211"/>
      <c r="AQ28" s="211"/>
      <c r="AS28" s="99"/>
    </row>
    <row r="29" spans="1:45" s="98" customFormat="1" ht="20.25" customHeight="1" x14ac:dyDescent="0.2">
      <c r="A29" s="267"/>
      <c r="B29" s="268"/>
      <c r="C29" s="269"/>
      <c r="D29" s="270"/>
      <c r="E29" s="270"/>
      <c r="F29" s="270"/>
      <c r="G29" s="270"/>
      <c r="H29" s="270"/>
      <c r="I29" s="270"/>
      <c r="J29" s="270"/>
      <c r="K29" s="270"/>
      <c r="L29" s="270"/>
      <c r="M29" s="270"/>
      <c r="N29" s="270"/>
      <c r="O29" s="270"/>
      <c r="P29" s="270"/>
      <c r="Q29" s="270"/>
      <c r="R29" s="270"/>
      <c r="S29" s="270"/>
      <c r="T29" s="270"/>
      <c r="U29" s="270"/>
      <c r="V29" s="270"/>
      <c r="W29" s="66"/>
      <c r="X29" s="270"/>
      <c r="Y29" s="270"/>
      <c r="Z29" s="270"/>
      <c r="AA29" s="270"/>
      <c r="AB29" s="270"/>
      <c r="AC29" s="270"/>
      <c r="AD29" s="270"/>
      <c r="AE29" s="270"/>
      <c r="AF29" s="270"/>
      <c r="AG29" s="270"/>
      <c r="AH29" s="270"/>
      <c r="AI29" s="131"/>
      <c r="AK29" s="114"/>
      <c r="AL29" s="114"/>
      <c r="AM29" s="115"/>
      <c r="AN29" s="211"/>
      <c r="AO29" s="211"/>
      <c r="AP29" s="211"/>
      <c r="AQ29" s="211"/>
    </row>
    <row r="30" spans="1:45" s="75" customFormat="1" x14ac:dyDescent="0.2">
      <c r="A30" s="70"/>
      <c r="B30" s="70"/>
      <c r="C30" s="71"/>
      <c r="D30" s="271"/>
      <c r="E30" s="72"/>
      <c r="F30" s="72"/>
      <c r="G30" s="72"/>
      <c r="H30" s="73"/>
      <c r="I30" s="73"/>
      <c r="J30" s="27"/>
      <c r="K30" s="27"/>
      <c r="L30" s="27"/>
      <c r="M30" s="27"/>
      <c r="N30" s="74"/>
      <c r="O30" s="27"/>
      <c r="P30" s="27"/>
      <c r="Q30" s="27"/>
      <c r="R30" s="27"/>
      <c r="S30" s="27"/>
      <c r="T30" s="27"/>
      <c r="U30" s="27"/>
      <c r="V30" s="27"/>
      <c r="W30" s="27"/>
      <c r="X30" s="27"/>
      <c r="Y30" s="27"/>
      <c r="Z30" s="27"/>
      <c r="AA30" s="27"/>
      <c r="AB30" s="27"/>
      <c r="AC30" s="27"/>
      <c r="AD30" s="27"/>
      <c r="AE30" s="27"/>
      <c r="AF30" s="27"/>
      <c r="AG30" s="27"/>
      <c r="AH30" s="27"/>
      <c r="AI30" s="27"/>
      <c r="AJ30" s="76"/>
      <c r="AN30" s="76"/>
      <c r="AO30" s="76"/>
      <c r="AP30" s="76"/>
      <c r="AQ30" s="76"/>
      <c r="AR30" s="76"/>
    </row>
    <row r="31" spans="1:45" s="75" customFormat="1" ht="58.5" customHeight="1" x14ac:dyDescent="0.2">
      <c r="A31" s="70"/>
      <c r="B31" s="70"/>
      <c r="C31" s="71"/>
      <c r="D31" s="77"/>
      <c r="E31" s="77"/>
      <c r="F31" s="27"/>
      <c r="G31" s="2244" t="s">
        <v>140</v>
      </c>
      <c r="H31" s="2244"/>
      <c r="I31" s="2244" t="s">
        <v>145</v>
      </c>
      <c r="J31" s="2244"/>
      <c r="K31" s="2244" t="s">
        <v>128</v>
      </c>
      <c r="L31" s="2244"/>
      <c r="Q31" s="27"/>
      <c r="R31" s="27"/>
      <c r="S31" s="27"/>
      <c r="T31" s="27"/>
      <c r="U31" s="27"/>
      <c r="V31" s="27"/>
      <c r="W31" s="27"/>
      <c r="X31" s="27"/>
      <c r="Y31" s="27"/>
      <c r="Z31" s="27"/>
      <c r="AA31" s="27"/>
      <c r="AB31" s="27"/>
      <c r="AC31" s="27"/>
      <c r="AD31" s="27"/>
      <c r="AE31" s="27"/>
      <c r="AF31" s="27"/>
      <c r="AG31" s="27"/>
      <c r="AH31" s="27"/>
      <c r="AI31" s="27"/>
      <c r="AJ31" s="76"/>
      <c r="AN31" s="76"/>
      <c r="AO31" s="76"/>
      <c r="AP31" s="76"/>
      <c r="AQ31" s="76"/>
      <c r="AR31" s="76"/>
    </row>
    <row r="32" spans="1:45" s="75" customFormat="1" x14ac:dyDescent="0.2">
      <c r="A32" s="70"/>
      <c r="B32" s="70"/>
      <c r="C32" s="71"/>
      <c r="D32" s="77"/>
      <c r="E32" s="77"/>
      <c r="F32" s="27"/>
      <c r="G32" s="78">
        <v>991</v>
      </c>
      <c r="H32" s="78">
        <v>992</v>
      </c>
      <c r="I32" s="78">
        <v>991</v>
      </c>
      <c r="J32" s="78">
        <v>992</v>
      </c>
      <c r="K32" s="78">
        <v>991</v>
      </c>
      <c r="L32" s="78">
        <v>992</v>
      </c>
      <c r="Q32" s="27"/>
      <c r="R32" s="27"/>
      <c r="S32" s="27"/>
      <c r="T32" s="27"/>
      <c r="U32" s="27"/>
      <c r="V32" s="27"/>
      <c r="W32" s="27"/>
      <c r="X32" s="27"/>
      <c r="Y32" s="27"/>
      <c r="Z32" s="27"/>
      <c r="AA32" s="27"/>
      <c r="AB32" s="27"/>
      <c r="AC32" s="27"/>
      <c r="AD32" s="27"/>
      <c r="AE32" s="27"/>
      <c r="AF32" s="27"/>
      <c r="AG32" s="27"/>
      <c r="AH32" s="27"/>
      <c r="AI32" s="27"/>
      <c r="AJ32" s="76"/>
      <c r="AN32" s="76"/>
      <c r="AO32" s="76"/>
      <c r="AP32" s="76"/>
      <c r="AQ32" s="76"/>
      <c r="AR32" s="76"/>
    </row>
    <row r="33" spans="1:44" s="75" customFormat="1" x14ac:dyDescent="0.2">
      <c r="A33" s="70"/>
      <c r="B33" s="70"/>
      <c r="C33" s="71"/>
      <c r="D33" s="77"/>
      <c r="E33" s="77"/>
      <c r="F33" s="27"/>
      <c r="G33" s="29">
        <v>18394</v>
      </c>
      <c r="H33" s="29">
        <v>5393.9</v>
      </c>
      <c r="I33" s="29">
        <f>V28</f>
        <v>18394</v>
      </c>
      <c r="J33" s="29">
        <f>W28</f>
        <v>5400.8</v>
      </c>
      <c r="K33" s="29">
        <f>G33-I33</f>
        <v>0</v>
      </c>
      <c r="L33" s="29">
        <f>H33-J33</f>
        <v>-6.9</v>
      </c>
      <c r="Q33" s="27"/>
      <c r="R33" s="27"/>
      <c r="S33" s="27"/>
      <c r="T33" s="27"/>
      <c r="U33" s="27"/>
      <c r="V33" s="27"/>
      <c r="W33" s="27"/>
      <c r="X33" s="27"/>
      <c r="Y33" s="27"/>
      <c r="Z33" s="27"/>
      <c r="AA33" s="27"/>
      <c r="AB33" s="27"/>
      <c r="AC33" s="27"/>
      <c r="AD33" s="27"/>
      <c r="AE33" s="27"/>
      <c r="AF33" s="27"/>
      <c r="AG33" s="27"/>
      <c r="AH33" s="27"/>
      <c r="AI33" s="27"/>
      <c r="AJ33" s="76"/>
      <c r="AN33" s="76"/>
      <c r="AO33" s="76"/>
      <c r="AP33" s="76"/>
      <c r="AQ33" s="76"/>
      <c r="AR33" s="76"/>
    </row>
    <row r="38" spans="1:44" s="35" customFormat="1" ht="20.25" x14ac:dyDescent="0.2">
      <c r="A38" s="81"/>
      <c r="B38" s="82" t="s">
        <v>138</v>
      </c>
      <c r="C38" s="83"/>
      <c r="D38" s="84"/>
      <c r="E38" s="84"/>
      <c r="F38" s="85"/>
      <c r="G38" s="85"/>
      <c r="H38" s="86"/>
      <c r="I38" s="86"/>
      <c r="J38" s="85"/>
      <c r="K38" s="30" t="s">
        <v>166</v>
      </c>
      <c r="L38" s="85"/>
      <c r="M38" s="85"/>
      <c r="N38" s="87"/>
      <c r="O38" s="85"/>
      <c r="P38" s="85"/>
      <c r="Q38" s="85"/>
      <c r="R38" s="85"/>
      <c r="S38" s="85"/>
      <c r="T38" s="85"/>
      <c r="U38" s="85"/>
      <c r="V38" s="85"/>
      <c r="W38" s="85"/>
      <c r="X38" s="85"/>
      <c r="Y38" s="85"/>
      <c r="Z38" s="85"/>
      <c r="AA38" s="85"/>
      <c r="AB38" s="85"/>
      <c r="AC38" s="85"/>
      <c r="AD38" s="85"/>
      <c r="AE38" s="85"/>
      <c r="AF38" s="85"/>
      <c r="AG38" s="85"/>
      <c r="AH38" s="85"/>
      <c r="AI38" s="85"/>
      <c r="AK38" s="88"/>
      <c r="AL38" s="88"/>
      <c r="AM38" s="88"/>
      <c r="AN38" s="88"/>
      <c r="AO38" s="88"/>
    </row>
    <row r="39" spans="1:44" s="143" customFormat="1" x14ac:dyDescent="0.2">
      <c r="A39" s="136"/>
      <c r="B39" s="136"/>
      <c r="C39" s="137"/>
      <c r="D39" s="144"/>
      <c r="E39" s="144"/>
      <c r="F39" s="140"/>
      <c r="G39" s="140"/>
      <c r="H39" s="139"/>
      <c r="I39" s="139"/>
      <c r="J39" s="140"/>
      <c r="K39" s="140"/>
      <c r="L39" s="140"/>
      <c r="M39" s="140"/>
      <c r="N39" s="141"/>
      <c r="O39" s="140"/>
      <c r="P39" s="140"/>
      <c r="Q39" s="140"/>
      <c r="R39" s="140"/>
      <c r="S39" s="140"/>
      <c r="T39" s="140"/>
      <c r="U39" s="140"/>
      <c r="V39" s="140"/>
      <c r="W39" s="140"/>
      <c r="X39" s="140"/>
      <c r="Y39" s="140"/>
      <c r="Z39" s="140"/>
      <c r="AA39" s="140"/>
      <c r="AB39" s="140"/>
      <c r="AC39" s="140"/>
      <c r="AD39" s="140"/>
      <c r="AE39" s="140"/>
      <c r="AF39" s="142"/>
      <c r="AK39" s="142"/>
      <c r="AL39" s="142"/>
      <c r="AM39" s="142"/>
      <c r="AN39" s="76"/>
      <c r="AO39" s="76"/>
      <c r="AP39" s="76"/>
      <c r="AQ39" s="76"/>
      <c r="AR39" s="99"/>
    </row>
    <row r="40" spans="1:44" s="143" customFormat="1" x14ac:dyDescent="0.2">
      <c r="A40" s="136"/>
      <c r="B40" s="136"/>
      <c r="C40" s="137"/>
      <c r="D40" s="144"/>
      <c r="E40" s="144"/>
      <c r="F40" s="140"/>
      <c r="G40" s="140"/>
      <c r="H40" s="139"/>
      <c r="I40" s="139"/>
      <c r="J40" s="140"/>
      <c r="K40" s="140"/>
      <c r="L40" s="140"/>
      <c r="M40" s="140"/>
      <c r="N40" s="202"/>
      <c r="O40" s="203"/>
      <c r="P40" s="140"/>
      <c r="Q40" s="140"/>
      <c r="R40" s="140"/>
      <c r="S40" s="140"/>
      <c r="T40" s="140"/>
      <c r="U40" s="140"/>
      <c r="V40" s="140"/>
      <c r="W40" s="140"/>
      <c r="X40" s="140"/>
      <c r="Y40" s="140"/>
      <c r="Z40" s="140"/>
      <c r="AA40" s="140"/>
      <c r="AB40" s="140"/>
      <c r="AC40" s="140"/>
      <c r="AD40" s="140"/>
      <c r="AE40" s="140"/>
      <c r="AF40" s="142"/>
      <c r="AK40" s="142"/>
      <c r="AL40" s="142"/>
      <c r="AM40" s="142"/>
      <c r="AN40" s="76"/>
      <c r="AO40" s="76"/>
      <c r="AP40" s="76"/>
      <c r="AQ40" s="76"/>
      <c r="AR40" s="252"/>
    </row>
    <row r="41" spans="1:44" s="143" customFormat="1" ht="20.25" customHeight="1" x14ac:dyDescent="0.2">
      <c r="A41" s="145" t="s">
        <v>96</v>
      </c>
      <c r="B41" s="145"/>
      <c r="C41" s="146"/>
      <c r="D41" s="146"/>
      <c r="E41" s="146"/>
      <c r="F41" s="146"/>
      <c r="G41" s="146"/>
      <c r="H41" s="146"/>
      <c r="I41" s="146"/>
      <c r="J41" s="146"/>
      <c r="K41" s="146"/>
      <c r="L41" s="147"/>
      <c r="M41" s="147"/>
      <c r="N41" s="202"/>
      <c r="O41" s="203"/>
      <c r="P41" s="147"/>
      <c r="Q41" s="147"/>
      <c r="R41" s="147"/>
      <c r="S41" s="147"/>
      <c r="T41" s="147"/>
      <c r="U41" s="147"/>
      <c r="V41" s="147"/>
      <c r="W41" s="147"/>
      <c r="X41" s="147"/>
      <c r="Y41" s="147"/>
      <c r="Z41" s="147"/>
      <c r="AA41" s="147"/>
      <c r="AB41" s="147"/>
      <c r="AC41" s="147"/>
      <c r="AD41" s="147"/>
      <c r="AE41" s="147"/>
      <c r="AF41" s="142"/>
      <c r="AK41" s="142"/>
      <c r="AL41" s="142"/>
      <c r="AM41" s="142"/>
      <c r="AN41" s="76"/>
      <c r="AO41" s="76"/>
      <c r="AP41" s="76"/>
      <c r="AQ41" s="76"/>
      <c r="AR41" s="99"/>
    </row>
    <row r="42" spans="1:44" s="143" customFormat="1" ht="20.25" customHeight="1" x14ac:dyDescent="0.2">
      <c r="A42" s="145" t="s">
        <v>139</v>
      </c>
      <c r="B42" s="149"/>
      <c r="C42" s="150"/>
      <c r="D42" s="150"/>
      <c r="E42" s="151"/>
      <c r="F42" s="151"/>
      <c r="G42" s="151"/>
      <c r="H42" s="151"/>
      <c r="I42" s="151"/>
      <c r="J42" s="151"/>
      <c r="K42" s="151"/>
      <c r="L42" s="147"/>
      <c r="M42" s="147"/>
      <c r="N42" s="202"/>
      <c r="O42" s="203"/>
      <c r="P42" s="147"/>
      <c r="Q42" s="147"/>
      <c r="R42" s="147"/>
      <c r="S42" s="147"/>
      <c r="T42" s="147"/>
      <c r="U42" s="147"/>
      <c r="V42" s="147"/>
      <c r="W42" s="147"/>
      <c r="X42" s="147"/>
      <c r="Y42" s="147"/>
      <c r="Z42" s="147"/>
      <c r="AA42" s="147"/>
      <c r="AB42" s="147"/>
      <c r="AC42" s="147"/>
      <c r="AD42" s="147"/>
      <c r="AE42" s="147"/>
      <c r="AF42" s="142"/>
      <c r="AK42" s="142"/>
      <c r="AL42" s="142"/>
      <c r="AM42" s="142"/>
      <c r="AN42" s="76"/>
      <c r="AO42" s="76"/>
      <c r="AP42" s="76"/>
      <c r="AQ42" s="76"/>
      <c r="AR42" s="252"/>
    </row>
    <row r="44" spans="1:44" x14ac:dyDescent="0.2">
      <c r="E44" s="115"/>
    </row>
    <row r="45" spans="1:44" x14ac:dyDescent="0.2">
      <c r="E45" s="115"/>
    </row>
    <row r="46" spans="1:44" x14ac:dyDescent="0.2">
      <c r="E46" s="115"/>
      <c r="Y46" s="99" t="s">
        <v>124</v>
      </c>
    </row>
    <row r="47" spans="1:44" x14ac:dyDescent="0.2">
      <c r="E47" s="115"/>
    </row>
    <row r="48" spans="1:44" x14ac:dyDescent="0.2">
      <c r="E48" s="115"/>
    </row>
    <row r="49" spans="5:5" x14ac:dyDescent="0.2">
      <c r="E49" s="115"/>
    </row>
    <row r="50" spans="5:5" x14ac:dyDescent="0.2">
      <c r="E50" s="115"/>
    </row>
    <row r="51" spans="5:5" x14ac:dyDescent="0.2">
      <c r="E51" s="115"/>
    </row>
    <row r="52" spans="5:5" x14ac:dyDescent="0.2">
      <c r="E52" s="115"/>
    </row>
    <row r="53" spans="5:5" x14ac:dyDescent="0.2">
      <c r="E53" s="115"/>
    </row>
    <row r="54" spans="5:5" x14ac:dyDescent="0.2">
      <c r="E54" s="115"/>
    </row>
    <row r="55" spans="5:5" x14ac:dyDescent="0.2">
      <c r="E55" s="115"/>
    </row>
    <row r="56" spans="5:5" x14ac:dyDescent="0.2">
      <c r="E56" s="115"/>
    </row>
    <row r="57" spans="5:5" x14ac:dyDescent="0.2">
      <c r="E57" s="115"/>
    </row>
    <row r="58" spans="5:5" x14ac:dyDescent="0.2">
      <c r="E58" s="115"/>
    </row>
    <row r="59" spans="5:5" x14ac:dyDescent="0.2">
      <c r="E59" s="115"/>
    </row>
    <row r="60" spans="5:5" x14ac:dyDescent="0.2">
      <c r="E60" s="115"/>
    </row>
    <row r="61" spans="5:5" x14ac:dyDescent="0.2">
      <c r="E61" s="115"/>
    </row>
    <row r="62" spans="5:5" x14ac:dyDescent="0.2">
      <c r="E62" s="115"/>
    </row>
    <row r="63" spans="5:5" x14ac:dyDescent="0.2">
      <c r="E63" s="115"/>
    </row>
    <row r="64" spans="5:5" x14ac:dyDescent="0.2">
      <c r="E64" s="115"/>
    </row>
    <row r="65" spans="5:5" x14ac:dyDescent="0.2">
      <c r="E65" s="115"/>
    </row>
    <row r="66" spans="5:5" x14ac:dyDescent="0.2">
      <c r="E66" s="115"/>
    </row>
    <row r="67" spans="5:5" x14ac:dyDescent="0.2">
      <c r="E67" s="115"/>
    </row>
    <row r="68" spans="5:5" x14ac:dyDescent="0.2">
      <c r="E68" s="115"/>
    </row>
  </sheetData>
  <autoFilter ref="A8:AS28" xr:uid="{00000000-0009-0000-0000-000056000000}"/>
  <mergeCells count="37">
    <mergeCell ref="AE1:AH1"/>
    <mergeCell ref="A2:AH2"/>
    <mergeCell ref="A3:AH3"/>
    <mergeCell ref="A5:A7"/>
    <mergeCell ref="B5:B7"/>
    <mergeCell ref="C5:C7"/>
    <mergeCell ref="D5:W5"/>
    <mergeCell ref="D6:D7"/>
    <mergeCell ref="E6:E7"/>
    <mergeCell ref="F6:F7"/>
    <mergeCell ref="G6:G7"/>
    <mergeCell ref="H6:H7"/>
    <mergeCell ref="I6:I7"/>
    <mergeCell ref="J6:J7"/>
    <mergeCell ref="AG6:AG7"/>
    <mergeCell ref="X5:AH5"/>
    <mergeCell ref="A28:B28"/>
    <mergeCell ref="S6:S7"/>
    <mergeCell ref="T6:T7"/>
    <mergeCell ref="U6:U7"/>
    <mergeCell ref="V6:V7"/>
    <mergeCell ref="L6:L7"/>
    <mergeCell ref="M6:M7"/>
    <mergeCell ref="N6:O6"/>
    <mergeCell ref="P6:P7"/>
    <mergeCell ref="Q6:Q7"/>
    <mergeCell ref="R6:R7"/>
    <mergeCell ref="G31:H31"/>
    <mergeCell ref="AA6:AC6"/>
    <mergeCell ref="AD6:AF6"/>
    <mergeCell ref="K6:K7"/>
    <mergeCell ref="AH6:AH7"/>
    <mergeCell ref="U9:U27"/>
    <mergeCell ref="W6:W7"/>
    <mergeCell ref="X6:Z6"/>
    <mergeCell ref="I31:J31"/>
    <mergeCell ref="K31:L31"/>
  </mergeCells>
  <printOptions horizontalCentered="1"/>
  <pageMargins left="0" right="0" top="0" bottom="0" header="0.31496062992125984" footer="0.31496062992125984"/>
  <pageSetup paperSize="9" scale="38" orientation="landscape" r:id="rId1"/>
  <legacyDrawing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FF00"/>
  </sheetPr>
  <dimension ref="A1:AP74"/>
  <sheetViews>
    <sheetView view="pageBreakPreview" zoomScale="70" zoomScaleNormal="80" zoomScaleSheetLayoutView="70" workbookViewId="0">
      <pane xSplit="3" ySplit="8" topLeftCell="V9" activePane="bottomRight" state="frozen"/>
      <selection activeCell="M26" sqref="M26:N26"/>
      <selection pane="topRight" activeCell="M26" sqref="M26:N26"/>
      <selection pane="bottomLeft" activeCell="M26" sqref="M26:N26"/>
      <selection pane="bottomRight" activeCell="M26" sqref="M26:N26"/>
    </sheetView>
  </sheetViews>
  <sheetFormatPr defaultRowHeight="12.75" x14ac:dyDescent="0.2"/>
  <cols>
    <col min="1" max="1" width="8" style="33" customWidth="1"/>
    <col min="2" max="2" width="30.83203125" style="22" customWidth="1"/>
    <col min="3" max="3" width="13.83203125" style="22" customWidth="1"/>
    <col min="4" max="4" width="13.1640625" style="22" customWidth="1"/>
    <col min="5" max="5" width="13" style="22" customWidth="1"/>
    <col min="6" max="6" width="14.6640625" style="22" customWidth="1"/>
    <col min="7" max="7" width="13.1640625" style="22" customWidth="1"/>
    <col min="8" max="8" width="15.6640625" style="22" customWidth="1"/>
    <col min="9" max="9" width="13.5" style="22" customWidth="1"/>
    <col min="10" max="10" width="20.33203125" style="22" customWidth="1"/>
    <col min="11" max="11" width="13" style="22" customWidth="1"/>
    <col min="12" max="16" width="14.83203125" style="22" customWidth="1"/>
    <col min="17" max="17" width="12.33203125" style="22" customWidth="1"/>
    <col min="18" max="18" width="13" style="22" customWidth="1"/>
    <col min="19" max="19" width="18.1640625" style="22" customWidth="1"/>
    <col min="20" max="20" width="14.83203125" style="22" customWidth="1"/>
    <col min="21" max="21" width="14" style="22" customWidth="1"/>
    <col min="22" max="22" width="15.6640625" style="22" customWidth="1"/>
    <col min="23" max="23" width="14.5" style="22" customWidth="1"/>
    <col min="24" max="24" width="11.33203125" style="22" customWidth="1"/>
    <col min="25" max="25" width="11" style="22" customWidth="1"/>
    <col min="26" max="26" width="11.5" style="22" customWidth="1"/>
    <col min="27" max="28" width="9.33203125" style="22" customWidth="1"/>
    <col min="29" max="29" width="10.1640625" style="22" customWidth="1"/>
    <col min="30" max="30" width="8.5" style="22" customWidth="1"/>
    <col min="31" max="31" width="10.83203125" style="22" customWidth="1"/>
    <col min="32" max="32" width="10.33203125" style="22" customWidth="1"/>
    <col min="33" max="33" width="11.5" style="22" customWidth="1"/>
    <col min="34" max="34" width="13.83203125" style="22" customWidth="1"/>
    <col min="35" max="35" width="12" style="34" customWidth="1"/>
    <col min="36" max="36" width="17.83203125" style="22" customWidth="1"/>
    <col min="37" max="37" width="14" style="22" bestFit="1" customWidth="1"/>
    <col min="38" max="39" width="9.5" style="22" bestFit="1" customWidth="1"/>
    <col min="40" max="40" width="11.5" style="22" bestFit="1" customWidth="1"/>
    <col min="41" max="41" width="9.33203125" style="22"/>
    <col min="42" max="42" width="9.5" style="22" bestFit="1" customWidth="1"/>
    <col min="43" max="16384" width="9.33203125" style="22"/>
  </cols>
  <sheetData>
    <row r="1" spans="1:42" ht="21.75" customHeight="1" x14ac:dyDescent="0.2">
      <c r="AE1" s="2252"/>
      <c r="AF1" s="2252"/>
      <c r="AG1" s="2252"/>
      <c r="AH1" s="2252"/>
    </row>
    <row r="2" spans="1:42" ht="33" customHeight="1" x14ac:dyDescent="0.2">
      <c r="A2" s="2253" t="s">
        <v>153</v>
      </c>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36"/>
    </row>
    <row r="3" spans="1:42" ht="24.75" customHeight="1" x14ac:dyDescent="0.2">
      <c r="A3" s="2254"/>
      <c r="B3" s="2254"/>
      <c r="C3" s="2254"/>
      <c r="D3" s="2254"/>
      <c r="E3" s="2254"/>
      <c r="F3" s="2254"/>
      <c r="G3" s="2254"/>
      <c r="H3" s="2254"/>
      <c r="I3" s="2254"/>
      <c r="J3" s="2254"/>
      <c r="K3" s="2254"/>
      <c r="L3" s="2254"/>
      <c r="M3" s="2254"/>
      <c r="N3" s="2254"/>
      <c r="O3" s="2254"/>
      <c r="P3" s="2254"/>
      <c r="Q3" s="2254"/>
      <c r="R3" s="2254"/>
      <c r="S3" s="2254"/>
      <c r="T3" s="2254"/>
      <c r="U3" s="2254"/>
      <c r="V3" s="2254"/>
      <c r="W3" s="2254"/>
      <c r="X3" s="2254"/>
      <c r="Y3" s="2254"/>
      <c r="Z3" s="2254"/>
      <c r="AA3" s="2254"/>
      <c r="AB3" s="2254"/>
      <c r="AC3" s="2254"/>
      <c r="AD3" s="2254"/>
      <c r="AE3" s="2254"/>
      <c r="AF3" s="2254"/>
      <c r="AG3" s="2254"/>
      <c r="AH3" s="2254"/>
      <c r="AI3" s="283"/>
    </row>
    <row r="4" spans="1:42" x14ac:dyDescent="0.2">
      <c r="L4" s="22">
        <v>0.32216</v>
      </c>
      <c r="O4" s="39"/>
      <c r="P4" s="39"/>
    </row>
    <row r="5" spans="1:42" ht="38.25" customHeight="1" x14ac:dyDescent="0.2">
      <c r="A5" s="2255" t="s">
        <v>78</v>
      </c>
      <c r="B5" s="2255" t="s">
        <v>77</v>
      </c>
      <c r="C5" s="2242" t="s">
        <v>0</v>
      </c>
      <c r="D5" s="2242" t="s">
        <v>3</v>
      </c>
      <c r="E5" s="2242"/>
      <c r="F5" s="2242"/>
      <c r="G5" s="2242"/>
      <c r="H5" s="2242"/>
      <c r="I5" s="2242"/>
      <c r="J5" s="2242"/>
      <c r="K5" s="2242"/>
      <c r="L5" s="2242"/>
      <c r="M5" s="2242"/>
      <c r="N5" s="2242"/>
      <c r="O5" s="2242"/>
      <c r="P5" s="2242"/>
      <c r="Q5" s="2242"/>
      <c r="R5" s="2242"/>
      <c r="S5" s="2242"/>
      <c r="T5" s="2242"/>
      <c r="U5" s="2242"/>
      <c r="V5" s="2242"/>
      <c r="W5" s="2242"/>
      <c r="X5" s="2242" t="s">
        <v>4</v>
      </c>
      <c r="Y5" s="2242"/>
      <c r="Z5" s="2242"/>
      <c r="AA5" s="2242"/>
      <c r="AB5" s="2242"/>
      <c r="AC5" s="2242"/>
      <c r="AD5" s="2242"/>
      <c r="AE5" s="2242"/>
      <c r="AF5" s="2242"/>
      <c r="AG5" s="2242"/>
      <c r="AH5" s="2242"/>
    </row>
    <row r="6" spans="1:42" ht="60" customHeight="1" x14ac:dyDescent="0.2">
      <c r="A6" s="2255"/>
      <c r="B6" s="2255"/>
      <c r="C6" s="2242"/>
      <c r="D6" s="2245" t="s">
        <v>79</v>
      </c>
      <c r="E6" s="2245" t="s">
        <v>69</v>
      </c>
      <c r="F6" s="2245" t="s">
        <v>89</v>
      </c>
      <c r="G6" s="2245" t="s">
        <v>1</v>
      </c>
      <c r="H6" s="2245" t="s">
        <v>2</v>
      </c>
      <c r="I6" s="2245" t="s">
        <v>70</v>
      </c>
      <c r="J6" s="2245" t="s">
        <v>61</v>
      </c>
      <c r="K6" s="2245" t="s">
        <v>27</v>
      </c>
      <c r="L6" s="2250" t="s">
        <v>65</v>
      </c>
      <c r="M6" s="2250" t="s">
        <v>86</v>
      </c>
      <c r="N6" s="2251" t="s">
        <v>90</v>
      </c>
      <c r="O6" s="2251"/>
      <c r="P6" s="2251" t="s">
        <v>88</v>
      </c>
      <c r="Q6" s="2250" t="s">
        <v>82</v>
      </c>
      <c r="R6" s="2245" t="s">
        <v>83</v>
      </c>
      <c r="S6" s="2250" t="s">
        <v>87</v>
      </c>
      <c r="T6" s="2245" t="s">
        <v>84</v>
      </c>
      <c r="U6" s="2245" t="s">
        <v>9</v>
      </c>
      <c r="V6" s="2245" t="s">
        <v>7</v>
      </c>
      <c r="W6" s="2245" t="s">
        <v>85</v>
      </c>
      <c r="X6" s="2242" t="s">
        <v>10</v>
      </c>
      <c r="Y6" s="2242"/>
      <c r="Z6" s="2242"/>
      <c r="AA6" s="2242" t="s">
        <v>11</v>
      </c>
      <c r="AB6" s="2242"/>
      <c r="AC6" s="2242"/>
      <c r="AD6" s="2242" t="s">
        <v>12</v>
      </c>
      <c r="AE6" s="2242"/>
      <c r="AF6" s="2242"/>
      <c r="AG6" s="2242" t="s">
        <v>13</v>
      </c>
      <c r="AH6" s="2242" t="s">
        <v>73</v>
      </c>
    </row>
    <row r="7" spans="1:42" ht="57" customHeight="1" x14ac:dyDescent="0.2">
      <c r="A7" s="2255"/>
      <c r="B7" s="2255"/>
      <c r="C7" s="2242"/>
      <c r="D7" s="2245"/>
      <c r="E7" s="2245"/>
      <c r="F7" s="2245"/>
      <c r="G7" s="2245"/>
      <c r="H7" s="2245"/>
      <c r="I7" s="2245"/>
      <c r="J7" s="2245"/>
      <c r="K7" s="2245"/>
      <c r="L7" s="2250" t="s">
        <v>66</v>
      </c>
      <c r="M7" s="2250"/>
      <c r="N7" s="281" t="s">
        <v>80</v>
      </c>
      <c r="O7" s="281" t="s">
        <v>81</v>
      </c>
      <c r="P7" s="2251"/>
      <c r="Q7" s="2250"/>
      <c r="R7" s="2245"/>
      <c r="S7" s="2250" t="s">
        <v>67</v>
      </c>
      <c r="T7" s="2245"/>
      <c r="U7" s="2245"/>
      <c r="V7" s="2245"/>
      <c r="W7" s="2245"/>
      <c r="X7" s="280" t="s">
        <v>5</v>
      </c>
      <c r="Y7" s="280" t="s">
        <v>6</v>
      </c>
      <c r="Z7" s="280" t="s">
        <v>74</v>
      </c>
      <c r="AA7" s="280" t="s">
        <v>5</v>
      </c>
      <c r="AB7" s="280" t="s">
        <v>6</v>
      </c>
      <c r="AC7" s="280" t="s">
        <v>75</v>
      </c>
      <c r="AD7" s="280" t="s">
        <v>5</v>
      </c>
      <c r="AE7" s="280" t="s">
        <v>6</v>
      </c>
      <c r="AF7" s="280" t="s">
        <v>76</v>
      </c>
      <c r="AG7" s="2242"/>
      <c r="AH7" s="2242"/>
      <c r="AJ7" s="33" t="s">
        <v>64</v>
      </c>
    </row>
    <row r="8" spans="1:42" ht="12.75" customHeight="1" x14ac:dyDescent="0.2">
      <c r="A8" s="278">
        <v>1</v>
      </c>
      <c r="B8" s="278">
        <v>2</v>
      </c>
      <c r="C8" s="278">
        <v>3</v>
      </c>
      <c r="D8" s="278">
        <v>4</v>
      </c>
      <c r="E8" s="278">
        <v>5</v>
      </c>
      <c r="F8" s="278">
        <v>6</v>
      </c>
      <c r="G8" s="278">
        <v>7</v>
      </c>
      <c r="H8" s="278">
        <v>8</v>
      </c>
      <c r="I8" s="278">
        <v>9</v>
      </c>
      <c r="J8" s="278">
        <v>10</v>
      </c>
      <c r="K8" s="278">
        <v>11</v>
      </c>
      <c r="L8" s="278">
        <v>12</v>
      </c>
      <c r="M8" s="278">
        <v>13</v>
      </c>
      <c r="N8" s="278">
        <v>14</v>
      </c>
      <c r="O8" s="278">
        <v>15</v>
      </c>
      <c r="P8" s="278">
        <v>16</v>
      </c>
      <c r="Q8" s="278">
        <v>17</v>
      </c>
      <c r="R8" s="278">
        <v>18</v>
      </c>
      <c r="S8" s="278">
        <v>19</v>
      </c>
      <c r="T8" s="278">
        <v>20</v>
      </c>
      <c r="U8" s="278">
        <v>21</v>
      </c>
      <c r="V8" s="278">
        <v>22</v>
      </c>
      <c r="W8" s="278">
        <v>23</v>
      </c>
      <c r="X8" s="278">
        <v>24</v>
      </c>
      <c r="Y8" s="278">
        <v>25</v>
      </c>
      <c r="Z8" s="278">
        <v>26</v>
      </c>
      <c r="AA8" s="278">
        <v>27</v>
      </c>
      <c r="AB8" s="278">
        <v>28</v>
      </c>
      <c r="AC8" s="278">
        <v>29</v>
      </c>
      <c r="AD8" s="278">
        <v>30</v>
      </c>
      <c r="AE8" s="278">
        <v>31</v>
      </c>
      <c r="AF8" s="278">
        <v>32</v>
      </c>
      <c r="AG8" s="278">
        <v>33</v>
      </c>
      <c r="AH8" s="278">
        <v>34</v>
      </c>
      <c r="AK8" s="43" t="s">
        <v>116</v>
      </c>
      <c r="AL8" s="43" t="s">
        <v>117</v>
      </c>
      <c r="AM8" s="43" t="s">
        <v>118</v>
      </c>
      <c r="AN8" s="43" t="s">
        <v>119</v>
      </c>
    </row>
    <row r="9" spans="1:42" ht="27" customHeight="1" x14ac:dyDescent="0.2">
      <c r="A9" s="278">
        <v>1</v>
      </c>
      <c r="B9" s="44" t="s">
        <v>21</v>
      </c>
      <c r="C9" s="278">
        <v>1</v>
      </c>
      <c r="D9" s="45">
        <v>21.991</v>
      </c>
      <c r="E9" s="46">
        <f>C9*D9</f>
        <v>21.99</v>
      </c>
      <c r="F9" s="47">
        <f>E9*12</f>
        <v>263.89999999999998</v>
      </c>
      <c r="G9" s="24"/>
      <c r="H9" s="24"/>
      <c r="I9" s="24"/>
      <c r="J9" s="24"/>
      <c r="K9" s="24">
        <f>D9*0.3*12+0.05*9</f>
        <v>79.599999999999994</v>
      </c>
      <c r="L9" s="24">
        <f>F9*$L$4</f>
        <v>85</v>
      </c>
      <c r="M9" s="24">
        <f t="shared" ref="M9:M27" si="0">F9+G9+H9+I9+J9+K9+L9</f>
        <v>428.5</v>
      </c>
      <c r="N9" s="48">
        <v>1.1100000000000001</v>
      </c>
      <c r="O9" s="24">
        <f t="shared" ref="O9:O27" si="1">M9*N9</f>
        <v>475.6</v>
      </c>
      <c r="P9" s="24">
        <f>M9+O9</f>
        <v>904.1</v>
      </c>
      <c r="Q9" s="24">
        <f>P9*0.8</f>
        <v>723.3</v>
      </c>
      <c r="R9" s="24">
        <f t="shared" ref="R9:R27" si="2">P9*0.8</f>
        <v>723.3</v>
      </c>
      <c r="S9" s="24">
        <f>(P9+Q9+R9)*0.032</f>
        <v>75.2</v>
      </c>
      <c r="T9" s="49">
        <f t="shared" ref="T9:T27" si="3">P9+Q9+R9+S9</f>
        <v>2425.9</v>
      </c>
      <c r="U9" s="2246">
        <v>1</v>
      </c>
      <c r="V9" s="49">
        <f>T9*$U$9</f>
        <v>2425.9</v>
      </c>
      <c r="W9" s="49">
        <f>AN9</f>
        <v>534.29999999999995</v>
      </c>
      <c r="X9" s="278">
        <v>1</v>
      </c>
      <c r="Y9" s="24">
        <v>30</v>
      </c>
      <c r="Z9" s="48">
        <f t="shared" ref="Z9:Z25" si="4">X9*Y9</f>
        <v>30</v>
      </c>
      <c r="AA9" s="278"/>
      <c r="AB9" s="24">
        <v>15</v>
      </c>
      <c r="AC9" s="48">
        <f t="shared" ref="AC9:AC25" si="5">AA9*AB9</f>
        <v>0</v>
      </c>
      <c r="AD9" s="278"/>
      <c r="AE9" s="24">
        <v>30</v>
      </c>
      <c r="AF9" s="48">
        <f t="shared" ref="AF9:AF25" si="6">AD9*AE9</f>
        <v>0</v>
      </c>
      <c r="AG9" s="48">
        <f t="shared" ref="AG9:AG25" si="7">(Z9+AC9+AF9)*1%*30</f>
        <v>9</v>
      </c>
      <c r="AH9" s="48">
        <f t="shared" ref="AH9:AH25" si="8">Z9+AC9+AF9+AG9</f>
        <v>39</v>
      </c>
      <c r="AI9" s="34">
        <f t="shared" ref="AI9:AI27" si="9">V9/12/C9*1000</f>
        <v>202158.3</v>
      </c>
      <c r="AJ9" s="34">
        <f t="shared" ref="AJ9:AJ27" si="10">V9/C9</f>
        <v>2425.9</v>
      </c>
      <c r="AK9" s="50">
        <f>1150*0.22*C9+(V9-1150*C9)*0.1</f>
        <v>380.6</v>
      </c>
      <c r="AL9" s="50">
        <f>865*0.029*C9</f>
        <v>25.1</v>
      </c>
      <c r="AM9" s="50">
        <f t="shared" ref="AM9:AM27" si="11">V9*0.053</f>
        <v>128.6</v>
      </c>
      <c r="AN9" s="50">
        <f>SUM(AK9:AM9)</f>
        <v>534.29999999999995</v>
      </c>
      <c r="AP9" s="51"/>
    </row>
    <row r="10" spans="1:42" ht="27" customHeight="1" x14ac:dyDescent="0.2">
      <c r="A10" s="278">
        <v>2</v>
      </c>
      <c r="B10" s="44" t="s">
        <v>125</v>
      </c>
      <c r="C10" s="278">
        <v>3</v>
      </c>
      <c r="D10" s="45">
        <v>15.394</v>
      </c>
      <c r="E10" s="46">
        <f>C10*D10</f>
        <v>46.18</v>
      </c>
      <c r="F10" s="47">
        <f>E10*12</f>
        <v>554.20000000000005</v>
      </c>
      <c r="G10" s="24"/>
      <c r="H10" s="24"/>
      <c r="I10" s="24"/>
      <c r="J10" s="24"/>
      <c r="K10" s="24">
        <f>D10*0.2*2*12+D10*0.4*12+D10*0.05*3</f>
        <v>150.1</v>
      </c>
      <c r="L10" s="24">
        <f t="shared" ref="L10:L25" si="12">F10*$L$4</f>
        <v>178.5</v>
      </c>
      <c r="M10" s="24">
        <f>F10+G10+H10+I10+J10+K10+L10</f>
        <v>882.8</v>
      </c>
      <c r="N10" s="48">
        <v>0.47</v>
      </c>
      <c r="O10" s="24">
        <f>M10*N10</f>
        <v>414.9</v>
      </c>
      <c r="P10" s="24">
        <f>M10+O10</f>
        <v>1297.7</v>
      </c>
      <c r="Q10" s="24">
        <f>P10*0.8</f>
        <v>1038.2</v>
      </c>
      <c r="R10" s="24">
        <f>P10*0.8</f>
        <v>1038.2</v>
      </c>
      <c r="S10" s="24">
        <f>(P10+Q10+R10)*0.032</f>
        <v>108</v>
      </c>
      <c r="T10" s="49">
        <f>P10+Q10+R10+S10</f>
        <v>3482.1</v>
      </c>
      <c r="U10" s="2247"/>
      <c r="V10" s="49">
        <f>T10*$U$9</f>
        <v>3482.1</v>
      </c>
      <c r="W10" s="49">
        <f>AN10</f>
        <v>1022.1</v>
      </c>
      <c r="X10" s="278">
        <v>2</v>
      </c>
      <c r="Y10" s="24">
        <v>30</v>
      </c>
      <c r="Z10" s="48">
        <f>X10*Y10</f>
        <v>60</v>
      </c>
      <c r="AA10" s="278">
        <v>1</v>
      </c>
      <c r="AB10" s="24">
        <v>15</v>
      </c>
      <c r="AC10" s="48">
        <f>AA10*AB10</f>
        <v>15</v>
      </c>
      <c r="AD10" s="278">
        <v>3</v>
      </c>
      <c r="AE10" s="24">
        <v>30</v>
      </c>
      <c r="AF10" s="48">
        <f>AD10*AE10</f>
        <v>90</v>
      </c>
      <c r="AG10" s="48">
        <f>(Z10+AC10+AF10)*1%*30</f>
        <v>49.5</v>
      </c>
      <c r="AH10" s="48">
        <f>Z10+AC10+AF10+AG10</f>
        <v>214.5</v>
      </c>
      <c r="AI10" s="34">
        <f t="shared" si="9"/>
        <v>96725</v>
      </c>
      <c r="AJ10" s="34">
        <f t="shared" si="10"/>
        <v>1160.7</v>
      </c>
      <c r="AK10" s="50">
        <f>1150*0.22*C10+(V10-1150*C10)*0.1</f>
        <v>762.2</v>
      </c>
      <c r="AL10" s="50">
        <f>865*0.029*C10</f>
        <v>75.3</v>
      </c>
      <c r="AM10" s="50">
        <f t="shared" si="11"/>
        <v>184.6</v>
      </c>
      <c r="AN10" s="50">
        <f>SUM(AK10:AM10)</f>
        <v>1022.1</v>
      </c>
      <c r="AP10" s="51"/>
    </row>
    <row r="11" spans="1:42" ht="27" customHeight="1" x14ac:dyDescent="0.2">
      <c r="A11" s="278">
        <v>3</v>
      </c>
      <c r="B11" s="52" t="s">
        <v>23</v>
      </c>
      <c r="C11" s="278">
        <v>7</v>
      </c>
      <c r="D11" s="53">
        <v>11.061999999999999</v>
      </c>
      <c r="E11" s="46">
        <f t="shared" ref="E11:E27" si="13">C11*D11</f>
        <v>77.430000000000007</v>
      </c>
      <c r="F11" s="47">
        <f t="shared" ref="F11:F27" si="14">E11*12</f>
        <v>929.2</v>
      </c>
      <c r="G11" s="24"/>
      <c r="H11" s="24">
        <f>(6470.9+1198.32)/1000</f>
        <v>7.7</v>
      </c>
      <c r="I11" s="24"/>
      <c r="J11" s="24"/>
      <c r="K11" s="24">
        <f>D11*0.25*12+D11*0.35*12+D11*0.4*4*12</f>
        <v>292</v>
      </c>
      <c r="L11" s="24">
        <f t="shared" si="12"/>
        <v>299.39999999999998</v>
      </c>
      <c r="M11" s="24">
        <f t="shared" si="0"/>
        <v>1528.3</v>
      </c>
      <c r="N11" s="48">
        <v>0.43</v>
      </c>
      <c r="O11" s="24">
        <f t="shared" si="1"/>
        <v>657.2</v>
      </c>
      <c r="P11" s="24">
        <f t="shared" ref="P11:P27" si="15">M11+O11</f>
        <v>2185.5</v>
      </c>
      <c r="Q11" s="24">
        <f t="shared" ref="Q11:Q27" si="16">P11*0.8</f>
        <v>1748.4</v>
      </c>
      <c r="R11" s="24">
        <f t="shared" si="2"/>
        <v>1748.4</v>
      </c>
      <c r="S11" s="24">
        <f t="shared" ref="S11:S27" si="17">(P11+Q11+R11)*0.032</f>
        <v>181.8</v>
      </c>
      <c r="T11" s="49">
        <f t="shared" si="3"/>
        <v>5864.1</v>
      </c>
      <c r="U11" s="2247"/>
      <c r="V11" s="49">
        <f t="shared" ref="V11:V25" si="18">T11*$U$9</f>
        <v>5864.1</v>
      </c>
      <c r="W11" s="49">
        <f>V11*0.302</f>
        <v>1771</v>
      </c>
      <c r="X11" s="278">
        <v>2</v>
      </c>
      <c r="Y11" s="24">
        <v>30</v>
      </c>
      <c r="Z11" s="48">
        <f t="shared" si="4"/>
        <v>60</v>
      </c>
      <c r="AA11" s="278">
        <v>3</v>
      </c>
      <c r="AB11" s="24">
        <v>15</v>
      </c>
      <c r="AC11" s="48">
        <f t="shared" si="5"/>
        <v>45</v>
      </c>
      <c r="AD11" s="278"/>
      <c r="AE11" s="24">
        <v>30</v>
      </c>
      <c r="AF11" s="48">
        <f t="shared" si="6"/>
        <v>0</v>
      </c>
      <c r="AG11" s="48">
        <f>(Z11+AC11+AF11)*1%*30</f>
        <v>31.5</v>
      </c>
      <c r="AH11" s="48">
        <f t="shared" si="8"/>
        <v>136.5</v>
      </c>
      <c r="AI11" s="34">
        <f t="shared" si="9"/>
        <v>69810.7</v>
      </c>
      <c r="AJ11" s="34">
        <f t="shared" si="10"/>
        <v>837.7</v>
      </c>
      <c r="AK11" s="50">
        <f t="shared" ref="AK11:AK27" si="19">V11*0.22</f>
        <v>1290.0999999999999</v>
      </c>
      <c r="AL11" s="50">
        <f>865*0.029*C11</f>
        <v>175.6</v>
      </c>
      <c r="AM11" s="50">
        <f t="shared" si="11"/>
        <v>310.8</v>
      </c>
      <c r="AN11" s="50">
        <f t="shared" ref="AN11:AN27" si="20">SUM(AK11:AM11)</f>
        <v>1776.5</v>
      </c>
      <c r="AP11" s="51"/>
    </row>
    <row r="12" spans="1:42" ht="27" customHeight="1" x14ac:dyDescent="0.2">
      <c r="A12" s="278">
        <v>4</v>
      </c>
      <c r="B12" s="52" t="s">
        <v>134</v>
      </c>
      <c r="C12" s="278">
        <v>1</v>
      </c>
      <c r="D12" s="53">
        <v>11.061999999999999</v>
      </c>
      <c r="E12" s="46">
        <f t="shared" si="13"/>
        <v>11.06</v>
      </c>
      <c r="F12" s="47">
        <f t="shared" si="14"/>
        <v>132.69999999999999</v>
      </c>
      <c r="G12" s="24"/>
      <c r="H12" s="24">
        <f>1078.5/1000</f>
        <v>1.1000000000000001</v>
      </c>
      <c r="I12" s="24"/>
      <c r="J12" s="24"/>
      <c r="K12" s="24"/>
      <c r="L12" s="24">
        <f t="shared" si="12"/>
        <v>42.8</v>
      </c>
      <c r="M12" s="24">
        <f t="shared" si="0"/>
        <v>176.6</v>
      </c>
      <c r="N12" s="48">
        <v>0.43</v>
      </c>
      <c r="O12" s="24">
        <f t="shared" si="1"/>
        <v>75.900000000000006</v>
      </c>
      <c r="P12" s="24">
        <f t="shared" si="15"/>
        <v>252.5</v>
      </c>
      <c r="Q12" s="24">
        <f t="shared" si="16"/>
        <v>202</v>
      </c>
      <c r="R12" s="24">
        <f t="shared" si="2"/>
        <v>202</v>
      </c>
      <c r="S12" s="24">
        <f t="shared" si="17"/>
        <v>21</v>
      </c>
      <c r="T12" s="49">
        <f t="shared" si="3"/>
        <v>677.5</v>
      </c>
      <c r="U12" s="2247"/>
      <c r="V12" s="49">
        <f t="shared" si="18"/>
        <v>677.5</v>
      </c>
      <c r="W12" s="49">
        <f t="shared" ref="W12:W26" si="21">V12*0.302</f>
        <v>204.6</v>
      </c>
      <c r="X12" s="278"/>
      <c r="Y12" s="24">
        <v>30</v>
      </c>
      <c r="Z12" s="48">
        <f t="shared" si="4"/>
        <v>0</v>
      </c>
      <c r="AA12" s="278"/>
      <c r="AB12" s="24">
        <v>15</v>
      </c>
      <c r="AC12" s="48">
        <f t="shared" si="5"/>
        <v>0</v>
      </c>
      <c r="AD12" s="278"/>
      <c r="AE12" s="24">
        <v>30</v>
      </c>
      <c r="AF12" s="48">
        <f t="shared" si="6"/>
        <v>0</v>
      </c>
      <c r="AG12" s="48">
        <f>(Z12+AC12+AF12)*1%*30</f>
        <v>0</v>
      </c>
      <c r="AH12" s="48">
        <f t="shared" si="8"/>
        <v>0</v>
      </c>
      <c r="AI12" s="34">
        <f t="shared" si="9"/>
        <v>56458.3</v>
      </c>
      <c r="AJ12" s="34">
        <f t="shared" si="10"/>
        <v>677.5</v>
      </c>
      <c r="AK12" s="50">
        <f t="shared" si="19"/>
        <v>149.1</v>
      </c>
      <c r="AL12" s="50">
        <f t="shared" ref="AL12:AL27" si="22">912*0.029*C12</f>
        <v>26.4</v>
      </c>
      <c r="AM12" s="50">
        <f t="shared" si="11"/>
        <v>35.9</v>
      </c>
      <c r="AN12" s="50">
        <f t="shared" si="20"/>
        <v>211.4</v>
      </c>
      <c r="AP12" s="51"/>
    </row>
    <row r="13" spans="1:42" ht="27" customHeight="1" x14ac:dyDescent="0.2">
      <c r="A13" s="278">
        <v>5</v>
      </c>
      <c r="B13" s="52" t="s">
        <v>17</v>
      </c>
      <c r="C13" s="278">
        <v>1</v>
      </c>
      <c r="D13" s="53">
        <v>12.335000000000001</v>
      </c>
      <c r="E13" s="46">
        <f t="shared" si="13"/>
        <v>12.34</v>
      </c>
      <c r="F13" s="47">
        <f t="shared" si="14"/>
        <v>148.1</v>
      </c>
      <c r="G13" s="24"/>
      <c r="H13" s="24">
        <f>1202.6/1000</f>
        <v>1.2</v>
      </c>
      <c r="I13" s="24"/>
      <c r="J13" s="24"/>
      <c r="K13" s="24">
        <f>F13*0.4</f>
        <v>59.2</v>
      </c>
      <c r="L13" s="24">
        <f t="shared" si="12"/>
        <v>47.7</v>
      </c>
      <c r="M13" s="24">
        <f t="shared" si="0"/>
        <v>256.2</v>
      </c>
      <c r="N13" s="48">
        <v>0.47</v>
      </c>
      <c r="O13" s="24">
        <f t="shared" si="1"/>
        <v>120.4</v>
      </c>
      <c r="P13" s="24">
        <f t="shared" si="15"/>
        <v>376.6</v>
      </c>
      <c r="Q13" s="24">
        <f t="shared" si="16"/>
        <v>301.3</v>
      </c>
      <c r="R13" s="24">
        <f t="shared" si="2"/>
        <v>301.3</v>
      </c>
      <c r="S13" s="24">
        <f t="shared" si="17"/>
        <v>31.3</v>
      </c>
      <c r="T13" s="49">
        <f t="shared" si="3"/>
        <v>1010.5</v>
      </c>
      <c r="U13" s="2247"/>
      <c r="V13" s="49">
        <f t="shared" si="18"/>
        <v>1010.5</v>
      </c>
      <c r="W13" s="49">
        <f>AN13</f>
        <v>301</v>
      </c>
      <c r="X13" s="278">
        <v>1</v>
      </c>
      <c r="Y13" s="24">
        <v>30</v>
      </c>
      <c r="Z13" s="48">
        <f t="shared" si="4"/>
        <v>30</v>
      </c>
      <c r="AA13" s="278">
        <v>1</v>
      </c>
      <c r="AB13" s="24">
        <v>15</v>
      </c>
      <c r="AC13" s="48">
        <f t="shared" si="5"/>
        <v>15</v>
      </c>
      <c r="AD13" s="278">
        <v>1</v>
      </c>
      <c r="AE13" s="24">
        <v>30</v>
      </c>
      <c r="AF13" s="48">
        <f t="shared" si="6"/>
        <v>30</v>
      </c>
      <c r="AG13" s="48">
        <f t="shared" si="7"/>
        <v>22.5</v>
      </c>
      <c r="AH13" s="48">
        <f t="shared" si="8"/>
        <v>97.5</v>
      </c>
      <c r="AI13" s="34">
        <f t="shared" si="9"/>
        <v>84208.3</v>
      </c>
      <c r="AJ13" s="34">
        <f t="shared" si="10"/>
        <v>1010.5</v>
      </c>
      <c r="AK13" s="50">
        <f t="shared" si="19"/>
        <v>222.3</v>
      </c>
      <c r="AL13" s="50">
        <f>865*0.029*C13</f>
        <v>25.1</v>
      </c>
      <c r="AM13" s="50">
        <f t="shared" si="11"/>
        <v>53.6</v>
      </c>
      <c r="AN13" s="50">
        <f t="shared" ref="AN13" si="23">SUM(AK13:AM13)</f>
        <v>301</v>
      </c>
      <c r="AP13" s="51"/>
    </row>
    <row r="14" spans="1:42" ht="34.5" customHeight="1" x14ac:dyDescent="0.2">
      <c r="A14" s="278">
        <v>6</v>
      </c>
      <c r="B14" s="52" t="s">
        <v>129</v>
      </c>
      <c r="C14" s="54">
        <v>1</v>
      </c>
      <c r="D14" s="53">
        <v>8.4730000000000008</v>
      </c>
      <c r="E14" s="46">
        <f>C14*D14</f>
        <v>8.4700000000000006</v>
      </c>
      <c r="F14" s="47">
        <f>E14*11</f>
        <v>93.2</v>
      </c>
      <c r="G14" s="24"/>
      <c r="H14" s="24">
        <f>826.1/1000</f>
        <v>0.8</v>
      </c>
      <c r="I14" s="24"/>
      <c r="J14" s="24"/>
      <c r="K14" s="24">
        <f>F14*0.2</f>
        <v>18.600000000000001</v>
      </c>
      <c r="L14" s="24">
        <f t="shared" si="12"/>
        <v>30</v>
      </c>
      <c r="M14" s="24">
        <f t="shared" si="0"/>
        <v>142.6</v>
      </c>
      <c r="N14" s="48">
        <v>0.41</v>
      </c>
      <c r="O14" s="24">
        <f t="shared" si="1"/>
        <v>58.5</v>
      </c>
      <c r="P14" s="24">
        <f t="shared" si="15"/>
        <v>201.1</v>
      </c>
      <c r="Q14" s="24">
        <f t="shared" si="16"/>
        <v>160.9</v>
      </c>
      <c r="R14" s="24">
        <f t="shared" si="2"/>
        <v>160.9</v>
      </c>
      <c r="S14" s="24">
        <f t="shared" si="17"/>
        <v>16.7</v>
      </c>
      <c r="T14" s="49">
        <f t="shared" si="3"/>
        <v>539.6</v>
      </c>
      <c r="U14" s="2247"/>
      <c r="V14" s="49">
        <f>T14*$U$9</f>
        <v>539.6</v>
      </c>
      <c r="W14" s="49">
        <f t="shared" si="21"/>
        <v>163</v>
      </c>
      <c r="X14" s="278">
        <v>1</v>
      </c>
      <c r="Y14" s="24">
        <v>30</v>
      </c>
      <c r="Z14" s="48">
        <f t="shared" si="4"/>
        <v>30</v>
      </c>
      <c r="AA14" s="278">
        <v>1</v>
      </c>
      <c r="AB14" s="24">
        <v>15</v>
      </c>
      <c r="AC14" s="48">
        <f t="shared" si="5"/>
        <v>15</v>
      </c>
      <c r="AD14" s="278">
        <v>1</v>
      </c>
      <c r="AE14" s="24">
        <v>30</v>
      </c>
      <c r="AF14" s="48">
        <f t="shared" si="6"/>
        <v>30</v>
      </c>
      <c r="AG14" s="48">
        <f t="shared" si="7"/>
        <v>22.5</v>
      </c>
      <c r="AH14" s="48">
        <f t="shared" si="8"/>
        <v>97.5</v>
      </c>
      <c r="AI14" s="34">
        <f t="shared" si="9"/>
        <v>44966.7</v>
      </c>
      <c r="AJ14" s="34">
        <f t="shared" si="10"/>
        <v>539.6</v>
      </c>
      <c r="AK14" s="50">
        <f t="shared" si="19"/>
        <v>118.7</v>
      </c>
      <c r="AL14" s="50">
        <f t="shared" si="22"/>
        <v>26.4</v>
      </c>
      <c r="AM14" s="50">
        <f t="shared" si="11"/>
        <v>28.6</v>
      </c>
      <c r="AN14" s="50">
        <f t="shared" si="20"/>
        <v>173.7</v>
      </c>
      <c r="AP14" s="51"/>
    </row>
    <row r="15" spans="1:42" ht="27" customHeight="1" x14ac:dyDescent="0.2">
      <c r="A15" s="278">
        <v>7</v>
      </c>
      <c r="B15" s="52" t="s">
        <v>22</v>
      </c>
      <c r="C15" s="278">
        <v>1</v>
      </c>
      <c r="D15" s="53">
        <v>11.061999999999999</v>
      </c>
      <c r="E15" s="46">
        <f>C15*D15</f>
        <v>11.06</v>
      </c>
      <c r="F15" s="47">
        <f>E15*12</f>
        <v>132.69999999999999</v>
      </c>
      <c r="G15" s="24"/>
      <c r="H15" s="24">
        <f>1078.5/1000</f>
        <v>1.1000000000000001</v>
      </c>
      <c r="I15" s="24"/>
      <c r="J15" s="24"/>
      <c r="K15" s="24">
        <f>F15*0.4</f>
        <v>53.1</v>
      </c>
      <c r="L15" s="24">
        <f t="shared" si="12"/>
        <v>42.8</v>
      </c>
      <c r="M15" s="24">
        <f>F15+G15+H15+I15+J15+K15+L15</f>
        <v>229.7</v>
      </c>
      <c r="N15" s="48">
        <v>0.43</v>
      </c>
      <c r="O15" s="24">
        <f>M15*N15</f>
        <v>98.8</v>
      </c>
      <c r="P15" s="24">
        <f>M15+O15</f>
        <v>328.5</v>
      </c>
      <c r="Q15" s="24">
        <f>P15*0.8</f>
        <v>262.8</v>
      </c>
      <c r="R15" s="24">
        <f>P15*0.8</f>
        <v>262.8</v>
      </c>
      <c r="S15" s="24">
        <f>(P15+Q15+R15)*0.032</f>
        <v>27.3</v>
      </c>
      <c r="T15" s="49">
        <f>P15+Q15+R15+S15</f>
        <v>881.4</v>
      </c>
      <c r="U15" s="2247"/>
      <c r="V15" s="49">
        <f>T15*$U$9</f>
        <v>881.4</v>
      </c>
      <c r="W15" s="49">
        <f>AN15</f>
        <v>265.7</v>
      </c>
      <c r="X15" s="278">
        <v>1</v>
      </c>
      <c r="Y15" s="24">
        <v>30</v>
      </c>
      <c r="Z15" s="48">
        <f>X15*Y15</f>
        <v>30</v>
      </c>
      <c r="AA15" s="278"/>
      <c r="AB15" s="24">
        <v>15</v>
      </c>
      <c r="AC15" s="48">
        <f>AA15*AB15</f>
        <v>0</v>
      </c>
      <c r="AD15" s="278"/>
      <c r="AE15" s="24">
        <v>30</v>
      </c>
      <c r="AF15" s="48">
        <f>AD15*AE15</f>
        <v>0</v>
      </c>
      <c r="AG15" s="48">
        <f>(Z15+AC15+AF15)*1%*30</f>
        <v>9</v>
      </c>
      <c r="AH15" s="48">
        <f>Z15+AC15+AF15+AG15</f>
        <v>39</v>
      </c>
      <c r="AI15" s="34">
        <f t="shared" si="9"/>
        <v>73450</v>
      </c>
      <c r="AJ15" s="34">
        <f t="shared" si="10"/>
        <v>881.4</v>
      </c>
      <c r="AK15" s="50">
        <f t="shared" si="19"/>
        <v>193.9</v>
      </c>
      <c r="AL15" s="50">
        <f>865*0.029*C15</f>
        <v>25.1</v>
      </c>
      <c r="AM15" s="50">
        <f t="shared" si="11"/>
        <v>46.7</v>
      </c>
      <c r="AN15" s="50">
        <f t="shared" ref="AN15" si="24">SUM(AK15:AM15)</f>
        <v>265.7</v>
      </c>
      <c r="AP15" s="51"/>
    </row>
    <row r="16" spans="1:42" ht="27" customHeight="1" x14ac:dyDescent="0.2">
      <c r="A16" s="278">
        <v>8</v>
      </c>
      <c r="B16" s="52" t="s">
        <v>28</v>
      </c>
      <c r="C16" s="54">
        <v>5</v>
      </c>
      <c r="D16" s="53">
        <v>9.593</v>
      </c>
      <c r="E16" s="46">
        <f t="shared" si="13"/>
        <v>47.97</v>
      </c>
      <c r="F16" s="47">
        <f t="shared" si="14"/>
        <v>575.6</v>
      </c>
      <c r="G16" s="24"/>
      <c r="H16" s="24">
        <f>4.78</f>
        <v>4.8</v>
      </c>
      <c r="I16" s="24"/>
      <c r="J16" s="24"/>
      <c r="K16" s="24">
        <f>D16*0.2*2*12+D16*0.05*5.5+D16*0.2*7.5</f>
        <v>63.1</v>
      </c>
      <c r="L16" s="24">
        <f t="shared" si="12"/>
        <v>185.4</v>
      </c>
      <c r="M16" s="24">
        <f t="shared" si="0"/>
        <v>828.9</v>
      </c>
      <c r="N16" s="48">
        <v>0.43</v>
      </c>
      <c r="O16" s="24">
        <f t="shared" si="1"/>
        <v>356.4</v>
      </c>
      <c r="P16" s="24">
        <f t="shared" si="15"/>
        <v>1185.3</v>
      </c>
      <c r="Q16" s="24">
        <f t="shared" si="16"/>
        <v>948.2</v>
      </c>
      <c r="R16" s="24">
        <f t="shared" si="2"/>
        <v>948.2</v>
      </c>
      <c r="S16" s="24">
        <f t="shared" si="17"/>
        <v>98.6</v>
      </c>
      <c r="T16" s="49">
        <f t="shared" si="3"/>
        <v>3180.3</v>
      </c>
      <c r="U16" s="2247"/>
      <c r="V16" s="49">
        <f>T16*$U$9</f>
        <v>3180.3</v>
      </c>
      <c r="W16" s="49">
        <f t="shared" si="21"/>
        <v>960.5</v>
      </c>
      <c r="X16" s="278"/>
      <c r="Y16" s="24">
        <v>30</v>
      </c>
      <c r="Z16" s="48">
        <f t="shared" si="4"/>
        <v>0</v>
      </c>
      <c r="AA16" s="278"/>
      <c r="AB16" s="24">
        <v>15</v>
      </c>
      <c r="AC16" s="48">
        <f t="shared" si="5"/>
        <v>0</v>
      </c>
      <c r="AD16" s="278"/>
      <c r="AE16" s="24">
        <v>30</v>
      </c>
      <c r="AF16" s="48">
        <f t="shared" si="6"/>
        <v>0</v>
      </c>
      <c r="AG16" s="48">
        <f t="shared" si="7"/>
        <v>0</v>
      </c>
      <c r="AH16" s="48">
        <f t="shared" si="8"/>
        <v>0</v>
      </c>
      <c r="AI16" s="34">
        <f t="shared" si="9"/>
        <v>53005</v>
      </c>
      <c r="AJ16" s="34">
        <f t="shared" si="10"/>
        <v>636.1</v>
      </c>
      <c r="AK16" s="50">
        <f t="shared" si="19"/>
        <v>699.7</v>
      </c>
      <c r="AL16" s="50">
        <f t="shared" si="22"/>
        <v>132.19999999999999</v>
      </c>
      <c r="AM16" s="50">
        <f t="shared" si="11"/>
        <v>168.6</v>
      </c>
      <c r="AN16" s="50">
        <f t="shared" si="20"/>
        <v>1000.5</v>
      </c>
      <c r="AP16" s="51"/>
    </row>
    <row r="17" spans="1:42" ht="27" customHeight="1" x14ac:dyDescent="0.2">
      <c r="A17" s="278">
        <v>9</v>
      </c>
      <c r="B17" s="52" t="s">
        <v>24</v>
      </c>
      <c r="C17" s="54">
        <v>15</v>
      </c>
      <c r="D17" s="53">
        <v>8.5419999999999998</v>
      </c>
      <c r="E17" s="46">
        <f t="shared" si="13"/>
        <v>128.13</v>
      </c>
      <c r="F17" s="47">
        <f t="shared" si="14"/>
        <v>1537.6</v>
      </c>
      <c r="G17" s="24"/>
      <c r="H17" s="24">
        <f>14.25</f>
        <v>14.3</v>
      </c>
      <c r="I17" s="24"/>
      <c r="J17" s="24"/>
      <c r="K17" s="24">
        <f>D17*0.2*8*12+D17*0.25*12+D17*0.05*12+D17*0.3*12</f>
        <v>225.5</v>
      </c>
      <c r="L17" s="24">
        <f t="shared" si="12"/>
        <v>495.4</v>
      </c>
      <c r="M17" s="24">
        <f t="shared" si="0"/>
        <v>2272.8000000000002</v>
      </c>
      <c r="N17" s="48">
        <v>0.4</v>
      </c>
      <c r="O17" s="24">
        <f t="shared" si="1"/>
        <v>909.1</v>
      </c>
      <c r="P17" s="24">
        <f t="shared" si="15"/>
        <v>3181.9</v>
      </c>
      <c r="Q17" s="24">
        <f t="shared" si="16"/>
        <v>2545.5</v>
      </c>
      <c r="R17" s="24">
        <f t="shared" si="2"/>
        <v>2545.5</v>
      </c>
      <c r="S17" s="24">
        <f t="shared" si="17"/>
        <v>264.7</v>
      </c>
      <c r="T17" s="49">
        <f t="shared" si="3"/>
        <v>8537.6</v>
      </c>
      <c r="U17" s="2247"/>
      <c r="V17" s="49">
        <f t="shared" si="18"/>
        <v>8537.6</v>
      </c>
      <c r="W17" s="49">
        <f t="shared" si="21"/>
        <v>2578.4</v>
      </c>
      <c r="X17" s="278">
        <v>10</v>
      </c>
      <c r="Y17" s="24">
        <v>30</v>
      </c>
      <c r="Z17" s="48">
        <f t="shared" si="4"/>
        <v>300</v>
      </c>
      <c r="AA17" s="278">
        <v>3</v>
      </c>
      <c r="AB17" s="24">
        <v>15</v>
      </c>
      <c r="AC17" s="48">
        <f t="shared" si="5"/>
        <v>45</v>
      </c>
      <c r="AD17" s="278">
        <v>2</v>
      </c>
      <c r="AE17" s="24">
        <v>30</v>
      </c>
      <c r="AF17" s="48">
        <f t="shared" si="6"/>
        <v>60</v>
      </c>
      <c r="AG17" s="48">
        <f>(Z17+AC17+AF17)*1%*30</f>
        <v>121.5</v>
      </c>
      <c r="AH17" s="48">
        <f t="shared" si="8"/>
        <v>526.5</v>
      </c>
      <c r="AI17" s="34">
        <f t="shared" si="9"/>
        <v>47431.1</v>
      </c>
      <c r="AJ17" s="34">
        <f t="shared" si="10"/>
        <v>569.20000000000005</v>
      </c>
      <c r="AK17" s="50">
        <f t="shared" si="19"/>
        <v>1878.3</v>
      </c>
      <c r="AL17" s="50">
        <f t="shared" si="22"/>
        <v>396.7</v>
      </c>
      <c r="AM17" s="50">
        <f t="shared" si="11"/>
        <v>452.5</v>
      </c>
      <c r="AN17" s="50">
        <f t="shared" si="20"/>
        <v>2727.5</v>
      </c>
      <c r="AP17" s="51"/>
    </row>
    <row r="18" spans="1:42" ht="27" customHeight="1" x14ac:dyDescent="0.2">
      <c r="A18" s="278">
        <v>10</v>
      </c>
      <c r="B18" s="55" t="s">
        <v>26</v>
      </c>
      <c r="C18" s="56">
        <v>16</v>
      </c>
      <c r="D18" s="53">
        <v>4.3109999999999999</v>
      </c>
      <c r="E18" s="46">
        <f>C18*D18</f>
        <v>68.98</v>
      </c>
      <c r="F18" s="47">
        <f>E18*12</f>
        <v>827.8</v>
      </c>
      <c r="G18" s="24"/>
      <c r="H18" s="24">
        <f>27739.8/1000</f>
        <v>27.7</v>
      </c>
      <c r="I18" s="24"/>
      <c r="J18" s="24"/>
      <c r="K18" s="24"/>
      <c r="L18" s="24">
        <v>390</v>
      </c>
      <c r="M18" s="24">
        <f>F18+G18+H18+I18+J18+K18+L18</f>
        <v>1245.5</v>
      </c>
      <c r="N18" s="48">
        <v>0.75</v>
      </c>
      <c r="O18" s="24">
        <f>M18*N18</f>
        <v>934.1</v>
      </c>
      <c r="P18" s="24">
        <f>M18+O18</f>
        <v>2179.6</v>
      </c>
      <c r="Q18" s="24">
        <f>P18*0.8</f>
        <v>1743.7</v>
      </c>
      <c r="R18" s="24">
        <f>P18*0.8</f>
        <v>1743.7</v>
      </c>
      <c r="S18" s="24">
        <f>(P18+Q18+R18)*0.032</f>
        <v>181.3</v>
      </c>
      <c r="T18" s="49">
        <f>P18+Q18+R18+S18</f>
        <v>5848.3</v>
      </c>
      <c r="U18" s="2247"/>
      <c r="V18" s="49">
        <f>T18*$U$9</f>
        <v>5848.3</v>
      </c>
      <c r="W18" s="49">
        <f t="shared" si="21"/>
        <v>1766.2</v>
      </c>
      <c r="X18" s="278">
        <v>7</v>
      </c>
      <c r="Y18" s="24">
        <v>30</v>
      </c>
      <c r="Z18" s="48">
        <f>X18*Y18</f>
        <v>210</v>
      </c>
      <c r="AA18" s="278">
        <v>2</v>
      </c>
      <c r="AB18" s="24">
        <v>15</v>
      </c>
      <c r="AC18" s="48">
        <f>AA18*AB18</f>
        <v>30</v>
      </c>
      <c r="AD18" s="278">
        <v>1</v>
      </c>
      <c r="AE18" s="24">
        <v>30</v>
      </c>
      <c r="AF18" s="48">
        <f>AD18*AE18</f>
        <v>30</v>
      </c>
      <c r="AG18" s="48">
        <f>(Z18+AC18+AF18)*1%*30</f>
        <v>81</v>
      </c>
      <c r="AH18" s="48">
        <f>Z18+AC18+AF18+AG18</f>
        <v>351</v>
      </c>
      <c r="AI18" s="34">
        <f t="shared" si="9"/>
        <v>30459.9</v>
      </c>
      <c r="AJ18" s="34">
        <f t="shared" si="10"/>
        <v>365.5</v>
      </c>
      <c r="AK18" s="50">
        <f t="shared" si="19"/>
        <v>1286.5999999999999</v>
      </c>
      <c r="AL18" s="50">
        <f t="shared" si="22"/>
        <v>423.2</v>
      </c>
      <c r="AM18" s="50">
        <f t="shared" si="11"/>
        <v>310</v>
      </c>
      <c r="AN18" s="50">
        <f t="shared" si="20"/>
        <v>2019.8</v>
      </c>
      <c r="AP18" s="51"/>
    </row>
    <row r="19" spans="1:42" ht="27" customHeight="1" x14ac:dyDescent="0.2">
      <c r="A19" s="278">
        <v>11</v>
      </c>
      <c r="B19" s="55" t="s">
        <v>50</v>
      </c>
      <c r="C19" s="57">
        <v>2</v>
      </c>
      <c r="D19" s="53">
        <v>8.4730000000000008</v>
      </c>
      <c r="E19" s="46">
        <f t="shared" si="13"/>
        <v>16.95</v>
      </c>
      <c r="F19" s="47">
        <f t="shared" si="14"/>
        <v>203.4</v>
      </c>
      <c r="G19" s="24"/>
      <c r="H19" s="24">
        <f>1652.1/1000</f>
        <v>1.7</v>
      </c>
      <c r="I19" s="24"/>
      <c r="J19" s="24"/>
      <c r="K19" s="24">
        <f>D19*0.25*12+D19*0.2*12</f>
        <v>45.8</v>
      </c>
      <c r="L19" s="24">
        <f t="shared" si="12"/>
        <v>65.5</v>
      </c>
      <c r="M19" s="24">
        <f t="shared" si="0"/>
        <v>316.39999999999998</v>
      </c>
      <c r="N19" s="48">
        <v>0.41</v>
      </c>
      <c r="O19" s="24">
        <f t="shared" si="1"/>
        <v>129.69999999999999</v>
      </c>
      <c r="P19" s="24">
        <f t="shared" si="15"/>
        <v>446.1</v>
      </c>
      <c r="Q19" s="24">
        <f t="shared" si="16"/>
        <v>356.9</v>
      </c>
      <c r="R19" s="24">
        <f t="shared" si="2"/>
        <v>356.9</v>
      </c>
      <c r="S19" s="24">
        <f t="shared" si="17"/>
        <v>37.1</v>
      </c>
      <c r="T19" s="49">
        <f t="shared" si="3"/>
        <v>1197</v>
      </c>
      <c r="U19" s="2247"/>
      <c r="V19" s="49">
        <f t="shared" si="18"/>
        <v>1197</v>
      </c>
      <c r="W19" s="49">
        <f t="shared" si="21"/>
        <v>361.5</v>
      </c>
      <c r="X19" s="278">
        <v>2</v>
      </c>
      <c r="Y19" s="24">
        <v>30</v>
      </c>
      <c r="Z19" s="48">
        <f t="shared" si="4"/>
        <v>60</v>
      </c>
      <c r="AA19" s="278"/>
      <c r="AB19" s="24">
        <v>15</v>
      </c>
      <c r="AC19" s="48">
        <f t="shared" si="5"/>
        <v>0</v>
      </c>
      <c r="AD19" s="278"/>
      <c r="AE19" s="24">
        <v>30</v>
      </c>
      <c r="AF19" s="48">
        <f t="shared" si="6"/>
        <v>0</v>
      </c>
      <c r="AG19" s="48">
        <f t="shared" si="7"/>
        <v>18</v>
      </c>
      <c r="AH19" s="48">
        <f t="shared" si="8"/>
        <v>78</v>
      </c>
      <c r="AI19" s="34">
        <f t="shared" si="9"/>
        <v>49875</v>
      </c>
      <c r="AJ19" s="34">
        <f t="shared" si="10"/>
        <v>598.5</v>
      </c>
      <c r="AK19" s="50">
        <f t="shared" si="19"/>
        <v>263.3</v>
      </c>
      <c r="AL19" s="50">
        <f t="shared" si="22"/>
        <v>52.9</v>
      </c>
      <c r="AM19" s="50">
        <f t="shared" si="11"/>
        <v>63.4</v>
      </c>
      <c r="AN19" s="50">
        <f t="shared" si="20"/>
        <v>379.6</v>
      </c>
      <c r="AP19" s="51"/>
    </row>
    <row r="20" spans="1:42" ht="27" customHeight="1" x14ac:dyDescent="0.2">
      <c r="A20" s="278">
        <v>12</v>
      </c>
      <c r="B20" s="52" t="s">
        <v>18</v>
      </c>
      <c r="C20" s="47">
        <v>1</v>
      </c>
      <c r="D20" s="53">
        <v>8.4730000000000008</v>
      </c>
      <c r="E20" s="46">
        <f t="shared" si="13"/>
        <v>8.4700000000000006</v>
      </c>
      <c r="F20" s="47">
        <f t="shared" si="14"/>
        <v>101.6</v>
      </c>
      <c r="G20" s="24"/>
      <c r="H20" s="24">
        <f>826.1/1000</f>
        <v>0.8</v>
      </c>
      <c r="I20" s="24"/>
      <c r="J20" s="24"/>
      <c r="K20" s="24">
        <f>D20*0.35*12+D20*0.05*9</f>
        <v>39.4</v>
      </c>
      <c r="L20" s="24">
        <f t="shared" si="12"/>
        <v>32.700000000000003</v>
      </c>
      <c r="M20" s="24">
        <f t="shared" si="0"/>
        <v>174.5</v>
      </c>
      <c r="N20" s="48">
        <v>0.41</v>
      </c>
      <c r="O20" s="24">
        <f t="shared" si="1"/>
        <v>71.5</v>
      </c>
      <c r="P20" s="24">
        <f t="shared" si="15"/>
        <v>246</v>
      </c>
      <c r="Q20" s="24">
        <f t="shared" si="16"/>
        <v>196.8</v>
      </c>
      <c r="R20" s="24">
        <f t="shared" si="2"/>
        <v>196.8</v>
      </c>
      <c r="S20" s="24">
        <f t="shared" si="17"/>
        <v>20.5</v>
      </c>
      <c r="T20" s="49">
        <f t="shared" si="3"/>
        <v>660.1</v>
      </c>
      <c r="U20" s="2247"/>
      <c r="V20" s="49">
        <f t="shared" si="18"/>
        <v>660.1</v>
      </c>
      <c r="W20" s="49">
        <f t="shared" si="21"/>
        <v>199.4</v>
      </c>
      <c r="X20" s="278"/>
      <c r="Y20" s="24">
        <v>30</v>
      </c>
      <c r="Z20" s="48">
        <f t="shared" si="4"/>
        <v>0</v>
      </c>
      <c r="AA20" s="278"/>
      <c r="AB20" s="24">
        <v>15</v>
      </c>
      <c r="AC20" s="48">
        <f t="shared" si="5"/>
        <v>0</v>
      </c>
      <c r="AD20" s="278"/>
      <c r="AE20" s="24">
        <v>30</v>
      </c>
      <c r="AF20" s="48">
        <f t="shared" si="6"/>
        <v>0</v>
      </c>
      <c r="AG20" s="48">
        <f t="shared" si="7"/>
        <v>0</v>
      </c>
      <c r="AH20" s="48">
        <f t="shared" si="8"/>
        <v>0</v>
      </c>
      <c r="AI20" s="34">
        <f t="shared" si="9"/>
        <v>55008.3</v>
      </c>
      <c r="AJ20" s="34">
        <f t="shared" si="10"/>
        <v>660.1</v>
      </c>
      <c r="AK20" s="50">
        <f t="shared" si="19"/>
        <v>145.19999999999999</v>
      </c>
      <c r="AL20" s="50">
        <f t="shared" si="22"/>
        <v>26.4</v>
      </c>
      <c r="AM20" s="50">
        <f t="shared" si="11"/>
        <v>35</v>
      </c>
      <c r="AN20" s="50">
        <f t="shared" si="20"/>
        <v>206.6</v>
      </c>
      <c r="AP20" s="51"/>
    </row>
    <row r="21" spans="1:42" ht="27" customHeight="1" x14ac:dyDescent="0.2">
      <c r="A21" s="278">
        <v>13</v>
      </c>
      <c r="B21" s="52" t="s">
        <v>106</v>
      </c>
      <c r="C21" s="47">
        <v>1</v>
      </c>
      <c r="D21" s="53">
        <v>8.4730000000000008</v>
      </c>
      <c r="E21" s="46">
        <f t="shared" si="13"/>
        <v>8.4700000000000006</v>
      </c>
      <c r="F21" s="47">
        <f t="shared" si="14"/>
        <v>101.6</v>
      </c>
      <c r="G21" s="24"/>
      <c r="H21" s="24">
        <f>917.9/1000</f>
        <v>0.9</v>
      </c>
      <c r="I21" s="24"/>
      <c r="J21" s="24"/>
      <c r="K21" s="24"/>
      <c r="L21" s="24">
        <f t="shared" si="12"/>
        <v>32.700000000000003</v>
      </c>
      <c r="M21" s="24">
        <f t="shared" si="0"/>
        <v>135.19999999999999</v>
      </c>
      <c r="N21" s="48">
        <v>0.47</v>
      </c>
      <c r="O21" s="24">
        <f t="shared" si="1"/>
        <v>63.5</v>
      </c>
      <c r="P21" s="24">
        <f t="shared" si="15"/>
        <v>198.7</v>
      </c>
      <c r="Q21" s="24">
        <f t="shared" si="16"/>
        <v>159</v>
      </c>
      <c r="R21" s="24">
        <f t="shared" si="2"/>
        <v>159</v>
      </c>
      <c r="S21" s="24">
        <f t="shared" si="17"/>
        <v>16.5</v>
      </c>
      <c r="T21" s="49">
        <f t="shared" si="3"/>
        <v>533.20000000000005</v>
      </c>
      <c r="U21" s="2247"/>
      <c r="V21" s="49">
        <f t="shared" si="18"/>
        <v>533.20000000000005</v>
      </c>
      <c r="W21" s="49">
        <f t="shared" si="21"/>
        <v>161</v>
      </c>
      <c r="X21" s="278"/>
      <c r="Y21" s="24">
        <v>30</v>
      </c>
      <c r="Z21" s="48">
        <f t="shared" si="4"/>
        <v>0</v>
      </c>
      <c r="AA21" s="278"/>
      <c r="AB21" s="24">
        <v>15</v>
      </c>
      <c r="AC21" s="48">
        <f t="shared" si="5"/>
        <v>0</v>
      </c>
      <c r="AD21" s="278"/>
      <c r="AE21" s="24">
        <v>30</v>
      </c>
      <c r="AF21" s="48">
        <f t="shared" si="6"/>
        <v>0</v>
      </c>
      <c r="AG21" s="48">
        <f t="shared" si="7"/>
        <v>0</v>
      </c>
      <c r="AH21" s="48">
        <f t="shared" si="8"/>
        <v>0</v>
      </c>
      <c r="AI21" s="34">
        <f t="shared" si="9"/>
        <v>44433.3</v>
      </c>
      <c r="AJ21" s="34">
        <f t="shared" si="10"/>
        <v>533.20000000000005</v>
      </c>
      <c r="AK21" s="50">
        <f t="shared" si="19"/>
        <v>117.3</v>
      </c>
      <c r="AL21" s="50">
        <f t="shared" si="22"/>
        <v>26.4</v>
      </c>
      <c r="AM21" s="50">
        <f t="shared" si="11"/>
        <v>28.3</v>
      </c>
      <c r="AN21" s="50">
        <f t="shared" si="20"/>
        <v>172</v>
      </c>
      <c r="AP21" s="51"/>
    </row>
    <row r="22" spans="1:42" ht="23.25" customHeight="1" x14ac:dyDescent="0.2">
      <c r="A22" s="278">
        <v>14</v>
      </c>
      <c r="B22" s="52" t="s">
        <v>29</v>
      </c>
      <c r="C22" s="57">
        <v>1</v>
      </c>
      <c r="D22" s="53">
        <v>8.4730000000000008</v>
      </c>
      <c r="E22" s="46">
        <f>C22*D22</f>
        <v>8.4700000000000006</v>
      </c>
      <c r="F22" s="47">
        <f>E22*12</f>
        <v>101.6</v>
      </c>
      <c r="G22" s="24"/>
      <c r="H22" s="24">
        <f>1239.1/1000</f>
        <v>1.2</v>
      </c>
      <c r="I22" s="24"/>
      <c r="J22" s="24"/>
      <c r="K22" s="24">
        <f>D22*0.4*12</f>
        <v>40.700000000000003</v>
      </c>
      <c r="L22" s="24">
        <f t="shared" si="12"/>
        <v>32.700000000000003</v>
      </c>
      <c r="M22" s="24">
        <f>F22+G22+H22+I22+J22+K22+L22</f>
        <v>176.2</v>
      </c>
      <c r="N22" s="48">
        <v>0.41</v>
      </c>
      <c r="O22" s="24">
        <f t="shared" si="1"/>
        <v>72.2</v>
      </c>
      <c r="P22" s="24">
        <f t="shared" si="15"/>
        <v>248.4</v>
      </c>
      <c r="Q22" s="24">
        <f t="shared" si="16"/>
        <v>198.7</v>
      </c>
      <c r="R22" s="24">
        <f t="shared" si="2"/>
        <v>198.7</v>
      </c>
      <c r="S22" s="24">
        <f t="shared" si="17"/>
        <v>20.7</v>
      </c>
      <c r="T22" s="49">
        <f t="shared" si="3"/>
        <v>666.5</v>
      </c>
      <c r="U22" s="2247"/>
      <c r="V22" s="49">
        <f t="shared" si="18"/>
        <v>666.5</v>
      </c>
      <c r="W22" s="49">
        <f t="shared" si="21"/>
        <v>201.3</v>
      </c>
      <c r="X22" s="278">
        <v>2</v>
      </c>
      <c r="Y22" s="24">
        <v>30</v>
      </c>
      <c r="Z22" s="48">
        <f t="shared" si="4"/>
        <v>60</v>
      </c>
      <c r="AA22" s="278">
        <v>1</v>
      </c>
      <c r="AB22" s="24">
        <v>15</v>
      </c>
      <c r="AC22" s="48">
        <f t="shared" si="5"/>
        <v>15</v>
      </c>
      <c r="AD22" s="278"/>
      <c r="AE22" s="24">
        <v>30</v>
      </c>
      <c r="AF22" s="48">
        <f t="shared" si="6"/>
        <v>0</v>
      </c>
      <c r="AG22" s="48">
        <f t="shared" si="7"/>
        <v>22.5</v>
      </c>
      <c r="AH22" s="48">
        <f t="shared" si="8"/>
        <v>97.5</v>
      </c>
      <c r="AI22" s="34">
        <f t="shared" si="9"/>
        <v>55541.7</v>
      </c>
      <c r="AJ22" s="34">
        <f t="shared" si="10"/>
        <v>666.5</v>
      </c>
      <c r="AK22" s="50">
        <f t="shared" si="19"/>
        <v>146.6</v>
      </c>
      <c r="AL22" s="50">
        <f t="shared" si="22"/>
        <v>26.4</v>
      </c>
      <c r="AM22" s="50">
        <f t="shared" si="11"/>
        <v>35.299999999999997</v>
      </c>
      <c r="AN22" s="50">
        <f t="shared" si="20"/>
        <v>208.3</v>
      </c>
      <c r="AP22" s="51"/>
    </row>
    <row r="23" spans="1:42" ht="23.25" customHeight="1" x14ac:dyDescent="0.2">
      <c r="A23" s="278">
        <v>15</v>
      </c>
      <c r="B23" s="52" t="s">
        <v>20</v>
      </c>
      <c r="C23" s="47">
        <v>0.5</v>
      </c>
      <c r="D23" s="53">
        <v>8.4730000000000008</v>
      </c>
      <c r="E23" s="46">
        <f>C23*D23</f>
        <v>4.24</v>
      </c>
      <c r="F23" s="47">
        <f>E23*12</f>
        <v>50.9</v>
      </c>
      <c r="G23" s="24"/>
      <c r="H23" s="24"/>
      <c r="I23" s="24"/>
      <c r="J23" s="24"/>
      <c r="K23" s="24"/>
      <c r="L23" s="24">
        <f t="shared" si="12"/>
        <v>16.399999999999999</v>
      </c>
      <c r="M23" s="24">
        <f>F23+G23+H23+I23+J23+K23+L23</f>
        <v>67.3</v>
      </c>
      <c r="N23" s="48">
        <v>0.41</v>
      </c>
      <c r="O23" s="24">
        <f t="shared" si="1"/>
        <v>27.6</v>
      </c>
      <c r="P23" s="24">
        <f t="shared" si="15"/>
        <v>94.9</v>
      </c>
      <c r="Q23" s="24">
        <f t="shared" si="16"/>
        <v>75.900000000000006</v>
      </c>
      <c r="R23" s="24">
        <f t="shared" si="2"/>
        <v>75.900000000000006</v>
      </c>
      <c r="S23" s="24">
        <f t="shared" si="17"/>
        <v>7.9</v>
      </c>
      <c r="T23" s="49">
        <f t="shared" si="3"/>
        <v>254.6</v>
      </c>
      <c r="U23" s="2247"/>
      <c r="V23" s="49">
        <f t="shared" si="18"/>
        <v>254.6</v>
      </c>
      <c r="W23" s="49">
        <f t="shared" si="21"/>
        <v>76.900000000000006</v>
      </c>
      <c r="X23" s="278"/>
      <c r="Y23" s="24">
        <v>30</v>
      </c>
      <c r="Z23" s="48">
        <f t="shared" si="4"/>
        <v>0</v>
      </c>
      <c r="AA23" s="278"/>
      <c r="AB23" s="24">
        <v>15</v>
      </c>
      <c r="AC23" s="48">
        <f t="shared" si="5"/>
        <v>0</v>
      </c>
      <c r="AD23" s="278"/>
      <c r="AE23" s="24">
        <v>30</v>
      </c>
      <c r="AF23" s="48">
        <f t="shared" si="6"/>
        <v>0</v>
      </c>
      <c r="AG23" s="48">
        <f t="shared" si="7"/>
        <v>0</v>
      </c>
      <c r="AH23" s="48">
        <f t="shared" si="8"/>
        <v>0</v>
      </c>
      <c r="AI23" s="34">
        <f t="shared" si="9"/>
        <v>42433.3</v>
      </c>
      <c r="AJ23" s="34">
        <f t="shared" si="10"/>
        <v>509.2</v>
      </c>
      <c r="AK23" s="50">
        <f t="shared" si="19"/>
        <v>56</v>
      </c>
      <c r="AL23" s="50">
        <f t="shared" si="22"/>
        <v>13.2</v>
      </c>
      <c r="AM23" s="50">
        <f t="shared" si="11"/>
        <v>13.5</v>
      </c>
      <c r="AN23" s="50">
        <f t="shared" si="20"/>
        <v>82.7</v>
      </c>
      <c r="AP23" s="51"/>
    </row>
    <row r="24" spans="1:42" ht="23.25" customHeight="1" x14ac:dyDescent="0.2">
      <c r="A24" s="278">
        <v>16</v>
      </c>
      <c r="B24" s="52" t="s">
        <v>30</v>
      </c>
      <c r="C24" s="57">
        <v>2</v>
      </c>
      <c r="D24" s="53">
        <v>8.4730000000000008</v>
      </c>
      <c r="E24" s="46">
        <f>C24*D24</f>
        <v>16.95</v>
      </c>
      <c r="F24" s="47">
        <f>E24*12</f>
        <v>203.4</v>
      </c>
      <c r="G24" s="24"/>
      <c r="H24" s="24">
        <f>1652.1/1000</f>
        <v>1.7</v>
      </c>
      <c r="I24" s="24"/>
      <c r="J24" s="24"/>
      <c r="K24" s="24">
        <f>D24*0.3*12+D24*0.25*12+D24*0.05*1</f>
        <v>56.3</v>
      </c>
      <c r="L24" s="24">
        <f t="shared" si="12"/>
        <v>65.5</v>
      </c>
      <c r="M24" s="24">
        <f>F24+G24+H24+I24+J24+K24+L24</f>
        <v>326.89999999999998</v>
      </c>
      <c r="N24" s="48">
        <v>0.41</v>
      </c>
      <c r="O24" s="24">
        <f t="shared" si="1"/>
        <v>134</v>
      </c>
      <c r="P24" s="24">
        <f t="shared" si="15"/>
        <v>460.9</v>
      </c>
      <c r="Q24" s="24">
        <f t="shared" si="16"/>
        <v>368.7</v>
      </c>
      <c r="R24" s="24">
        <f t="shared" si="2"/>
        <v>368.7</v>
      </c>
      <c r="S24" s="24">
        <f t="shared" si="17"/>
        <v>38.299999999999997</v>
      </c>
      <c r="T24" s="49">
        <f t="shared" si="3"/>
        <v>1236.5999999999999</v>
      </c>
      <c r="U24" s="2247"/>
      <c r="V24" s="49">
        <f t="shared" si="18"/>
        <v>1236.5999999999999</v>
      </c>
      <c r="W24" s="49">
        <f t="shared" si="21"/>
        <v>373.5</v>
      </c>
      <c r="X24" s="278"/>
      <c r="Y24" s="24">
        <v>30</v>
      </c>
      <c r="Z24" s="48">
        <f t="shared" si="4"/>
        <v>0</v>
      </c>
      <c r="AA24" s="278"/>
      <c r="AB24" s="24">
        <v>15</v>
      </c>
      <c r="AC24" s="48">
        <f t="shared" si="5"/>
        <v>0</v>
      </c>
      <c r="AD24" s="278"/>
      <c r="AE24" s="24">
        <v>30</v>
      </c>
      <c r="AF24" s="48">
        <f t="shared" si="6"/>
        <v>0</v>
      </c>
      <c r="AG24" s="48">
        <f t="shared" si="7"/>
        <v>0</v>
      </c>
      <c r="AH24" s="48">
        <f t="shared" si="8"/>
        <v>0</v>
      </c>
      <c r="AI24" s="34">
        <f t="shared" si="9"/>
        <v>51525</v>
      </c>
      <c r="AJ24" s="34">
        <f t="shared" si="10"/>
        <v>618.29999999999995</v>
      </c>
      <c r="AK24" s="50">
        <f t="shared" si="19"/>
        <v>272.10000000000002</v>
      </c>
      <c r="AL24" s="50">
        <f t="shared" si="22"/>
        <v>52.9</v>
      </c>
      <c r="AM24" s="50">
        <f t="shared" si="11"/>
        <v>65.5</v>
      </c>
      <c r="AN24" s="50">
        <f t="shared" si="20"/>
        <v>390.5</v>
      </c>
      <c r="AP24" s="51"/>
    </row>
    <row r="25" spans="1:42" ht="27" customHeight="1" x14ac:dyDescent="0.2">
      <c r="A25" s="278">
        <v>17</v>
      </c>
      <c r="B25" s="52" t="s">
        <v>33</v>
      </c>
      <c r="C25" s="57">
        <v>1</v>
      </c>
      <c r="D25" s="53">
        <v>8.4730000000000008</v>
      </c>
      <c r="E25" s="46">
        <f t="shared" si="13"/>
        <v>8.4700000000000006</v>
      </c>
      <c r="F25" s="47">
        <f t="shared" si="14"/>
        <v>101.6</v>
      </c>
      <c r="G25" s="24"/>
      <c r="H25" s="24">
        <f>826.1/1000</f>
        <v>0.8</v>
      </c>
      <c r="I25" s="24"/>
      <c r="J25" s="24"/>
      <c r="K25" s="24">
        <f>F25*0.2</f>
        <v>20.3</v>
      </c>
      <c r="L25" s="24">
        <f t="shared" si="12"/>
        <v>32.700000000000003</v>
      </c>
      <c r="M25" s="24">
        <f>F25+G25+H25+I25+J25+K25+L25</f>
        <v>155.4</v>
      </c>
      <c r="N25" s="48">
        <v>0.41</v>
      </c>
      <c r="O25" s="24">
        <f t="shared" si="1"/>
        <v>63.7</v>
      </c>
      <c r="P25" s="24">
        <f t="shared" si="15"/>
        <v>219.1</v>
      </c>
      <c r="Q25" s="24">
        <f t="shared" si="16"/>
        <v>175.3</v>
      </c>
      <c r="R25" s="24">
        <f t="shared" si="2"/>
        <v>175.3</v>
      </c>
      <c r="S25" s="24">
        <f t="shared" si="17"/>
        <v>18.2</v>
      </c>
      <c r="T25" s="49">
        <f t="shared" si="3"/>
        <v>587.9</v>
      </c>
      <c r="U25" s="2247"/>
      <c r="V25" s="49">
        <f t="shared" si="18"/>
        <v>587.9</v>
      </c>
      <c r="W25" s="49">
        <f t="shared" si="21"/>
        <v>177.5</v>
      </c>
      <c r="X25" s="278"/>
      <c r="Y25" s="24">
        <v>30</v>
      </c>
      <c r="Z25" s="48">
        <f t="shared" si="4"/>
        <v>0</v>
      </c>
      <c r="AA25" s="278"/>
      <c r="AB25" s="24">
        <v>15</v>
      </c>
      <c r="AC25" s="48">
        <f t="shared" si="5"/>
        <v>0</v>
      </c>
      <c r="AD25" s="278"/>
      <c r="AE25" s="24">
        <v>30</v>
      </c>
      <c r="AF25" s="48">
        <f t="shared" si="6"/>
        <v>0</v>
      </c>
      <c r="AG25" s="48">
        <f t="shared" si="7"/>
        <v>0</v>
      </c>
      <c r="AH25" s="48">
        <f t="shared" si="8"/>
        <v>0</v>
      </c>
      <c r="AI25" s="34">
        <f t="shared" si="9"/>
        <v>48991.7</v>
      </c>
      <c r="AJ25" s="34">
        <f t="shared" si="10"/>
        <v>587.9</v>
      </c>
      <c r="AK25" s="50">
        <f t="shared" si="19"/>
        <v>129.30000000000001</v>
      </c>
      <c r="AL25" s="50">
        <f t="shared" si="22"/>
        <v>26.4</v>
      </c>
      <c r="AM25" s="50">
        <f t="shared" si="11"/>
        <v>31.2</v>
      </c>
      <c r="AN25" s="50">
        <f t="shared" si="20"/>
        <v>186.9</v>
      </c>
      <c r="AP25" s="51"/>
    </row>
    <row r="26" spans="1:42" ht="27" customHeight="1" x14ac:dyDescent="0.2">
      <c r="A26" s="278">
        <v>18</v>
      </c>
      <c r="B26" s="55" t="s">
        <v>92</v>
      </c>
      <c r="C26" s="56">
        <v>3</v>
      </c>
      <c r="D26" s="53">
        <v>4.3769999999999998</v>
      </c>
      <c r="E26" s="46">
        <f t="shared" si="13"/>
        <v>13.13</v>
      </c>
      <c r="F26" s="47">
        <f t="shared" si="14"/>
        <v>157.6</v>
      </c>
      <c r="G26" s="24"/>
      <c r="H26" s="24">
        <f>7681.2/1000</f>
        <v>7.7</v>
      </c>
      <c r="I26" s="24"/>
      <c r="J26" s="24"/>
      <c r="K26" s="24"/>
      <c r="L26" s="24">
        <v>105</v>
      </c>
      <c r="M26" s="24">
        <f t="shared" si="0"/>
        <v>270.3</v>
      </c>
      <c r="N26" s="48">
        <v>0.47</v>
      </c>
      <c r="O26" s="24">
        <f t="shared" si="1"/>
        <v>127</v>
      </c>
      <c r="P26" s="24">
        <f t="shared" si="15"/>
        <v>397.3</v>
      </c>
      <c r="Q26" s="24">
        <f t="shared" si="16"/>
        <v>317.8</v>
      </c>
      <c r="R26" s="24">
        <f t="shared" si="2"/>
        <v>317.8</v>
      </c>
      <c r="S26" s="24">
        <f t="shared" si="17"/>
        <v>33.1</v>
      </c>
      <c r="T26" s="49">
        <f t="shared" si="3"/>
        <v>1066</v>
      </c>
      <c r="U26" s="2247"/>
      <c r="V26" s="49">
        <f>T26*$U$9</f>
        <v>1066</v>
      </c>
      <c r="W26" s="49">
        <f t="shared" si="21"/>
        <v>321.89999999999998</v>
      </c>
      <c r="X26" s="278"/>
      <c r="Y26" s="24">
        <v>30</v>
      </c>
      <c r="Z26" s="48">
        <f>X26*Y26</f>
        <v>0</v>
      </c>
      <c r="AA26" s="278"/>
      <c r="AB26" s="24">
        <v>15</v>
      </c>
      <c r="AC26" s="48">
        <f>AA26*AB26</f>
        <v>0</v>
      </c>
      <c r="AD26" s="278"/>
      <c r="AE26" s="24">
        <v>30</v>
      </c>
      <c r="AF26" s="48">
        <f>AD26*AE26</f>
        <v>0</v>
      </c>
      <c r="AG26" s="48">
        <f>(Z26+AC26+AF26)*1%*30</f>
        <v>0</v>
      </c>
      <c r="AH26" s="48">
        <f>Z26+AC26+AF26+AG26</f>
        <v>0</v>
      </c>
      <c r="AI26" s="34">
        <f t="shared" si="9"/>
        <v>29611.1</v>
      </c>
      <c r="AJ26" s="34">
        <f t="shared" si="10"/>
        <v>355.3</v>
      </c>
      <c r="AK26" s="50">
        <f t="shared" si="19"/>
        <v>234.5</v>
      </c>
      <c r="AL26" s="50">
        <f t="shared" si="22"/>
        <v>79.3</v>
      </c>
      <c r="AM26" s="50">
        <f t="shared" si="11"/>
        <v>56.5</v>
      </c>
      <c r="AN26" s="50">
        <f t="shared" si="20"/>
        <v>370.3</v>
      </c>
      <c r="AP26" s="51"/>
    </row>
    <row r="27" spans="1:42" ht="27" customHeight="1" x14ac:dyDescent="0.2">
      <c r="A27" s="278">
        <v>19</v>
      </c>
      <c r="B27" s="44" t="s">
        <v>102</v>
      </c>
      <c r="C27" s="58">
        <v>2</v>
      </c>
      <c r="D27" s="53">
        <v>4.3769999999999998</v>
      </c>
      <c r="E27" s="46">
        <f t="shared" si="13"/>
        <v>8.75</v>
      </c>
      <c r="F27" s="47">
        <f t="shared" si="14"/>
        <v>105</v>
      </c>
      <c r="G27" s="24"/>
      <c r="H27" s="24">
        <f>948.3/1000</f>
        <v>0.9</v>
      </c>
      <c r="I27" s="24"/>
      <c r="J27" s="24"/>
      <c r="K27" s="24"/>
      <c r="L27" s="24">
        <v>72</v>
      </c>
      <c r="M27" s="24">
        <f t="shared" si="0"/>
        <v>177.9</v>
      </c>
      <c r="N27" s="48">
        <v>0.49</v>
      </c>
      <c r="O27" s="24">
        <f t="shared" si="1"/>
        <v>87.2</v>
      </c>
      <c r="P27" s="24">
        <f t="shared" si="15"/>
        <v>265.10000000000002</v>
      </c>
      <c r="Q27" s="24">
        <f t="shared" si="16"/>
        <v>212.1</v>
      </c>
      <c r="R27" s="24">
        <f t="shared" si="2"/>
        <v>212.1</v>
      </c>
      <c r="S27" s="24">
        <f t="shared" si="17"/>
        <v>22.1</v>
      </c>
      <c r="T27" s="49">
        <f t="shared" si="3"/>
        <v>711.4</v>
      </c>
      <c r="U27" s="2247"/>
      <c r="V27" s="49">
        <f>T27*$U$9-0.2</f>
        <v>711.2</v>
      </c>
      <c r="W27" s="49">
        <f>V27*0.302</f>
        <v>214.8</v>
      </c>
      <c r="X27" s="278"/>
      <c r="Y27" s="24">
        <v>30</v>
      </c>
      <c r="Z27" s="48">
        <f>X27*Y27</f>
        <v>0</v>
      </c>
      <c r="AA27" s="278"/>
      <c r="AB27" s="24">
        <v>15</v>
      </c>
      <c r="AC27" s="48">
        <f>AA27*AB27</f>
        <v>0</v>
      </c>
      <c r="AD27" s="278"/>
      <c r="AE27" s="24">
        <v>30</v>
      </c>
      <c r="AF27" s="48">
        <f>AD27*AE27</f>
        <v>0</v>
      </c>
      <c r="AG27" s="48">
        <f>(Z27+AC27+AF27)*1%*30</f>
        <v>0</v>
      </c>
      <c r="AH27" s="48">
        <f>Z27+AC27+AF27+AG27</f>
        <v>0</v>
      </c>
      <c r="AI27" s="34">
        <f t="shared" si="9"/>
        <v>29633.3</v>
      </c>
      <c r="AJ27" s="34">
        <f t="shared" si="10"/>
        <v>355.6</v>
      </c>
      <c r="AK27" s="50">
        <f t="shared" si="19"/>
        <v>156.5</v>
      </c>
      <c r="AL27" s="50">
        <f t="shared" si="22"/>
        <v>52.9</v>
      </c>
      <c r="AM27" s="50">
        <f t="shared" si="11"/>
        <v>37.700000000000003</v>
      </c>
      <c r="AN27" s="50">
        <f t="shared" si="20"/>
        <v>247.1</v>
      </c>
      <c r="AP27" s="51"/>
    </row>
    <row r="28" spans="1:42" s="62" customFormat="1" ht="20.25" customHeight="1" x14ac:dyDescent="0.2">
      <c r="A28" s="2248" t="s">
        <v>97</v>
      </c>
      <c r="B28" s="2249"/>
      <c r="C28" s="59">
        <f t="shared" ref="C28:AH28" si="25">SUM(C9:C27)</f>
        <v>64.5</v>
      </c>
      <c r="D28" s="25">
        <f t="shared" si="25"/>
        <v>181.9</v>
      </c>
      <c r="E28" s="25">
        <f t="shared" si="25"/>
        <v>527.5</v>
      </c>
      <c r="F28" s="25">
        <f t="shared" si="25"/>
        <v>6321.7</v>
      </c>
      <c r="G28" s="25">
        <f t="shared" si="25"/>
        <v>0</v>
      </c>
      <c r="H28" s="25">
        <f>SUM(H9:H27)</f>
        <v>74.400000000000006</v>
      </c>
      <c r="I28" s="25">
        <f t="shared" si="25"/>
        <v>0</v>
      </c>
      <c r="J28" s="25">
        <f t="shared" si="25"/>
        <v>0</v>
      </c>
      <c r="K28" s="25">
        <f t="shared" si="25"/>
        <v>1143.7</v>
      </c>
      <c r="L28" s="25">
        <f t="shared" si="25"/>
        <v>2252.1999999999998</v>
      </c>
      <c r="M28" s="25">
        <f t="shared" si="25"/>
        <v>9792</v>
      </c>
      <c r="N28" s="25">
        <f t="shared" si="25"/>
        <v>9.1999999999999993</v>
      </c>
      <c r="O28" s="25">
        <f t="shared" si="25"/>
        <v>4877.3</v>
      </c>
      <c r="P28" s="25">
        <f t="shared" si="25"/>
        <v>14669.3</v>
      </c>
      <c r="Q28" s="25">
        <f t="shared" si="25"/>
        <v>11735.5</v>
      </c>
      <c r="R28" s="25">
        <f t="shared" si="25"/>
        <v>11735.5</v>
      </c>
      <c r="S28" s="25">
        <f t="shared" si="25"/>
        <v>1220.3</v>
      </c>
      <c r="T28" s="25">
        <f t="shared" si="25"/>
        <v>39360.6</v>
      </c>
      <c r="U28" s="25">
        <f t="shared" si="25"/>
        <v>1</v>
      </c>
      <c r="V28" s="25">
        <f t="shared" si="25"/>
        <v>39360.400000000001</v>
      </c>
      <c r="W28" s="25">
        <f>SUM(W9:W27)</f>
        <v>11654.6</v>
      </c>
      <c r="X28" s="25">
        <f t="shared" si="25"/>
        <v>29</v>
      </c>
      <c r="Y28" s="25">
        <f t="shared" si="25"/>
        <v>570</v>
      </c>
      <c r="Z28" s="25">
        <f t="shared" si="25"/>
        <v>870</v>
      </c>
      <c r="AA28" s="25">
        <f t="shared" si="25"/>
        <v>12</v>
      </c>
      <c r="AB28" s="25">
        <f t="shared" si="25"/>
        <v>285</v>
      </c>
      <c r="AC28" s="25">
        <f t="shared" si="25"/>
        <v>180</v>
      </c>
      <c r="AD28" s="25">
        <f t="shared" si="25"/>
        <v>8</v>
      </c>
      <c r="AE28" s="25">
        <f t="shared" si="25"/>
        <v>570</v>
      </c>
      <c r="AF28" s="25">
        <f t="shared" si="25"/>
        <v>240</v>
      </c>
      <c r="AG28" s="25">
        <f t="shared" si="25"/>
        <v>387</v>
      </c>
      <c r="AH28" s="25">
        <f t="shared" si="25"/>
        <v>1677</v>
      </c>
      <c r="AI28" s="60"/>
      <c r="AJ28" s="61"/>
      <c r="AN28" s="60">
        <f>SUM(AN9:AN27)</f>
        <v>12276.5</v>
      </c>
    </row>
    <row r="29" spans="1:42" s="62" customFormat="1" ht="20.25" customHeight="1" x14ac:dyDescent="0.2">
      <c r="A29" s="63"/>
      <c r="B29" s="63"/>
      <c r="C29" s="26"/>
      <c r="D29" s="26"/>
      <c r="E29" s="26"/>
      <c r="F29" s="26"/>
      <c r="G29" s="26"/>
      <c r="H29" s="26"/>
      <c r="I29" s="26"/>
      <c r="J29" s="26"/>
      <c r="K29" s="26"/>
      <c r="L29" s="26"/>
      <c r="M29" s="26"/>
      <c r="N29" s="26"/>
      <c r="O29" s="26"/>
      <c r="P29" s="26"/>
      <c r="Q29" s="26"/>
      <c r="R29" s="26"/>
      <c r="S29" s="26"/>
      <c r="T29" s="26"/>
      <c r="U29" s="64"/>
      <c r="V29" s="65"/>
      <c r="W29" s="66"/>
      <c r="X29" s="65"/>
      <c r="Y29" s="65"/>
      <c r="Z29" s="65"/>
      <c r="AA29" s="65"/>
      <c r="AB29" s="65"/>
      <c r="AC29" s="65"/>
      <c r="AD29" s="65"/>
      <c r="AE29" s="65"/>
      <c r="AF29" s="65"/>
      <c r="AG29" s="65"/>
      <c r="AH29" s="65"/>
      <c r="AI29" s="67"/>
      <c r="AJ29" s="61"/>
    </row>
    <row r="30" spans="1:42" s="62" customFormat="1" ht="14.25" x14ac:dyDescent="0.2">
      <c r="A30" s="68"/>
      <c r="B30" s="63"/>
      <c r="C30" s="26"/>
      <c r="D30" s="26"/>
      <c r="E30" s="26"/>
      <c r="F30" s="26"/>
      <c r="G30" s="26"/>
      <c r="H30" s="26"/>
      <c r="I30" s="26"/>
      <c r="J30" s="26"/>
      <c r="K30" s="26"/>
      <c r="L30" s="26"/>
      <c r="M30" s="26"/>
      <c r="N30" s="26"/>
      <c r="O30" s="26"/>
      <c r="P30" s="26"/>
      <c r="Q30" s="26"/>
      <c r="R30" s="26"/>
      <c r="S30" s="26"/>
      <c r="T30" s="26"/>
      <c r="U30" s="64"/>
      <c r="V30" s="69"/>
      <c r="W30" s="69"/>
      <c r="X30" s="65"/>
      <c r="Y30" s="65"/>
      <c r="Z30" s="65"/>
      <c r="AA30" s="65"/>
      <c r="AB30" s="65"/>
      <c r="AC30" s="65"/>
      <c r="AD30" s="65"/>
      <c r="AE30" s="65"/>
      <c r="AF30" s="65"/>
      <c r="AG30" s="65"/>
      <c r="AH30" s="65"/>
      <c r="AI30" s="67"/>
      <c r="AJ30" s="61"/>
    </row>
    <row r="31" spans="1:42" s="75" customFormat="1" ht="15" x14ac:dyDescent="0.2">
      <c r="A31" s="70"/>
      <c r="B31" s="70"/>
      <c r="C31" s="71"/>
      <c r="D31" s="72"/>
      <c r="E31" s="72"/>
      <c r="F31" s="72"/>
      <c r="G31" s="72"/>
      <c r="H31" s="73"/>
      <c r="I31" s="73"/>
      <c r="J31" s="27"/>
      <c r="K31" s="27"/>
      <c r="L31" s="27"/>
      <c r="M31" s="27"/>
      <c r="N31" s="74"/>
      <c r="O31" s="27"/>
      <c r="P31" s="27"/>
      <c r="Q31" s="27"/>
      <c r="R31" s="27"/>
      <c r="S31" s="27"/>
      <c r="T31" s="27"/>
      <c r="U31" s="27"/>
      <c r="V31" s="27"/>
      <c r="W31" s="27"/>
      <c r="X31" s="27"/>
      <c r="Y31" s="27"/>
      <c r="Z31" s="27"/>
      <c r="AA31" s="27"/>
      <c r="AB31" s="27"/>
      <c r="AC31" s="27"/>
      <c r="AD31" s="27"/>
      <c r="AE31" s="27"/>
      <c r="AF31" s="27"/>
      <c r="AG31" s="27"/>
      <c r="AH31" s="27"/>
      <c r="AI31" s="27"/>
      <c r="AK31" s="76"/>
      <c r="AL31" s="76"/>
      <c r="AM31" s="76"/>
      <c r="AN31" s="76"/>
      <c r="AO31" s="76"/>
    </row>
    <row r="32" spans="1:42" s="75" customFormat="1" ht="39.75" customHeight="1" x14ac:dyDescent="0.2">
      <c r="A32" s="70"/>
      <c r="B32" s="70"/>
      <c r="C32" s="71"/>
      <c r="D32" s="77"/>
      <c r="E32" s="77"/>
      <c r="F32" s="27"/>
      <c r="G32" s="2244" t="s">
        <v>140</v>
      </c>
      <c r="H32" s="2244"/>
      <c r="I32" s="2240" t="s">
        <v>141</v>
      </c>
      <c r="J32" s="2241"/>
      <c r="K32" s="2240" t="s">
        <v>128</v>
      </c>
      <c r="L32" s="2241"/>
      <c r="M32" s="70"/>
      <c r="N32" s="70"/>
      <c r="O32" s="70"/>
      <c r="P32" s="70"/>
      <c r="Q32" s="27"/>
      <c r="R32" s="27"/>
      <c r="S32" s="27"/>
      <c r="T32" s="27"/>
      <c r="U32" s="27"/>
      <c r="V32" s="27"/>
      <c r="W32" s="27"/>
      <c r="X32" s="27"/>
      <c r="Y32" s="27"/>
      <c r="Z32" s="27"/>
      <c r="AA32" s="27"/>
      <c r="AB32" s="27"/>
      <c r="AC32" s="27"/>
      <c r="AD32" s="27"/>
      <c r="AE32" s="27"/>
      <c r="AF32" s="27"/>
      <c r="AG32" s="27"/>
      <c r="AH32" s="27"/>
      <c r="AI32" s="27"/>
      <c r="AK32" s="76"/>
      <c r="AL32" s="76"/>
      <c r="AM32" s="76"/>
      <c r="AN32" s="76"/>
      <c r="AO32" s="76"/>
    </row>
    <row r="33" spans="1:41" s="75" customFormat="1" ht="15" x14ac:dyDescent="0.2">
      <c r="A33" s="70"/>
      <c r="B33" s="70"/>
      <c r="C33" s="71"/>
      <c r="D33" s="77"/>
      <c r="E33" s="77"/>
      <c r="F33" s="27"/>
      <c r="G33" s="279">
        <v>991</v>
      </c>
      <c r="H33" s="279">
        <v>992</v>
      </c>
      <c r="I33" s="279">
        <v>991</v>
      </c>
      <c r="J33" s="279">
        <v>992</v>
      </c>
      <c r="K33" s="279">
        <v>991</v>
      </c>
      <c r="L33" s="279">
        <v>992</v>
      </c>
      <c r="M33" s="79"/>
      <c r="N33" s="79"/>
      <c r="O33" s="79"/>
      <c r="P33" s="79"/>
      <c r="Q33" s="27"/>
      <c r="R33" s="27"/>
      <c r="S33" s="27"/>
      <c r="T33" s="27"/>
      <c r="U33" s="27"/>
      <c r="V33" s="27"/>
      <c r="W33" s="27"/>
      <c r="X33" s="27"/>
      <c r="Y33" s="27"/>
      <c r="Z33" s="27"/>
      <c r="AA33" s="27"/>
      <c r="AB33" s="27"/>
      <c r="AC33" s="27"/>
      <c r="AD33" s="27"/>
      <c r="AE33" s="27"/>
      <c r="AF33" s="27"/>
      <c r="AG33" s="27"/>
      <c r="AH33" s="27"/>
      <c r="AI33" s="27"/>
      <c r="AK33" s="76"/>
      <c r="AL33" s="76"/>
      <c r="AM33" s="76"/>
      <c r="AN33" s="76"/>
      <c r="AO33" s="76"/>
    </row>
    <row r="34" spans="1:41" s="75" customFormat="1" ht="15" x14ac:dyDescent="0.2">
      <c r="A34" s="70"/>
      <c r="B34" s="70"/>
      <c r="C34" s="71"/>
      <c r="D34" s="77"/>
      <c r="E34" s="77"/>
      <c r="F34" s="27"/>
      <c r="G34" s="29">
        <v>39360.400000000001</v>
      </c>
      <c r="H34" s="29">
        <v>11661.7</v>
      </c>
      <c r="I34" s="29">
        <f>V28</f>
        <v>39360.400000000001</v>
      </c>
      <c r="J34" s="29">
        <f>W28</f>
        <v>11654.6</v>
      </c>
      <c r="K34" s="29">
        <f>G34-I34</f>
        <v>0</v>
      </c>
      <c r="L34" s="29">
        <f>H34-J34</f>
        <v>7.1</v>
      </c>
      <c r="M34" s="80"/>
      <c r="N34" s="80"/>
      <c r="O34" s="80"/>
      <c r="P34" s="80"/>
      <c r="Q34" s="27"/>
      <c r="R34" s="27"/>
      <c r="S34" s="27"/>
      <c r="T34" s="27"/>
      <c r="U34" s="27"/>
      <c r="V34" s="27"/>
      <c r="W34" s="27"/>
      <c r="X34" s="27"/>
      <c r="Y34" s="27"/>
      <c r="Z34" s="27"/>
      <c r="AA34" s="27"/>
      <c r="AB34" s="27"/>
      <c r="AC34" s="27"/>
      <c r="AD34" s="27"/>
      <c r="AE34" s="27"/>
      <c r="AF34" s="27"/>
      <c r="AG34" s="27"/>
      <c r="AH34" s="27"/>
      <c r="AI34" s="27"/>
      <c r="AK34" s="76"/>
      <c r="AL34" s="76"/>
      <c r="AM34" s="76"/>
      <c r="AN34" s="76"/>
      <c r="AO34" s="76"/>
    </row>
    <row r="35" spans="1:41" s="75" customFormat="1" ht="15" x14ac:dyDescent="0.2">
      <c r="A35" s="70"/>
      <c r="B35" s="70"/>
      <c r="C35" s="71"/>
      <c r="D35" s="77"/>
      <c r="E35" s="77"/>
      <c r="F35" s="27"/>
      <c r="G35" s="27"/>
      <c r="H35" s="73"/>
      <c r="I35" s="73"/>
      <c r="J35" s="27"/>
      <c r="K35" s="27"/>
      <c r="L35" s="27"/>
      <c r="M35" s="27"/>
      <c r="N35" s="74"/>
      <c r="O35" s="27"/>
      <c r="P35" s="27"/>
      <c r="Q35" s="27"/>
      <c r="R35" s="27"/>
      <c r="S35" s="27"/>
      <c r="T35" s="27"/>
      <c r="U35" s="27"/>
      <c r="V35" s="27"/>
      <c r="W35" s="27"/>
      <c r="X35" s="27"/>
      <c r="Y35" s="27"/>
      <c r="Z35" s="27"/>
      <c r="AA35" s="27"/>
      <c r="AB35" s="27"/>
      <c r="AC35" s="27"/>
      <c r="AD35" s="27"/>
      <c r="AE35" s="27"/>
      <c r="AF35" s="27"/>
      <c r="AG35" s="27"/>
      <c r="AH35" s="27"/>
      <c r="AI35" s="27"/>
      <c r="AK35" s="76"/>
      <c r="AL35" s="76"/>
      <c r="AM35" s="76"/>
      <c r="AN35" s="76"/>
      <c r="AO35" s="76"/>
    </row>
    <row r="36" spans="1:41" s="75" customFormat="1" ht="15" x14ac:dyDescent="0.2">
      <c r="A36" s="70"/>
      <c r="B36" s="70"/>
      <c r="C36" s="71"/>
      <c r="D36" s="77"/>
      <c r="E36" s="77"/>
      <c r="F36" s="27"/>
      <c r="G36" s="27"/>
      <c r="H36" s="73"/>
      <c r="I36" s="73"/>
      <c r="J36" s="27"/>
      <c r="K36" s="27"/>
      <c r="L36" s="27"/>
      <c r="M36" s="27"/>
      <c r="N36" s="74"/>
      <c r="O36" s="27"/>
      <c r="P36" s="27"/>
      <c r="Q36" s="27"/>
      <c r="R36" s="27"/>
      <c r="S36" s="27"/>
      <c r="T36" s="27"/>
      <c r="U36" s="27"/>
      <c r="V36" s="27"/>
      <c r="W36" s="27"/>
      <c r="X36" s="27"/>
      <c r="Y36" s="27"/>
      <c r="Z36" s="27"/>
      <c r="AA36" s="27"/>
      <c r="AB36" s="27"/>
      <c r="AC36" s="27"/>
      <c r="AD36" s="27"/>
      <c r="AE36" s="27"/>
      <c r="AF36" s="27"/>
      <c r="AG36" s="27"/>
      <c r="AH36" s="27"/>
      <c r="AI36" s="27"/>
      <c r="AK36" s="76"/>
      <c r="AL36" s="76"/>
      <c r="AM36" s="76"/>
      <c r="AN36" s="76"/>
      <c r="AO36" s="76"/>
    </row>
    <row r="37" spans="1:41" s="282" customFormat="1" ht="20.25" x14ac:dyDescent="0.2">
      <c r="A37" s="81"/>
      <c r="B37" s="82" t="s">
        <v>138</v>
      </c>
      <c r="C37" s="83"/>
      <c r="D37" s="84"/>
      <c r="E37" s="84"/>
      <c r="F37" s="85"/>
      <c r="G37" s="85"/>
      <c r="H37" s="86"/>
      <c r="I37" s="86"/>
      <c r="J37" s="85"/>
      <c r="K37" s="30" t="s">
        <v>166</v>
      </c>
      <c r="L37" s="85"/>
      <c r="M37" s="85"/>
      <c r="N37" s="87"/>
      <c r="O37" s="85"/>
      <c r="P37" s="85"/>
      <c r="Q37" s="85"/>
      <c r="R37" s="85"/>
      <c r="S37" s="85"/>
      <c r="T37" s="85"/>
      <c r="U37" s="85"/>
      <c r="V37" s="85"/>
      <c r="W37" s="85"/>
      <c r="X37" s="85"/>
      <c r="Y37" s="85"/>
      <c r="Z37" s="85"/>
      <c r="AA37" s="85"/>
      <c r="AB37" s="85"/>
      <c r="AC37" s="85"/>
      <c r="AD37" s="85"/>
      <c r="AE37" s="85"/>
      <c r="AF37" s="85"/>
      <c r="AG37" s="85"/>
      <c r="AH37" s="85"/>
      <c r="AI37" s="85"/>
      <c r="AK37" s="88"/>
      <c r="AL37" s="88"/>
      <c r="AM37" s="88"/>
      <c r="AN37" s="88"/>
      <c r="AO37" s="88"/>
    </row>
    <row r="38" spans="1:41" s="75" customFormat="1" ht="15" x14ac:dyDescent="0.2">
      <c r="A38" s="70"/>
      <c r="B38" s="70"/>
      <c r="C38" s="71"/>
      <c r="D38" s="77"/>
      <c r="E38" s="77"/>
      <c r="F38" s="27"/>
      <c r="G38" s="27"/>
      <c r="H38" s="73"/>
      <c r="I38" s="73"/>
      <c r="J38" s="27"/>
      <c r="K38" s="27"/>
      <c r="L38" s="27"/>
      <c r="M38" s="27"/>
      <c r="N38" s="74"/>
      <c r="O38" s="27"/>
      <c r="P38" s="27"/>
      <c r="Q38" s="27"/>
      <c r="R38" s="27"/>
      <c r="S38" s="27"/>
      <c r="T38" s="27"/>
      <c r="U38" s="27"/>
      <c r="V38" s="27"/>
      <c r="W38" s="27"/>
      <c r="X38" s="27"/>
      <c r="Y38" s="27"/>
      <c r="Z38" s="27"/>
      <c r="AA38" s="27"/>
      <c r="AB38" s="27"/>
      <c r="AC38" s="27"/>
      <c r="AD38" s="27"/>
      <c r="AE38" s="27"/>
      <c r="AF38" s="27"/>
      <c r="AG38" s="27"/>
      <c r="AH38" s="27"/>
      <c r="AI38" s="27"/>
      <c r="AK38" s="76"/>
      <c r="AL38" s="76"/>
      <c r="AM38" s="76"/>
      <c r="AN38" s="76"/>
      <c r="AO38" s="76"/>
    </row>
    <row r="39" spans="1:41" s="75" customFormat="1" ht="20.25" customHeight="1" x14ac:dyDescent="0.2">
      <c r="A39" s="89" t="s">
        <v>96</v>
      </c>
      <c r="B39" s="89"/>
      <c r="C39" s="31"/>
      <c r="D39" s="31"/>
      <c r="E39" s="31"/>
      <c r="F39" s="31"/>
      <c r="G39" s="31"/>
      <c r="H39" s="31"/>
      <c r="I39" s="31"/>
      <c r="J39" s="31"/>
      <c r="K39" s="31"/>
      <c r="L39" s="90"/>
      <c r="M39" s="90"/>
      <c r="N39" s="91"/>
      <c r="O39" s="90"/>
      <c r="P39" s="90"/>
      <c r="Q39" s="90"/>
      <c r="R39" s="90"/>
      <c r="S39" s="90"/>
      <c r="T39" s="90"/>
      <c r="U39" s="90"/>
      <c r="V39" s="90"/>
      <c r="W39" s="90"/>
      <c r="X39" s="90"/>
      <c r="Y39" s="90"/>
      <c r="Z39" s="90"/>
      <c r="AA39" s="90"/>
      <c r="AB39" s="90"/>
      <c r="AC39" s="90"/>
      <c r="AD39" s="90"/>
      <c r="AE39" s="90"/>
      <c r="AF39" s="90"/>
      <c r="AG39" s="90"/>
      <c r="AH39" s="90"/>
      <c r="AI39" s="90"/>
      <c r="AK39" s="76"/>
      <c r="AL39" s="76"/>
      <c r="AM39" s="76"/>
      <c r="AN39" s="76"/>
      <c r="AO39" s="76"/>
    </row>
    <row r="40" spans="1:41" s="75" customFormat="1" ht="20.25" customHeight="1" x14ac:dyDescent="0.2">
      <c r="A40" s="89" t="s">
        <v>139</v>
      </c>
      <c r="B40" s="92"/>
      <c r="C40" s="93"/>
      <c r="D40" s="93"/>
      <c r="E40" s="32"/>
      <c r="F40" s="32"/>
      <c r="G40" s="32"/>
      <c r="H40" s="32"/>
      <c r="I40" s="32"/>
      <c r="J40" s="32"/>
      <c r="K40" s="32"/>
      <c r="L40" s="90"/>
      <c r="M40" s="90"/>
      <c r="N40" s="90"/>
      <c r="O40" s="90"/>
      <c r="P40" s="90"/>
      <c r="Q40" s="90"/>
      <c r="R40" s="90"/>
      <c r="S40" s="90"/>
      <c r="T40" s="90"/>
      <c r="U40" s="90"/>
      <c r="V40" s="90"/>
      <c r="W40" s="90"/>
      <c r="X40" s="90"/>
      <c r="Y40" s="90"/>
      <c r="Z40" s="90"/>
      <c r="AA40" s="90"/>
      <c r="AB40" s="90"/>
      <c r="AC40" s="90"/>
      <c r="AD40" s="90"/>
      <c r="AE40" s="90"/>
      <c r="AF40" s="90"/>
      <c r="AG40" s="90"/>
      <c r="AH40" s="90"/>
      <c r="AI40" s="90"/>
      <c r="AK40" s="76"/>
      <c r="AL40" s="76"/>
      <c r="AM40" s="76"/>
      <c r="AN40" s="76"/>
      <c r="AO40" s="76"/>
    </row>
    <row r="41" spans="1:41" ht="15.75" x14ac:dyDescent="0.2">
      <c r="A41" s="2243"/>
      <c r="B41" s="2243"/>
      <c r="C41" s="2243"/>
    </row>
    <row r="43" spans="1:41" x14ac:dyDescent="0.2">
      <c r="E43" s="51"/>
    </row>
    <row r="44" spans="1:41" x14ac:dyDescent="0.2">
      <c r="E44" s="51"/>
    </row>
    <row r="45" spans="1:41" x14ac:dyDescent="0.2">
      <c r="E45" s="51"/>
    </row>
    <row r="46" spans="1:41" x14ac:dyDescent="0.2">
      <c r="E46" s="51"/>
    </row>
    <row r="47" spans="1:41" x14ac:dyDescent="0.2">
      <c r="E47" s="51"/>
    </row>
    <row r="48" spans="1:41" x14ac:dyDescent="0.2">
      <c r="E48" s="51"/>
    </row>
    <row r="49" spans="5:5" x14ac:dyDescent="0.2">
      <c r="E49" s="51"/>
    </row>
    <row r="50" spans="5:5" x14ac:dyDescent="0.2">
      <c r="E50" s="51"/>
    </row>
    <row r="51" spans="5:5" x14ac:dyDescent="0.2">
      <c r="E51" s="51"/>
    </row>
    <row r="52" spans="5:5" x14ac:dyDescent="0.2">
      <c r="E52" s="51"/>
    </row>
    <row r="53" spans="5:5" x14ac:dyDescent="0.2">
      <c r="E53" s="51"/>
    </row>
    <row r="54" spans="5:5" x14ac:dyDescent="0.2">
      <c r="E54" s="51"/>
    </row>
    <row r="55" spans="5:5" x14ac:dyDescent="0.2">
      <c r="E55" s="51"/>
    </row>
    <row r="56" spans="5:5" x14ac:dyDescent="0.2">
      <c r="E56" s="51"/>
    </row>
    <row r="57" spans="5:5" x14ac:dyDescent="0.2">
      <c r="E57" s="51"/>
    </row>
    <row r="58" spans="5:5" x14ac:dyDescent="0.2">
      <c r="E58" s="51"/>
    </row>
    <row r="59" spans="5:5" x14ac:dyDescent="0.2">
      <c r="E59" s="51"/>
    </row>
    <row r="60" spans="5:5" x14ac:dyDescent="0.2">
      <c r="E60" s="51"/>
    </row>
    <row r="61" spans="5:5" x14ac:dyDescent="0.2">
      <c r="E61" s="51"/>
    </row>
    <row r="62" spans="5:5" x14ac:dyDescent="0.2">
      <c r="E62" s="51"/>
    </row>
    <row r="63" spans="5:5" x14ac:dyDescent="0.2">
      <c r="E63" s="51"/>
    </row>
    <row r="64" spans="5:5" x14ac:dyDescent="0.2">
      <c r="E64" s="51"/>
    </row>
    <row r="65" spans="5:5" x14ac:dyDescent="0.2">
      <c r="E65" s="51"/>
    </row>
    <row r="66" spans="5:5" x14ac:dyDescent="0.2">
      <c r="E66" s="51"/>
    </row>
    <row r="67" spans="5:5" x14ac:dyDescent="0.2">
      <c r="E67" s="51"/>
    </row>
    <row r="68" spans="5:5" x14ac:dyDescent="0.2">
      <c r="E68" s="51"/>
    </row>
    <row r="69" spans="5:5" x14ac:dyDescent="0.2">
      <c r="E69" s="51"/>
    </row>
    <row r="70" spans="5:5" x14ac:dyDescent="0.2">
      <c r="E70" s="51"/>
    </row>
    <row r="71" spans="5:5" x14ac:dyDescent="0.2">
      <c r="E71" s="51"/>
    </row>
    <row r="72" spans="5:5" x14ac:dyDescent="0.2">
      <c r="E72" s="51"/>
    </row>
    <row r="73" spans="5:5" x14ac:dyDescent="0.2">
      <c r="E73" s="51"/>
    </row>
    <row r="74" spans="5:5" x14ac:dyDescent="0.2">
      <c r="E74" s="51"/>
    </row>
  </sheetData>
  <autoFilter ref="A8:AP30" xr:uid="{00000000-0009-0000-0000-000057000000}"/>
  <mergeCells count="38">
    <mergeCell ref="AE1:AH1"/>
    <mergeCell ref="A2:AH2"/>
    <mergeCell ref="A3:AH3"/>
    <mergeCell ref="A5:A7"/>
    <mergeCell ref="B5:B7"/>
    <mergeCell ref="C5:C7"/>
    <mergeCell ref="D5:W5"/>
    <mergeCell ref="X5:AH5"/>
    <mergeCell ref="D6:D7"/>
    <mergeCell ref="E6:E7"/>
    <mergeCell ref="AD6:AF6"/>
    <mergeCell ref="AG6:AG7"/>
    <mergeCell ref="AH6:AH7"/>
    <mergeCell ref="V6:V7"/>
    <mergeCell ref="W6:W7"/>
    <mergeCell ref="X6:Z6"/>
    <mergeCell ref="U6:U7"/>
    <mergeCell ref="L6:L7"/>
    <mergeCell ref="M6:M7"/>
    <mergeCell ref="N6:O6"/>
    <mergeCell ref="P6:P7"/>
    <mergeCell ref="Q6:Q7"/>
    <mergeCell ref="G32:H32"/>
    <mergeCell ref="I32:J32"/>
    <mergeCell ref="K32:L32"/>
    <mergeCell ref="A41:C41"/>
    <mergeCell ref="AA6:AC6"/>
    <mergeCell ref="R6:R7"/>
    <mergeCell ref="F6:F7"/>
    <mergeCell ref="G6:G7"/>
    <mergeCell ref="H6:H7"/>
    <mergeCell ref="I6:I7"/>
    <mergeCell ref="J6:J7"/>
    <mergeCell ref="K6:K7"/>
    <mergeCell ref="U9:U27"/>
    <mergeCell ref="A28:B28"/>
    <mergeCell ref="S6:S7"/>
    <mergeCell ref="T6:T7"/>
  </mergeCells>
  <printOptions horizontalCentered="1"/>
  <pageMargins left="0.25" right="0.25" top="0.75" bottom="0.75" header="0.3" footer="0.3"/>
  <pageSetup paperSize="9" scale="33" orientation="landscape" r:id="rId1"/>
  <legacyDrawing r:id="rId2"/>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FF00"/>
    <pageSetUpPr fitToPage="1"/>
  </sheetPr>
  <dimension ref="A1:AS43"/>
  <sheetViews>
    <sheetView view="pageBreakPreview" zoomScale="80" zoomScaleNormal="100" zoomScaleSheetLayoutView="80" workbookViewId="0">
      <pane xSplit="3" ySplit="8" topLeftCell="U9" activePane="bottomRight" state="frozen"/>
      <selection activeCell="M26" sqref="M26:N26"/>
      <selection pane="topRight" activeCell="M26" sqref="M26:N26"/>
      <selection pane="bottomLeft" activeCell="M26" sqref="M26:N26"/>
      <selection pane="bottomRight" activeCell="M26" sqref="M26:N26"/>
    </sheetView>
  </sheetViews>
  <sheetFormatPr defaultRowHeight="12.75" x14ac:dyDescent="0.2"/>
  <cols>
    <col min="1" max="1" width="12.83203125" style="98" customWidth="1"/>
    <col min="2" max="2" width="30.83203125" style="99" customWidth="1"/>
    <col min="3" max="3" width="13.83203125" style="99" customWidth="1"/>
    <col min="4" max="4" width="11.5" style="99" customWidth="1"/>
    <col min="5" max="5" width="13" style="99" customWidth="1"/>
    <col min="6" max="6" width="14.6640625" style="99" customWidth="1"/>
    <col min="7" max="8" width="13.1640625" style="99" customWidth="1"/>
    <col min="9" max="9" width="11.6640625" style="99" customWidth="1"/>
    <col min="10" max="10" width="16.83203125" style="99" customWidth="1"/>
    <col min="11" max="11" width="12" style="99" customWidth="1"/>
    <col min="12" max="17" width="11.5" style="100" customWidth="1"/>
    <col min="18" max="18" width="14.1640625" style="99" customWidth="1"/>
    <col min="19" max="19" width="15.5" style="99" customWidth="1"/>
    <col min="20" max="20" width="12.33203125" style="99" customWidth="1"/>
    <col min="21" max="21" width="11.6640625" style="99" customWidth="1"/>
    <col min="22" max="23" width="12" style="99" customWidth="1"/>
    <col min="24" max="24" width="12.6640625" style="99" customWidth="1"/>
    <col min="25" max="25" width="12" style="99" customWidth="1"/>
    <col min="26" max="26" width="9.6640625" style="99" customWidth="1"/>
    <col min="27" max="31" width="8.5" style="99" customWidth="1"/>
    <col min="32" max="32" width="9.6640625" style="99" customWidth="1"/>
    <col min="33" max="33" width="9.33203125" style="99" customWidth="1"/>
    <col min="34" max="34" width="12" style="99" customWidth="1"/>
    <col min="35" max="36" width="11.1640625" style="99" customWidth="1"/>
    <col min="37" max="37" width="12.6640625" style="99" customWidth="1"/>
    <col min="38" max="38" width="11.83203125" style="99" hidden="1" customWidth="1"/>
    <col min="39" max="39" width="13" style="99" hidden="1" customWidth="1"/>
    <col min="40" max="42" width="9.33203125" style="22"/>
    <col min="43" max="43" width="11.33203125" style="22" bestFit="1" customWidth="1"/>
    <col min="44" max="16384" width="9.33203125" style="99"/>
  </cols>
  <sheetData>
    <row r="1" spans="1:45" ht="21" customHeight="1" x14ac:dyDescent="0.2">
      <c r="AE1" s="2263"/>
      <c r="AF1" s="2263"/>
      <c r="AG1" s="2263"/>
      <c r="AH1" s="2263"/>
    </row>
    <row r="2" spans="1:45" ht="24" customHeight="1" x14ac:dyDescent="0.2">
      <c r="A2" s="2264" t="s">
        <v>155</v>
      </c>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c r="AA2" s="2264"/>
      <c r="AB2" s="2264"/>
      <c r="AC2" s="2264"/>
      <c r="AD2" s="2264"/>
      <c r="AE2" s="2264"/>
      <c r="AF2" s="2264"/>
      <c r="AG2" s="2264"/>
      <c r="AH2" s="2264"/>
    </row>
    <row r="3" spans="1:45" ht="24.75" customHeight="1" x14ac:dyDescent="0.2">
      <c r="A3" s="2265"/>
      <c r="B3" s="2265"/>
      <c r="C3" s="2265"/>
      <c r="D3" s="2265"/>
      <c r="E3" s="2265"/>
      <c r="F3" s="2265"/>
      <c r="G3" s="2265"/>
      <c r="H3" s="2265"/>
      <c r="I3" s="2265"/>
      <c r="J3" s="2265"/>
      <c r="K3" s="2265"/>
      <c r="L3" s="2265"/>
      <c r="M3" s="2265"/>
      <c r="N3" s="2265"/>
      <c r="O3" s="2265"/>
      <c r="P3" s="2265"/>
      <c r="Q3" s="2265"/>
      <c r="R3" s="2265"/>
      <c r="S3" s="2265"/>
      <c r="T3" s="2265"/>
      <c r="U3" s="2265"/>
      <c r="V3" s="2265"/>
      <c r="W3" s="2265"/>
      <c r="X3" s="2265"/>
      <c r="Y3" s="2265"/>
      <c r="Z3" s="2265"/>
      <c r="AA3" s="2265"/>
      <c r="AB3" s="2265"/>
      <c r="AC3" s="2265"/>
      <c r="AD3" s="2265"/>
      <c r="AE3" s="2265"/>
      <c r="AF3" s="2265"/>
      <c r="AG3" s="2265"/>
      <c r="AH3" s="2265"/>
    </row>
    <row r="4" spans="1:45" x14ac:dyDescent="0.2">
      <c r="L4" s="102">
        <v>3.8399999999999997E-2</v>
      </c>
    </row>
    <row r="5" spans="1:45" ht="38.25" customHeight="1" x14ac:dyDescent="0.2">
      <c r="A5" s="2266" t="s">
        <v>78</v>
      </c>
      <c r="B5" s="2266" t="s">
        <v>77</v>
      </c>
      <c r="C5" s="2256" t="s">
        <v>0</v>
      </c>
      <c r="D5" s="2256" t="s">
        <v>3</v>
      </c>
      <c r="E5" s="2256"/>
      <c r="F5" s="2256"/>
      <c r="G5" s="2256"/>
      <c r="H5" s="2256"/>
      <c r="I5" s="2256"/>
      <c r="J5" s="2256"/>
      <c r="K5" s="2256"/>
      <c r="L5" s="2256"/>
      <c r="M5" s="2256"/>
      <c r="N5" s="2256"/>
      <c r="O5" s="2256"/>
      <c r="P5" s="2256"/>
      <c r="Q5" s="2256"/>
      <c r="R5" s="2256"/>
      <c r="S5" s="2256"/>
      <c r="T5" s="2256"/>
      <c r="U5" s="2256"/>
      <c r="V5" s="2256"/>
      <c r="W5" s="2256"/>
      <c r="X5" s="2256" t="s">
        <v>4</v>
      </c>
      <c r="Y5" s="2256"/>
      <c r="Z5" s="2256"/>
      <c r="AA5" s="2256"/>
      <c r="AB5" s="2256"/>
      <c r="AC5" s="2256"/>
      <c r="AD5" s="2256"/>
      <c r="AE5" s="2256"/>
      <c r="AF5" s="2256"/>
      <c r="AG5" s="2256"/>
      <c r="AH5" s="2256"/>
    </row>
    <row r="6" spans="1:45" ht="60" customHeight="1" x14ac:dyDescent="0.2">
      <c r="A6" s="2266"/>
      <c r="B6" s="2266"/>
      <c r="C6" s="2256"/>
      <c r="D6" s="2259" t="s">
        <v>79</v>
      </c>
      <c r="E6" s="2259" t="s">
        <v>69</v>
      </c>
      <c r="F6" s="2259" t="s">
        <v>89</v>
      </c>
      <c r="G6" s="2259" t="s">
        <v>1</v>
      </c>
      <c r="H6" s="2259" t="s">
        <v>2</v>
      </c>
      <c r="I6" s="2259" t="s">
        <v>70</v>
      </c>
      <c r="J6" s="2259" t="s">
        <v>61</v>
      </c>
      <c r="K6" s="2259" t="s">
        <v>27</v>
      </c>
      <c r="L6" s="2261" t="s">
        <v>65</v>
      </c>
      <c r="M6" s="2261" t="s">
        <v>86</v>
      </c>
      <c r="N6" s="2262" t="s">
        <v>91</v>
      </c>
      <c r="O6" s="2262"/>
      <c r="P6" s="2262" t="s">
        <v>88</v>
      </c>
      <c r="Q6" s="2261" t="s">
        <v>82</v>
      </c>
      <c r="R6" s="2259" t="s">
        <v>83</v>
      </c>
      <c r="S6" s="2261" t="s">
        <v>87</v>
      </c>
      <c r="T6" s="2259" t="s">
        <v>84</v>
      </c>
      <c r="U6" s="2259" t="s">
        <v>9</v>
      </c>
      <c r="V6" s="2259" t="s">
        <v>7</v>
      </c>
      <c r="W6" s="2259" t="s">
        <v>85</v>
      </c>
      <c r="X6" s="2256" t="s">
        <v>10</v>
      </c>
      <c r="Y6" s="2256"/>
      <c r="Z6" s="2256"/>
      <c r="AA6" s="2256" t="s">
        <v>11</v>
      </c>
      <c r="AB6" s="2256"/>
      <c r="AC6" s="2256"/>
      <c r="AD6" s="2256" t="s">
        <v>12</v>
      </c>
      <c r="AE6" s="2256"/>
      <c r="AF6" s="2256"/>
      <c r="AG6" s="2256" t="s">
        <v>13</v>
      </c>
      <c r="AH6" s="2256" t="s">
        <v>73</v>
      </c>
    </row>
    <row r="7" spans="1:45" ht="97.5" customHeight="1" x14ac:dyDescent="0.2">
      <c r="A7" s="2266"/>
      <c r="B7" s="2266"/>
      <c r="C7" s="2256"/>
      <c r="D7" s="2259"/>
      <c r="E7" s="2259"/>
      <c r="F7" s="2259"/>
      <c r="G7" s="2259"/>
      <c r="H7" s="2259"/>
      <c r="I7" s="2259"/>
      <c r="J7" s="2259"/>
      <c r="K7" s="2259"/>
      <c r="L7" s="2261" t="s">
        <v>66</v>
      </c>
      <c r="M7" s="2261"/>
      <c r="N7" s="286" t="s">
        <v>80</v>
      </c>
      <c r="O7" s="286" t="s">
        <v>81</v>
      </c>
      <c r="P7" s="2262"/>
      <c r="Q7" s="2261"/>
      <c r="R7" s="2259"/>
      <c r="S7" s="2261" t="s">
        <v>67</v>
      </c>
      <c r="T7" s="2259"/>
      <c r="U7" s="2259"/>
      <c r="V7" s="2259"/>
      <c r="W7" s="2259"/>
      <c r="X7" s="285" t="s">
        <v>5</v>
      </c>
      <c r="Y7" s="285" t="s">
        <v>6</v>
      </c>
      <c r="Z7" s="285" t="s">
        <v>74</v>
      </c>
      <c r="AA7" s="285" t="s">
        <v>5</v>
      </c>
      <c r="AB7" s="285" t="s">
        <v>6</v>
      </c>
      <c r="AC7" s="285" t="s">
        <v>75</v>
      </c>
      <c r="AD7" s="285" t="s">
        <v>5</v>
      </c>
      <c r="AE7" s="285" t="s">
        <v>6</v>
      </c>
      <c r="AF7" s="285" t="s">
        <v>76</v>
      </c>
      <c r="AG7" s="2256"/>
      <c r="AH7" s="2256"/>
      <c r="AK7" s="98" t="s">
        <v>64</v>
      </c>
      <c r="AL7" s="98" t="s">
        <v>62</v>
      </c>
      <c r="AM7" s="98" t="s">
        <v>63</v>
      </c>
    </row>
    <row r="8" spans="1:45" x14ac:dyDescent="0.2">
      <c r="A8" s="284">
        <v>1</v>
      </c>
      <c r="B8" s="284">
        <v>2</v>
      </c>
      <c r="C8" s="284">
        <v>3</v>
      </c>
      <c r="D8" s="284">
        <v>4</v>
      </c>
      <c r="E8" s="284">
        <v>5</v>
      </c>
      <c r="F8" s="284">
        <v>6</v>
      </c>
      <c r="G8" s="284">
        <v>7</v>
      </c>
      <c r="H8" s="284">
        <v>8</v>
      </c>
      <c r="I8" s="284">
        <v>9</v>
      </c>
      <c r="J8" s="284">
        <v>10</v>
      </c>
      <c r="K8" s="284">
        <v>11</v>
      </c>
      <c r="L8" s="284">
        <v>12</v>
      </c>
      <c r="M8" s="284">
        <v>13</v>
      </c>
      <c r="N8" s="284">
        <v>14</v>
      </c>
      <c r="O8" s="284">
        <v>15</v>
      </c>
      <c r="P8" s="284">
        <v>16</v>
      </c>
      <c r="Q8" s="284">
        <v>17</v>
      </c>
      <c r="R8" s="284">
        <v>18</v>
      </c>
      <c r="S8" s="284">
        <v>19</v>
      </c>
      <c r="T8" s="284">
        <v>20</v>
      </c>
      <c r="U8" s="284">
        <v>21</v>
      </c>
      <c r="V8" s="284">
        <v>22</v>
      </c>
      <c r="W8" s="284">
        <v>23</v>
      </c>
      <c r="X8" s="284">
        <v>24</v>
      </c>
      <c r="Y8" s="284">
        <v>25</v>
      </c>
      <c r="Z8" s="284">
        <v>26</v>
      </c>
      <c r="AA8" s="284">
        <v>27</v>
      </c>
      <c r="AB8" s="284">
        <v>28</v>
      </c>
      <c r="AC8" s="284">
        <v>29</v>
      </c>
      <c r="AD8" s="284">
        <v>30</v>
      </c>
      <c r="AE8" s="284">
        <v>31</v>
      </c>
      <c r="AF8" s="284">
        <v>32</v>
      </c>
      <c r="AG8" s="284">
        <v>33</v>
      </c>
      <c r="AH8" s="284">
        <v>34</v>
      </c>
      <c r="AN8" s="43" t="s">
        <v>116</v>
      </c>
      <c r="AO8" s="43" t="s">
        <v>117</v>
      </c>
      <c r="AP8" s="43" t="s">
        <v>118</v>
      </c>
      <c r="AQ8" s="43" t="s">
        <v>119</v>
      </c>
    </row>
    <row r="9" spans="1:45" ht="16.5" customHeight="1" x14ac:dyDescent="0.2">
      <c r="A9" s="284">
        <v>1</v>
      </c>
      <c r="B9" s="106" t="s">
        <v>21</v>
      </c>
      <c r="C9" s="284">
        <v>1</v>
      </c>
      <c r="D9" s="107">
        <v>22.465</v>
      </c>
      <c r="E9" s="108">
        <f t="shared" ref="E9:E20" si="0">C9*D9</f>
        <v>22.47</v>
      </c>
      <c r="F9" s="109">
        <f t="shared" ref="F9:F19" si="1">E9*12</f>
        <v>269.60000000000002</v>
      </c>
      <c r="G9" s="110"/>
      <c r="H9" s="110"/>
      <c r="I9" s="110"/>
      <c r="J9" s="110"/>
      <c r="K9" s="95">
        <f>D9*0.2*5+D9*0.25*7</f>
        <v>61.8</v>
      </c>
      <c r="L9" s="95">
        <f>$L$4*F9</f>
        <v>10.4</v>
      </c>
      <c r="M9" s="95">
        <f t="shared" ref="M9:M19" si="2">F9+G9+H9+I9+J9+K9+L9</f>
        <v>341.8</v>
      </c>
      <c r="N9" s="111">
        <v>0.47</v>
      </c>
      <c r="O9" s="95">
        <f t="shared" ref="O9:O19" si="3">M9*N9</f>
        <v>160.6</v>
      </c>
      <c r="P9" s="95">
        <f t="shared" ref="P9:P19" si="4">M9+O9</f>
        <v>502.4</v>
      </c>
      <c r="Q9" s="95">
        <f t="shared" ref="Q9:Q19" si="5">P9*0.8</f>
        <v>401.9</v>
      </c>
      <c r="R9" s="95">
        <f t="shared" ref="R9:R19" si="6">P9*0.8</f>
        <v>401.9</v>
      </c>
      <c r="S9" s="95">
        <f t="shared" ref="S9:S19" si="7">(P9+Q9+R9)*0.032</f>
        <v>41.8</v>
      </c>
      <c r="T9" s="95">
        <f>P9+Q9+R9+S9</f>
        <v>1348</v>
      </c>
      <c r="U9" s="2257">
        <v>1</v>
      </c>
      <c r="V9" s="95">
        <f>T9*$U$9</f>
        <v>1348</v>
      </c>
      <c r="W9" s="95">
        <f>AQ9</f>
        <v>369.3</v>
      </c>
      <c r="X9" s="284">
        <v>1</v>
      </c>
      <c r="Y9" s="112">
        <v>30</v>
      </c>
      <c r="Z9" s="113">
        <f t="shared" ref="Z9:Z20" si="8">X9*Y9</f>
        <v>30</v>
      </c>
      <c r="AA9" s="284"/>
      <c r="AB9" s="112">
        <v>15</v>
      </c>
      <c r="AC9" s="113">
        <f t="shared" ref="AC9:AC20" si="9">AA9*AB9</f>
        <v>0</v>
      </c>
      <c r="AD9" s="284"/>
      <c r="AE9" s="112">
        <v>30</v>
      </c>
      <c r="AF9" s="113">
        <f>AD9*AE9</f>
        <v>0</v>
      </c>
      <c r="AG9" s="113">
        <f>(Z9+AC9+AF9)*1%*30</f>
        <v>9</v>
      </c>
      <c r="AH9" s="113">
        <f>Z9+AC9+AF9+AG9</f>
        <v>39</v>
      </c>
      <c r="AI9" s="114">
        <f t="shared" ref="AI9:AI19" si="10">V9/12/C9*1000</f>
        <v>112333.3</v>
      </c>
      <c r="AJ9" s="114"/>
      <c r="AK9" s="114">
        <f t="shared" ref="AK9:AK20" si="11">V9/C9</f>
        <v>1348</v>
      </c>
      <c r="AL9" s="114">
        <f>((979*0.302)+((AK9-979)*0.182))</f>
        <v>362.8</v>
      </c>
      <c r="AM9" s="115">
        <f>AL9/AK9</f>
        <v>0.26900000000000002</v>
      </c>
      <c r="AN9" s="50">
        <f>1150*0.22*C9+(V9-1150*C9)*0.1</f>
        <v>272.8</v>
      </c>
      <c r="AO9" s="116">
        <f>865*0.029</f>
        <v>25.1</v>
      </c>
      <c r="AP9" s="116">
        <f>AK9*0.053</f>
        <v>71.400000000000006</v>
      </c>
      <c r="AQ9" s="50">
        <f>SUM(AN9:AP9)</f>
        <v>369.3</v>
      </c>
      <c r="AS9" s="115"/>
    </row>
    <row r="10" spans="1:45" ht="15" x14ac:dyDescent="0.2">
      <c r="A10" s="284">
        <v>2</v>
      </c>
      <c r="B10" s="106" t="s">
        <v>125</v>
      </c>
      <c r="C10" s="284">
        <v>1</v>
      </c>
      <c r="D10" s="107">
        <v>17.972000000000001</v>
      </c>
      <c r="E10" s="108">
        <f t="shared" si="0"/>
        <v>17.97</v>
      </c>
      <c r="F10" s="109">
        <f t="shared" si="1"/>
        <v>215.6</v>
      </c>
      <c r="G10" s="110"/>
      <c r="H10" s="110"/>
      <c r="I10" s="110"/>
      <c r="J10" s="110"/>
      <c r="K10" s="95">
        <f>F10*0.3</f>
        <v>64.7</v>
      </c>
      <c r="L10" s="95">
        <f t="shared" ref="L10:L20" si="12">$L$4*F10</f>
        <v>8.3000000000000007</v>
      </c>
      <c r="M10" s="95">
        <f t="shared" si="2"/>
        <v>288.60000000000002</v>
      </c>
      <c r="N10" s="111">
        <v>0.47</v>
      </c>
      <c r="O10" s="95">
        <f t="shared" si="3"/>
        <v>135.6</v>
      </c>
      <c r="P10" s="95">
        <f t="shared" si="4"/>
        <v>424.2</v>
      </c>
      <c r="Q10" s="95">
        <f t="shared" si="5"/>
        <v>339.4</v>
      </c>
      <c r="R10" s="95">
        <f t="shared" si="6"/>
        <v>339.4</v>
      </c>
      <c r="S10" s="95">
        <f t="shared" si="7"/>
        <v>35.299999999999997</v>
      </c>
      <c r="T10" s="95">
        <f t="shared" ref="T10:T19" si="13">P10+Q10+R10+S10</f>
        <v>1138.3</v>
      </c>
      <c r="U10" s="2258"/>
      <c r="V10" s="95">
        <f>T10*$U$9</f>
        <v>1138.3</v>
      </c>
      <c r="W10" s="95">
        <f>AQ10</f>
        <v>337.2</v>
      </c>
      <c r="X10" s="284"/>
      <c r="Y10" s="112">
        <v>30</v>
      </c>
      <c r="Z10" s="113">
        <f t="shared" si="8"/>
        <v>0</v>
      </c>
      <c r="AA10" s="284"/>
      <c r="AB10" s="112">
        <v>15</v>
      </c>
      <c r="AC10" s="113">
        <f t="shared" si="9"/>
        <v>0</v>
      </c>
      <c r="AD10" s="284"/>
      <c r="AE10" s="112">
        <v>30</v>
      </c>
      <c r="AF10" s="113">
        <f t="shared" ref="AF10:AF20" si="14">AD10*AE10</f>
        <v>0</v>
      </c>
      <c r="AG10" s="113">
        <f t="shared" ref="AG10:AG20" si="15">(Z10+AC10+AF10)*1%*30</f>
        <v>0</v>
      </c>
      <c r="AH10" s="113">
        <f t="shared" ref="AH10:AH20" si="16">Z10+AC10+AF10+AG10</f>
        <v>0</v>
      </c>
      <c r="AI10" s="114">
        <f t="shared" si="10"/>
        <v>94858.3</v>
      </c>
      <c r="AJ10" s="114"/>
      <c r="AK10" s="114">
        <f t="shared" si="11"/>
        <v>1138.3</v>
      </c>
      <c r="AL10" s="114">
        <f t="shared" ref="AL10:AL20" si="17">((979*0.302)+((AK10-979)*0.182))</f>
        <v>324.7</v>
      </c>
      <c r="AM10" s="115">
        <f>AL10/AK10</f>
        <v>0.28499999999999998</v>
      </c>
      <c r="AN10" s="50">
        <f>1150*0.22*C10+(V10-1150*C10)*0.1</f>
        <v>251.8</v>
      </c>
      <c r="AO10" s="116">
        <f>865*0.029</f>
        <v>25.1</v>
      </c>
      <c r="AP10" s="116">
        <f>AK10*0.053</f>
        <v>60.3</v>
      </c>
      <c r="AQ10" s="50">
        <f>SUM(AN10:AP10)</f>
        <v>337.2</v>
      </c>
      <c r="AS10" s="115"/>
    </row>
    <row r="11" spans="1:45" ht="15" x14ac:dyDescent="0.2">
      <c r="A11" s="284">
        <v>3</v>
      </c>
      <c r="B11" s="117" t="s">
        <v>29</v>
      </c>
      <c r="C11" s="118">
        <v>1</v>
      </c>
      <c r="D11" s="107">
        <v>8.4730000000000008</v>
      </c>
      <c r="E11" s="119">
        <f t="shared" si="0"/>
        <v>8.4700000000000006</v>
      </c>
      <c r="F11" s="110">
        <f t="shared" si="1"/>
        <v>101.6</v>
      </c>
      <c r="G11" s="110"/>
      <c r="H11" s="110"/>
      <c r="I11" s="110"/>
      <c r="J11" s="110"/>
      <c r="K11" s="95"/>
      <c r="L11" s="95">
        <f t="shared" si="12"/>
        <v>3.9</v>
      </c>
      <c r="M11" s="95">
        <f t="shared" si="2"/>
        <v>105.5</v>
      </c>
      <c r="N11" s="111">
        <v>0.41</v>
      </c>
      <c r="O11" s="95">
        <f t="shared" si="3"/>
        <v>43.3</v>
      </c>
      <c r="P11" s="95">
        <f t="shared" si="4"/>
        <v>148.80000000000001</v>
      </c>
      <c r="Q11" s="95">
        <f t="shared" si="5"/>
        <v>119</v>
      </c>
      <c r="R11" s="95">
        <f t="shared" si="6"/>
        <v>119</v>
      </c>
      <c r="S11" s="95">
        <f t="shared" si="7"/>
        <v>12.4</v>
      </c>
      <c r="T11" s="95">
        <f t="shared" si="13"/>
        <v>399.2</v>
      </c>
      <c r="U11" s="2258"/>
      <c r="V11" s="95">
        <f t="shared" ref="V11:V19" si="18">T11*$U$9</f>
        <v>399.2</v>
      </c>
      <c r="W11" s="95">
        <f t="shared" ref="W11:W20" si="19">V11*0.302</f>
        <v>120.6</v>
      </c>
      <c r="X11" s="120"/>
      <c r="Y11" s="112">
        <v>30</v>
      </c>
      <c r="Z11" s="113">
        <f t="shared" si="8"/>
        <v>0</v>
      </c>
      <c r="AA11" s="120"/>
      <c r="AB11" s="112">
        <v>15</v>
      </c>
      <c r="AC11" s="113">
        <f t="shared" si="9"/>
        <v>0</v>
      </c>
      <c r="AD11" s="120"/>
      <c r="AE11" s="112">
        <v>30</v>
      </c>
      <c r="AF11" s="113">
        <f t="shared" si="14"/>
        <v>0</v>
      </c>
      <c r="AG11" s="113">
        <f t="shared" si="15"/>
        <v>0</v>
      </c>
      <c r="AH11" s="113">
        <f t="shared" si="16"/>
        <v>0</v>
      </c>
      <c r="AI11" s="114">
        <f t="shared" si="10"/>
        <v>33266.699999999997</v>
      </c>
      <c r="AJ11" s="114"/>
      <c r="AK11" s="114">
        <f t="shared" si="11"/>
        <v>399.2</v>
      </c>
      <c r="AL11" s="114">
        <f t="shared" si="17"/>
        <v>190.1</v>
      </c>
      <c r="AM11" s="115">
        <v>0.30199999999999999</v>
      </c>
      <c r="AN11" s="116"/>
      <c r="AO11" s="116"/>
      <c r="AP11" s="116"/>
      <c r="AQ11" s="116"/>
      <c r="AS11" s="115"/>
    </row>
    <row r="12" spans="1:45" s="126" customFormat="1" ht="25.5" x14ac:dyDescent="0.2">
      <c r="A12" s="284">
        <v>4</v>
      </c>
      <c r="B12" s="121" t="s">
        <v>31</v>
      </c>
      <c r="C12" s="122">
        <v>1</v>
      </c>
      <c r="D12" s="107">
        <v>11.061999999999999</v>
      </c>
      <c r="E12" s="123">
        <f t="shared" si="0"/>
        <v>11.06</v>
      </c>
      <c r="F12" s="124">
        <f t="shared" si="1"/>
        <v>132.69999999999999</v>
      </c>
      <c r="G12" s="124"/>
      <c r="H12" s="124"/>
      <c r="I12" s="124"/>
      <c r="J12" s="125"/>
      <c r="K12" s="96"/>
      <c r="L12" s="95">
        <f t="shared" si="12"/>
        <v>5.0999999999999996</v>
      </c>
      <c r="M12" s="96">
        <f t="shared" si="2"/>
        <v>137.80000000000001</v>
      </c>
      <c r="N12" s="111">
        <v>0.47</v>
      </c>
      <c r="O12" s="96">
        <f t="shared" si="3"/>
        <v>64.8</v>
      </c>
      <c r="P12" s="96">
        <f t="shared" si="4"/>
        <v>202.6</v>
      </c>
      <c r="Q12" s="96">
        <f t="shared" si="5"/>
        <v>162.1</v>
      </c>
      <c r="R12" s="96">
        <f t="shared" si="6"/>
        <v>162.1</v>
      </c>
      <c r="S12" s="96">
        <f t="shared" si="7"/>
        <v>16.899999999999999</v>
      </c>
      <c r="T12" s="96">
        <f t="shared" si="13"/>
        <v>543.70000000000005</v>
      </c>
      <c r="U12" s="2258"/>
      <c r="V12" s="96">
        <f t="shared" si="18"/>
        <v>543.70000000000005</v>
      </c>
      <c r="W12" s="95">
        <f t="shared" si="19"/>
        <v>164.2</v>
      </c>
      <c r="X12" s="122">
        <v>1</v>
      </c>
      <c r="Y12" s="112">
        <v>30</v>
      </c>
      <c r="Z12" s="113">
        <f t="shared" si="8"/>
        <v>30</v>
      </c>
      <c r="AA12" s="122"/>
      <c r="AB12" s="112">
        <v>15</v>
      </c>
      <c r="AC12" s="113">
        <f t="shared" si="9"/>
        <v>0</v>
      </c>
      <c r="AD12" s="122"/>
      <c r="AE12" s="112">
        <v>30</v>
      </c>
      <c r="AF12" s="113">
        <f t="shared" si="14"/>
        <v>0</v>
      </c>
      <c r="AG12" s="113">
        <f t="shared" si="15"/>
        <v>9</v>
      </c>
      <c r="AH12" s="113">
        <f t="shared" si="16"/>
        <v>39</v>
      </c>
      <c r="AI12" s="114">
        <f t="shared" si="10"/>
        <v>45308.3</v>
      </c>
      <c r="AJ12" s="114"/>
      <c r="AK12" s="114">
        <f t="shared" si="11"/>
        <v>543.70000000000005</v>
      </c>
      <c r="AL12" s="114">
        <f t="shared" si="17"/>
        <v>216.4</v>
      </c>
      <c r="AM12" s="115">
        <v>0.30199999999999999</v>
      </c>
      <c r="AN12" s="22"/>
      <c r="AO12" s="116"/>
      <c r="AP12" s="116"/>
      <c r="AQ12" s="116"/>
      <c r="AS12" s="115"/>
    </row>
    <row r="13" spans="1:45" ht="25.5" x14ac:dyDescent="0.2">
      <c r="A13" s="284">
        <v>5</v>
      </c>
      <c r="B13" s="117" t="s">
        <v>108</v>
      </c>
      <c r="C13" s="127">
        <v>2</v>
      </c>
      <c r="D13" s="107">
        <v>8.4730000000000008</v>
      </c>
      <c r="E13" s="119">
        <f t="shared" si="0"/>
        <v>16.95</v>
      </c>
      <c r="F13" s="110">
        <f t="shared" si="1"/>
        <v>203.4</v>
      </c>
      <c r="G13" s="110"/>
      <c r="H13" s="110"/>
      <c r="I13" s="110"/>
      <c r="J13" s="110"/>
      <c r="K13" s="95">
        <f>F13*0.25</f>
        <v>50.9</v>
      </c>
      <c r="L13" s="95">
        <f t="shared" si="12"/>
        <v>7.8</v>
      </c>
      <c r="M13" s="95">
        <f t="shared" si="2"/>
        <v>262.10000000000002</v>
      </c>
      <c r="N13" s="111">
        <v>0.47</v>
      </c>
      <c r="O13" s="95">
        <f t="shared" si="3"/>
        <v>123.2</v>
      </c>
      <c r="P13" s="95">
        <f t="shared" si="4"/>
        <v>385.3</v>
      </c>
      <c r="Q13" s="95">
        <f t="shared" si="5"/>
        <v>308.2</v>
      </c>
      <c r="R13" s="95">
        <f t="shared" si="6"/>
        <v>308.2</v>
      </c>
      <c r="S13" s="95">
        <f t="shared" si="7"/>
        <v>32.1</v>
      </c>
      <c r="T13" s="95">
        <f t="shared" si="13"/>
        <v>1033.8</v>
      </c>
      <c r="U13" s="2258"/>
      <c r="V13" s="95">
        <f>T13*$U$9</f>
        <v>1033.8</v>
      </c>
      <c r="W13" s="95">
        <f t="shared" si="19"/>
        <v>312.2</v>
      </c>
      <c r="X13" s="284">
        <v>1</v>
      </c>
      <c r="Y13" s="112">
        <v>30</v>
      </c>
      <c r="Z13" s="113">
        <f t="shared" si="8"/>
        <v>30</v>
      </c>
      <c r="AA13" s="127">
        <v>1</v>
      </c>
      <c r="AB13" s="112">
        <v>15</v>
      </c>
      <c r="AC13" s="113">
        <f t="shared" si="9"/>
        <v>15</v>
      </c>
      <c r="AD13" s="127"/>
      <c r="AE13" s="112">
        <v>30</v>
      </c>
      <c r="AF13" s="113">
        <f t="shared" si="14"/>
        <v>0</v>
      </c>
      <c r="AG13" s="113">
        <f t="shared" si="15"/>
        <v>13.5</v>
      </c>
      <c r="AH13" s="113">
        <f t="shared" si="16"/>
        <v>58.5</v>
      </c>
      <c r="AI13" s="114">
        <f t="shared" si="10"/>
        <v>43075</v>
      </c>
      <c r="AJ13" s="114"/>
      <c r="AK13" s="114">
        <f t="shared" si="11"/>
        <v>516.9</v>
      </c>
      <c r="AL13" s="114">
        <f t="shared" si="17"/>
        <v>211.6</v>
      </c>
      <c r="AM13" s="115">
        <v>0.30199999999999999</v>
      </c>
      <c r="AQ13" s="116"/>
      <c r="AS13" s="115"/>
    </row>
    <row r="14" spans="1:45" ht="15" x14ac:dyDescent="0.2">
      <c r="A14" s="284">
        <v>6</v>
      </c>
      <c r="B14" s="117" t="s">
        <v>32</v>
      </c>
      <c r="C14" s="128">
        <v>1</v>
      </c>
      <c r="D14" s="107">
        <v>11.061999999999999</v>
      </c>
      <c r="E14" s="119">
        <f t="shared" si="0"/>
        <v>11.06</v>
      </c>
      <c r="F14" s="110">
        <f t="shared" si="1"/>
        <v>132.69999999999999</v>
      </c>
      <c r="G14" s="110"/>
      <c r="H14" s="110"/>
      <c r="I14" s="110"/>
      <c r="J14" s="110"/>
      <c r="K14" s="95"/>
      <c r="L14" s="95">
        <f t="shared" si="12"/>
        <v>5.0999999999999996</v>
      </c>
      <c r="M14" s="95">
        <f t="shared" si="2"/>
        <v>137.80000000000001</v>
      </c>
      <c r="N14" s="111">
        <v>0.43</v>
      </c>
      <c r="O14" s="95">
        <f t="shared" si="3"/>
        <v>59.3</v>
      </c>
      <c r="P14" s="95">
        <f t="shared" si="4"/>
        <v>197.1</v>
      </c>
      <c r="Q14" s="95">
        <f t="shared" si="5"/>
        <v>157.69999999999999</v>
      </c>
      <c r="R14" s="95">
        <f t="shared" si="6"/>
        <v>157.69999999999999</v>
      </c>
      <c r="S14" s="95">
        <f t="shared" si="7"/>
        <v>16.399999999999999</v>
      </c>
      <c r="T14" s="95">
        <f t="shared" si="13"/>
        <v>528.9</v>
      </c>
      <c r="U14" s="2258"/>
      <c r="V14" s="95">
        <f t="shared" si="18"/>
        <v>528.9</v>
      </c>
      <c r="W14" s="95">
        <f t="shared" si="19"/>
        <v>159.69999999999999</v>
      </c>
      <c r="X14" s="284">
        <v>1</v>
      </c>
      <c r="Y14" s="112">
        <v>30</v>
      </c>
      <c r="Z14" s="113">
        <f t="shared" si="8"/>
        <v>30</v>
      </c>
      <c r="AA14" s="127"/>
      <c r="AB14" s="112">
        <v>15</v>
      </c>
      <c r="AC14" s="113">
        <f t="shared" si="9"/>
        <v>0</v>
      </c>
      <c r="AD14" s="127"/>
      <c r="AE14" s="112">
        <v>30</v>
      </c>
      <c r="AF14" s="113">
        <f t="shared" si="14"/>
        <v>0</v>
      </c>
      <c r="AG14" s="113">
        <f t="shared" si="15"/>
        <v>9</v>
      </c>
      <c r="AH14" s="113">
        <f t="shared" si="16"/>
        <v>39</v>
      </c>
      <c r="AI14" s="114">
        <f t="shared" si="10"/>
        <v>44075</v>
      </c>
      <c r="AJ14" s="114"/>
      <c r="AK14" s="114">
        <f t="shared" si="11"/>
        <v>528.9</v>
      </c>
      <c r="AL14" s="114">
        <f t="shared" si="17"/>
        <v>213.7</v>
      </c>
      <c r="AM14" s="115">
        <v>0.30199999999999999</v>
      </c>
      <c r="AO14" s="116"/>
      <c r="AP14" s="116"/>
      <c r="AQ14" s="116"/>
      <c r="AS14" s="115"/>
    </row>
    <row r="15" spans="1:45" x14ac:dyDescent="0.2">
      <c r="A15" s="284">
        <v>7</v>
      </c>
      <c r="B15" s="129" t="s">
        <v>23</v>
      </c>
      <c r="C15" s="128">
        <v>1</v>
      </c>
      <c r="D15" s="107">
        <v>11.061999999999999</v>
      </c>
      <c r="E15" s="119">
        <f t="shared" si="0"/>
        <v>11.06</v>
      </c>
      <c r="F15" s="110">
        <f t="shared" si="1"/>
        <v>132.69999999999999</v>
      </c>
      <c r="G15" s="110"/>
      <c r="H15" s="110"/>
      <c r="I15" s="110"/>
      <c r="J15" s="110"/>
      <c r="K15" s="95">
        <f>D15*0.3*9+D15*0.35*3</f>
        <v>41.5</v>
      </c>
      <c r="L15" s="95">
        <f t="shared" si="12"/>
        <v>5.0999999999999996</v>
      </c>
      <c r="M15" s="95">
        <f t="shared" si="2"/>
        <v>179.3</v>
      </c>
      <c r="N15" s="111">
        <v>0.43</v>
      </c>
      <c r="O15" s="95">
        <f t="shared" si="3"/>
        <v>77.099999999999994</v>
      </c>
      <c r="P15" s="95">
        <f t="shared" si="4"/>
        <v>256.39999999999998</v>
      </c>
      <c r="Q15" s="95">
        <f t="shared" si="5"/>
        <v>205.1</v>
      </c>
      <c r="R15" s="95">
        <f t="shared" si="6"/>
        <v>205.1</v>
      </c>
      <c r="S15" s="95">
        <f t="shared" si="7"/>
        <v>21.3</v>
      </c>
      <c r="T15" s="95">
        <f t="shared" si="13"/>
        <v>687.9</v>
      </c>
      <c r="U15" s="2258"/>
      <c r="V15" s="95">
        <f t="shared" si="18"/>
        <v>687.9</v>
      </c>
      <c r="W15" s="95">
        <f t="shared" si="19"/>
        <v>207.7</v>
      </c>
      <c r="X15" s="118"/>
      <c r="Y15" s="112">
        <v>30</v>
      </c>
      <c r="Z15" s="113">
        <f t="shared" si="8"/>
        <v>0</v>
      </c>
      <c r="AA15" s="118"/>
      <c r="AB15" s="112">
        <v>15</v>
      </c>
      <c r="AC15" s="113">
        <f t="shared" si="9"/>
        <v>0</v>
      </c>
      <c r="AD15" s="118"/>
      <c r="AE15" s="112">
        <v>30</v>
      </c>
      <c r="AF15" s="113">
        <f t="shared" si="14"/>
        <v>0</v>
      </c>
      <c r="AG15" s="113">
        <f t="shared" si="15"/>
        <v>0</v>
      </c>
      <c r="AH15" s="113">
        <f t="shared" si="16"/>
        <v>0</v>
      </c>
      <c r="AI15" s="114">
        <f t="shared" si="10"/>
        <v>57325</v>
      </c>
      <c r="AJ15" s="114"/>
      <c r="AK15" s="114">
        <f t="shared" si="11"/>
        <v>687.9</v>
      </c>
      <c r="AL15" s="114">
        <f t="shared" si="17"/>
        <v>242.7</v>
      </c>
      <c r="AM15" s="115">
        <v>0.30199999999999999</v>
      </c>
      <c r="AS15" s="115"/>
    </row>
    <row r="16" spans="1:45" ht="15" x14ac:dyDescent="0.2">
      <c r="A16" s="284">
        <v>8</v>
      </c>
      <c r="B16" s="129" t="s">
        <v>33</v>
      </c>
      <c r="C16" s="128">
        <v>2</v>
      </c>
      <c r="D16" s="107">
        <v>8.4730000000000008</v>
      </c>
      <c r="E16" s="119">
        <f t="shared" si="0"/>
        <v>16.95</v>
      </c>
      <c r="F16" s="110">
        <f t="shared" si="1"/>
        <v>203.4</v>
      </c>
      <c r="G16" s="124">
        <f>29314.2/1000</f>
        <v>29.3</v>
      </c>
      <c r="H16" s="110">
        <f>9637.5/1000</f>
        <v>9.6</v>
      </c>
      <c r="I16" s="110"/>
      <c r="J16" s="110"/>
      <c r="K16" s="95">
        <f>D16*0.25*10+D16*0.3*2+F16*0.35</f>
        <v>97.5</v>
      </c>
      <c r="L16" s="95">
        <f t="shared" si="12"/>
        <v>7.8</v>
      </c>
      <c r="M16" s="95">
        <f t="shared" si="2"/>
        <v>347.6</v>
      </c>
      <c r="N16" s="111">
        <v>0.41</v>
      </c>
      <c r="O16" s="95">
        <f t="shared" si="3"/>
        <v>142.5</v>
      </c>
      <c r="P16" s="95">
        <f t="shared" si="4"/>
        <v>490.1</v>
      </c>
      <c r="Q16" s="95">
        <f t="shared" si="5"/>
        <v>392.1</v>
      </c>
      <c r="R16" s="95">
        <f t="shared" si="6"/>
        <v>392.1</v>
      </c>
      <c r="S16" s="95">
        <f t="shared" si="7"/>
        <v>40.799999999999997</v>
      </c>
      <c r="T16" s="95">
        <f t="shared" si="13"/>
        <v>1315.1</v>
      </c>
      <c r="U16" s="2258"/>
      <c r="V16" s="95">
        <f t="shared" si="18"/>
        <v>1315.1</v>
      </c>
      <c r="W16" s="95">
        <f t="shared" si="19"/>
        <v>397.2</v>
      </c>
      <c r="X16" s="118">
        <v>1</v>
      </c>
      <c r="Y16" s="112">
        <v>30</v>
      </c>
      <c r="Z16" s="113">
        <f t="shared" si="8"/>
        <v>30</v>
      </c>
      <c r="AA16" s="118"/>
      <c r="AB16" s="112">
        <v>15</v>
      </c>
      <c r="AC16" s="113">
        <f t="shared" si="9"/>
        <v>0</v>
      </c>
      <c r="AD16" s="118"/>
      <c r="AE16" s="112">
        <v>30</v>
      </c>
      <c r="AF16" s="113">
        <f t="shared" si="14"/>
        <v>0</v>
      </c>
      <c r="AG16" s="113">
        <f t="shared" si="15"/>
        <v>9</v>
      </c>
      <c r="AH16" s="113">
        <f t="shared" si="16"/>
        <v>39</v>
      </c>
      <c r="AI16" s="114">
        <f t="shared" si="10"/>
        <v>54795.8</v>
      </c>
      <c r="AJ16" s="114"/>
      <c r="AK16" s="114">
        <f t="shared" si="11"/>
        <v>657.6</v>
      </c>
      <c r="AL16" s="114">
        <f t="shared" si="17"/>
        <v>237.2</v>
      </c>
      <c r="AM16" s="115">
        <v>0.30199999999999999</v>
      </c>
      <c r="AO16" s="116"/>
      <c r="AP16" s="116"/>
      <c r="AQ16" s="116"/>
      <c r="AS16" s="115"/>
    </row>
    <row r="17" spans="1:45" ht="51" x14ac:dyDescent="0.2">
      <c r="A17" s="284">
        <v>9</v>
      </c>
      <c r="B17" s="117" t="s">
        <v>103</v>
      </c>
      <c r="C17" s="128">
        <v>1</v>
      </c>
      <c r="D17" s="107">
        <v>4.4569999999999999</v>
      </c>
      <c r="E17" s="119">
        <f t="shared" si="0"/>
        <v>4.46</v>
      </c>
      <c r="F17" s="110">
        <f t="shared" si="1"/>
        <v>53.5</v>
      </c>
      <c r="G17" s="110"/>
      <c r="H17" s="110"/>
      <c r="I17" s="110"/>
      <c r="J17" s="110"/>
      <c r="K17" s="95"/>
      <c r="L17" s="95">
        <f t="shared" si="12"/>
        <v>2.1</v>
      </c>
      <c r="M17" s="95">
        <f t="shared" si="2"/>
        <v>55.6</v>
      </c>
      <c r="N17" s="111">
        <v>0.61</v>
      </c>
      <c r="O17" s="95">
        <f t="shared" si="3"/>
        <v>33.9</v>
      </c>
      <c r="P17" s="95">
        <f t="shared" si="4"/>
        <v>89.5</v>
      </c>
      <c r="Q17" s="95">
        <f t="shared" si="5"/>
        <v>71.599999999999994</v>
      </c>
      <c r="R17" s="95">
        <f t="shared" si="6"/>
        <v>71.599999999999994</v>
      </c>
      <c r="S17" s="95">
        <f t="shared" si="7"/>
        <v>7.4</v>
      </c>
      <c r="T17" s="95">
        <f t="shared" si="13"/>
        <v>240.1</v>
      </c>
      <c r="U17" s="2258"/>
      <c r="V17" s="95">
        <f>T17*$U$9</f>
        <v>240.1</v>
      </c>
      <c r="W17" s="95">
        <f t="shared" si="19"/>
        <v>72.5</v>
      </c>
      <c r="X17" s="118"/>
      <c r="Y17" s="112">
        <v>30</v>
      </c>
      <c r="Z17" s="113">
        <f t="shared" si="8"/>
        <v>0</v>
      </c>
      <c r="AA17" s="118"/>
      <c r="AB17" s="112">
        <v>15</v>
      </c>
      <c r="AC17" s="113">
        <f t="shared" si="9"/>
        <v>0</v>
      </c>
      <c r="AD17" s="118"/>
      <c r="AE17" s="112">
        <v>30</v>
      </c>
      <c r="AF17" s="113">
        <f t="shared" si="14"/>
        <v>0</v>
      </c>
      <c r="AG17" s="113">
        <f t="shared" si="15"/>
        <v>0</v>
      </c>
      <c r="AH17" s="113">
        <f t="shared" si="16"/>
        <v>0</v>
      </c>
      <c r="AI17" s="114">
        <f t="shared" si="10"/>
        <v>20008.3</v>
      </c>
      <c r="AJ17" s="114"/>
      <c r="AK17" s="114">
        <f t="shared" si="11"/>
        <v>240.1</v>
      </c>
      <c r="AL17" s="114">
        <f t="shared" si="17"/>
        <v>161.19999999999999</v>
      </c>
      <c r="AM17" s="115">
        <v>0.30199999999999999</v>
      </c>
      <c r="AN17" s="130"/>
      <c r="AO17" s="130"/>
      <c r="AP17" s="130"/>
      <c r="AS17" s="115"/>
    </row>
    <row r="18" spans="1:45" s="126" customFormat="1" ht="25.5" x14ac:dyDescent="0.2">
      <c r="A18" s="284">
        <v>10</v>
      </c>
      <c r="B18" s="129" t="s">
        <v>34</v>
      </c>
      <c r="C18" s="122">
        <v>3</v>
      </c>
      <c r="D18" s="107">
        <v>7.1950000000000003</v>
      </c>
      <c r="E18" s="123">
        <f t="shared" si="0"/>
        <v>21.59</v>
      </c>
      <c r="F18" s="124">
        <f t="shared" si="1"/>
        <v>259.10000000000002</v>
      </c>
      <c r="G18" s="124">
        <f>44329.4/1000</f>
        <v>44.3</v>
      </c>
      <c r="H18" s="124">
        <f>16367.8/1000</f>
        <v>16.399999999999999</v>
      </c>
      <c r="I18" s="124"/>
      <c r="J18" s="125"/>
      <c r="K18" s="96"/>
      <c r="L18" s="95">
        <f t="shared" si="12"/>
        <v>9.9</v>
      </c>
      <c r="M18" s="96">
        <f t="shared" si="2"/>
        <v>329.7</v>
      </c>
      <c r="N18" s="111">
        <v>0.41</v>
      </c>
      <c r="O18" s="96">
        <f t="shared" si="3"/>
        <v>135.19999999999999</v>
      </c>
      <c r="P18" s="96">
        <f t="shared" si="4"/>
        <v>464.9</v>
      </c>
      <c r="Q18" s="96">
        <f t="shared" si="5"/>
        <v>371.9</v>
      </c>
      <c r="R18" s="96">
        <f t="shared" si="6"/>
        <v>371.9</v>
      </c>
      <c r="S18" s="96">
        <f t="shared" si="7"/>
        <v>38.700000000000003</v>
      </c>
      <c r="T18" s="96">
        <f t="shared" si="13"/>
        <v>1247.4000000000001</v>
      </c>
      <c r="U18" s="2258"/>
      <c r="V18" s="96">
        <f t="shared" si="18"/>
        <v>1247.4000000000001</v>
      </c>
      <c r="W18" s="95">
        <f t="shared" si="19"/>
        <v>376.7</v>
      </c>
      <c r="X18" s="284">
        <v>1</v>
      </c>
      <c r="Y18" s="112">
        <v>30</v>
      </c>
      <c r="Z18" s="113">
        <f t="shared" si="8"/>
        <v>30</v>
      </c>
      <c r="AA18" s="284"/>
      <c r="AB18" s="112">
        <v>15</v>
      </c>
      <c r="AC18" s="113">
        <f t="shared" si="9"/>
        <v>0</v>
      </c>
      <c r="AD18" s="284"/>
      <c r="AE18" s="112">
        <v>30</v>
      </c>
      <c r="AF18" s="113">
        <f t="shared" si="14"/>
        <v>0</v>
      </c>
      <c r="AG18" s="113">
        <f t="shared" si="15"/>
        <v>9</v>
      </c>
      <c r="AH18" s="113">
        <f t="shared" si="16"/>
        <v>39</v>
      </c>
      <c r="AI18" s="114">
        <f t="shared" si="10"/>
        <v>34650</v>
      </c>
      <c r="AJ18" s="114"/>
      <c r="AK18" s="114">
        <f t="shared" si="11"/>
        <v>415.8</v>
      </c>
      <c r="AL18" s="114">
        <f t="shared" si="17"/>
        <v>193.2</v>
      </c>
      <c r="AM18" s="115">
        <v>0.30199999999999999</v>
      </c>
      <c r="AN18" s="130"/>
      <c r="AO18" s="130"/>
      <c r="AP18" s="130"/>
      <c r="AQ18" s="22"/>
      <c r="AS18" s="115"/>
    </row>
    <row r="19" spans="1:45" s="126" customFormat="1" x14ac:dyDescent="0.2">
      <c r="A19" s="284">
        <v>11</v>
      </c>
      <c r="B19" s="129" t="s">
        <v>35</v>
      </c>
      <c r="C19" s="122">
        <v>1</v>
      </c>
      <c r="D19" s="107">
        <v>4.4569999999999999</v>
      </c>
      <c r="E19" s="123">
        <f t="shared" si="0"/>
        <v>4.46</v>
      </c>
      <c r="F19" s="124">
        <f t="shared" si="1"/>
        <v>53.5</v>
      </c>
      <c r="G19" s="124"/>
      <c r="H19" s="124"/>
      <c r="I19" s="124"/>
      <c r="J19" s="125"/>
      <c r="K19" s="96"/>
      <c r="L19" s="95">
        <f t="shared" si="12"/>
        <v>2.1</v>
      </c>
      <c r="M19" s="96">
        <f t="shared" si="2"/>
        <v>55.6</v>
      </c>
      <c r="N19" s="111">
        <v>0.61</v>
      </c>
      <c r="O19" s="96">
        <f t="shared" si="3"/>
        <v>33.9</v>
      </c>
      <c r="P19" s="96">
        <f t="shared" si="4"/>
        <v>89.5</v>
      </c>
      <c r="Q19" s="96">
        <f t="shared" si="5"/>
        <v>71.599999999999994</v>
      </c>
      <c r="R19" s="96">
        <f t="shared" si="6"/>
        <v>71.599999999999994</v>
      </c>
      <c r="S19" s="96">
        <f t="shared" si="7"/>
        <v>7.4</v>
      </c>
      <c r="T19" s="96">
        <f t="shared" si="13"/>
        <v>240.1</v>
      </c>
      <c r="U19" s="2258"/>
      <c r="V19" s="96">
        <f t="shared" si="18"/>
        <v>240.1</v>
      </c>
      <c r="W19" s="95">
        <f t="shared" si="19"/>
        <v>72.5</v>
      </c>
      <c r="X19" s="284"/>
      <c r="Y19" s="112">
        <v>30</v>
      </c>
      <c r="Z19" s="113">
        <f t="shared" si="8"/>
        <v>0</v>
      </c>
      <c r="AA19" s="284"/>
      <c r="AB19" s="112">
        <v>15</v>
      </c>
      <c r="AC19" s="113">
        <f t="shared" si="9"/>
        <v>0</v>
      </c>
      <c r="AD19" s="284"/>
      <c r="AE19" s="112">
        <v>30</v>
      </c>
      <c r="AF19" s="113">
        <f t="shared" si="14"/>
        <v>0</v>
      </c>
      <c r="AG19" s="113">
        <f t="shared" si="15"/>
        <v>0</v>
      </c>
      <c r="AH19" s="113">
        <f t="shared" si="16"/>
        <v>0</v>
      </c>
      <c r="AI19" s="114">
        <f t="shared" si="10"/>
        <v>20008.3</v>
      </c>
      <c r="AJ19" s="114"/>
      <c r="AK19" s="114">
        <f t="shared" si="11"/>
        <v>240.1</v>
      </c>
      <c r="AL19" s="114">
        <f t="shared" si="17"/>
        <v>161.19999999999999</v>
      </c>
      <c r="AM19" s="115">
        <v>0.30199999999999999</v>
      </c>
      <c r="AN19" s="130"/>
      <c r="AO19" s="130"/>
      <c r="AP19" s="130"/>
      <c r="AQ19" s="22"/>
      <c r="AS19" s="115"/>
    </row>
    <row r="20" spans="1:45" s="126" customFormat="1" x14ac:dyDescent="0.2">
      <c r="A20" s="284">
        <v>12</v>
      </c>
      <c r="B20" s="129" t="s">
        <v>25</v>
      </c>
      <c r="C20" s="125">
        <v>0.5</v>
      </c>
      <c r="D20" s="107">
        <v>4.3109999999999999</v>
      </c>
      <c r="E20" s="123">
        <f t="shared" si="0"/>
        <v>2.16</v>
      </c>
      <c r="F20" s="124">
        <f>E20*12</f>
        <v>25.9</v>
      </c>
      <c r="G20" s="124">
        <f>5056.7/1000</f>
        <v>5.0999999999999996</v>
      </c>
      <c r="H20" s="124">
        <f>437.8/1000</f>
        <v>0.4</v>
      </c>
      <c r="I20" s="124"/>
      <c r="J20" s="125"/>
      <c r="K20" s="96"/>
      <c r="L20" s="95">
        <f t="shared" si="12"/>
        <v>1</v>
      </c>
      <c r="M20" s="96">
        <f>F20+G20+H20+I20+J20+K20+L20</f>
        <v>32.4</v>
      </c>
      <c r="N20" s="111">
        <v>0.75</v>
      </c>
      <c r="O20" s="96">
        <f>M20*N20</f>
        <v>24.3</v>
      </c>
      <c r="P20" s="96">
        <f>M20+O20</f>
        <v>56.7</v>
      </c>
      <c r="Q20" s="96">
        <f>P20*0.8</f>
        <v>45.4</v>
      </c>
      <c r="R20" s="96">
        <f>P20*0.8</f>
        <v>45.4</v>
      </c>
      <c r="S20" s="96">
        <f>(P20+Q20+R20)*0.032</f>
        <v>4.7</v>
      </c>
      <c r="T20" s="96">
        <f>P20+Q20+R20+S20</f>
        <v>152.19999999999999</v>
      </c>
      <c r="U20" s="2258"/>
      <c r="V20" s="96">
        <f>T20*$U$9</f>
        <v>152.19999999999999</v>
      </c>
      <c r="W20" s="95">
        <f t="shared" si="19"/>
        <v>46</v>
      </c>
      <c r="X20" s="284"/>
      <c r="Y20" s="112">
        <v>30</v>
      </c>
      <c r="Z20" s="113">
        <f t="shared" si="8"/>
        <v>0</v>
      </c>
      <c r="AA20" s="284"/>
      <c r="AB20" s="112">
        <v>15</v>
      </c>
      <c r="AC20" s="113">
        <f t="shared" si="9"/>
        <v>0</v>
      </c>
      <c r="AD20" s="284"/>
      <c r="AE20" s="112">
        <v>30</v>
      </c>
      <c r="AF20" s="113">
        <f t="shared" si="14"/>
        <v>0</v>
      </c>
      <c r="AG20" s="113">
        <f t="shared" si="15"/>
        <v>0</v>
      </c>
      <c r="AH20" s="113">
        <f t="shared" si="16"/>
        <v>0</v>
      </c>
      <c r="AI20" s="114">
        <f>V20/12*1000</f>
        <v>12683.3</v>
      </c>
      <c r="AJ20" s="114"/>
      <c r="AK20" s="114">
        <f t="shared" si="11"/>
        <v>304.39999999999998</v>
      </c>
      <c r="AL20" s="114">
        <f t="shared" si="17"/>
        <v>172.9</v>
      </c>
      <c r="AM20" s="115">
        <v>0.30199999999999999</v>
      </c>
      <c r="AN20" s="130"/>
      <c r="AO20" s="130"/>
      <c r="AP20" s="130"/>
      <c r="AQ20" s="22"/>
      <c r="AS20" s="115"/>
    </row>
    <row r="21" spans="1:45" s="98" customFormat="1" ht="20.25" customHeight="1" x14ac:dyDescent="0.2">
      <c r="A21" s="2260" t="s">
        <v>8</v>
      </c>
      <c r="B21" s="2260"/>
      <c r="C21" s="97">
        <f t="shared" ref="C21:M21" si="20">SUM(C9:C20)</f>
        <v>15.5</v>
      </c>
      <c r="D21" s="97">
        <f t="shared" si="20"/>
        <v>119.5</v>
      </c>
      <c r="E21" s="97">
        <f t="shared" si="20"/>
        <v>148.69999999999999</v>
      </c>
      <c r="F21" s="97">
        <f t="shared" si="20"/>
        <v>1783.7</v>
      </c>
      <c r="G21" s="97">
        <f t="shared" si="20"/>
        <v>78.7</v>
      </c>
      <c r="H21" s="97">
        <f t="shared" si="20"/>
        <v>26.4</v>
      </c>
      <c r="I21" s="97">
        <f t="shared" si="20"/>
        <v>0</v>
      </c>
      <c r="J21" s="97">
        <f t="shared" si="20"/>
        <v>0</v>
      </c>
      <c r="K21" s="97">
        <f t="shared" si="20"/>
        <v>316.39999999999998</v>
      </c>
      <c r="L21" s="97">
        <f t="shared" si="20"/>
        <v>68.599999999999994</v>
      </c>
      <c r="M21" s="97">
        <f t="shared" si="20"/>
        <v>2273.8000000000002</v>
      </c>
      <c r="N21" s="97"/>
      <c r="O21" s="97">
        <f t="shared" ref="O21:AH21" si="21">SUM(O9:O20)</f>
        <v>1033.7</v>
      </c>
      <c r="P21" s="97">
        <f t="shared" si="21"/>
        <v>3307.5</v>
      </c>
      <c r="Q21" s="97">
        <f t="shared" si="21"/>
        <v>2646</v>
      </c>
      <c r="R21" s="97">
        <f t="shared" si="21"/>
        <v>2646</v>
      </c>
      <c r="S21" s="97">
        <f t="shared" si="21"/>
        <v>275.2</v>
      </c>
      <c r="T21" s="97">
        <f t="shared" si="21"/>
        <v>8874.7000000000007</v>
      </c>
      <c r="U21" s="97">
        <f t="shared" si="21"/>
        <v>1</v>
      </c>
      <c r="V21" s="97">
        <f t="shared" si="21"/>
        <v>8874.7000000000007</v>
      </c>
      <c r="W21" s="97">
        <f t="shared" si="21"/>
        <v>2635.8</v>
      </c>
      <c r="X21" s="97">
        <f t="shared" si="21"/>
        <v>6</v>
      </c>
      <c r="Y21" s="97">
        <f t="shared" si="21"/>
        <v>360</v>
      </c>
      <c r="Z21" s="97">
        <f t="shared" si="21"/>
        <v>180</v>
      </c>
      <c r="AA21" s="97">
        <f t="shared" si="21"/>
        <v>1</v>
      </c>
      <c r="AB21" s="97">
        <f t="shared" si="21"/>
        <v>180</v>
      </c>
      <c r="AC21" s="97">
        <f t="shared" si="21"/>
        <v>15</v>
      </c>
      <c r="AD21" s="97">
        <f t="shared" si="21"/>
        <v>0</v>
      </c>
      <c r="AE21" s="97">
        <f t="shared" si="21"/>
        <v>360</v>
      </c>
      <c r="AF21" s="97">
        <f t="shared" si="21"/>
        <v>0</v>
      </c>
      <c r="AG21" s="97">
        <f t="shared" si="21"/>
        <v>58.5</v>
      </c>
      <c r="AH21" s="97">
        <f t="shared" si="21"/>
        <v>253.5</v>
      </c>
      <c r="AN21" s="130"/>
      <c r="AO21" s="130"/>
      <c r="AP21" s="130"/>
      <c r="AQ21" s="22"/>
    </row>
    <row r="22" spans="1:45" x14ac:dyDescent="0.2">
      <c r="G22" s="131"/>
      <c r="H22" s="131"/>
      <c r="I22" s="131"/>
      <c r="J22" s="131"/>
      <c r="K22" s="131"/>
      <c r="L22" s="131"/>
      <c r="M22" s="131"/>
      <c r="N22" s="131"/>
      <c r="O22" s="131"/>
      <c r="P22" s="131"/>
      <c r="Q22" s="131"/>
      <c r="R22" s="131"/>
      <c r="S22" s="131"/>
      <c r="T22" s="131"/>
      <c r="V22" s="114"/>
      <c r="W22" s="66"/>
      <c r="X22" s="132"/>
      <c r="Y22" s="132"/>
      <c r="Z22" s="132"/>
      <c r="AA22" s="131"/>
      <c r="AD22" s="131"/>
      <c r="AG22" s="131"/>
      <c r="AH22" s="131"/>
      <c r="AN22" s="130"/>
      <c r="AO22" s="130"/>
      <c r="AP22" s="130"/>
    </row>
    <row r="23" spans="1:45" x14ac:dyDescent="0.2">
      <c r="G23" s="131"/>
      <c r="H23" s="131"/>
      <c r="I23" s="131"/>
      <c r="J23" s="131"/>
      <c r="K23" s="131"/>
      <c r="L23" s="131"/>
      <c r="M23" s="131"/>
      <c r="N23" s="131"/>
      <c r="O23" s="131"/>
      <c r="P23" s="131"/>
      <c r="Q23" s="131"/>
      <c r="R23" s="131"/>
      <c r="S23" s="131"/>
      <c r="T23" s="131"/>
      <c r="V23" s="114"/>
      <c r="W23" s="114"/>
      <c r="X23" s="133"/>
      <c r="Y23" s="133"/>
      <c r="Z23" s="133"/>
      <c r="AA23" s="131"/>
      <c r="AD23" s="131"/>
      <c r="AG23" s="131"/>
      <c r="AH23" s="131"/>
      <c r="AN23" s="130"/>
      <c r="AO23" s="130"/>
      <c r="AP23" s="130"/>
    </row>
    <row r="24" spans="1:45" s="62" customFormat="1" ht="14.25" x14ac:dyDescent="0.2">
      <c r="A24" s="68"/>
      <c r="B24" s="63"/>
      <c r="C24" s="26"/>
      <c r="D24" s="26"/>
      <c r="E24" s="26"/>
      <c r="F24" s="26"/>
      <c r="G24" s="26"/>
      <c r="H24" s="26"/>
      <c r="I24" s="26"/>
      <c r="J24" s="26"/>
      <c r="K24" s="26"/>
      <c r="L24" s="26"/>
      <c r="M24" s="26"/>
      <c r="N24" s="26"/>
      <c r="O24" s="26"/>
      <c r="P24" s="26"/>
      <c r="Q24" s="26"/>
      <c r="R24" s="26"/>
      <c r="S24" s="26"/>
      <c r="T24" s="26"/>
      <c r="U24" s="64"/>
      <c r="V24" s="69"/>
      <c r="W24" s="69"/>
      <c r="X24" s="65"/>
      <c r="Y24" s="65"/>
      <c r="Z24" s="65"/>
      <c r="AA24" s="65"/>
      <c r="AB24" s="65"/>
      <c r="AC24" s="65"/>
      <c r="AD24" s="65"/>
      <c r="AE24" s="65"/>
      <c r="AF24" s="65"/>
      <c r="AG24" s="65"/>
      <c r="AH24" s="65"/>
      <c r="AI24" s="67"/>
      <c r="AJ24" s="61"/>
      <c r="AK24" s="61"/>
      <c r="AL24" s="134"/>
      <c r="AM24" s="135"/>
    </row>
    <row r="25" spans="1:45" s="75" customFormat="1" ht="15" x14ac:dyDescent="0.2">
      <c r="A25" s="70"/>
      <c r="B25" s="70"/>
      <c r="C25" s="71"/>
      <c r="D25" s="72"/>
      <c r="E25" s="72"/>
      <c r="F25" s="72"/>
      <c r="G25" s="72"/>
      <c r="H25" s="73"/>
      <c r="I25" s="73"/>
      <c r="J25" s="27"/>
      <c r="K25" s="27"/>
      <c r="L25" s="27"/>
      <c r="M25" s="27"/>
      <c r="N25" s="74"/>
      <c r="O25" s="27"/>
      <c r="P25" s="27"/>
      <c r="Q25" s="27"/>
      <c r="R25" s="27"/>
      <c r="S25" s="27"/>
      <c r="T25" s="27"/>
      <c r="U25" s="27"/>
      <c r="V25" s="27"/>
      <c r="W25" s="27"/>
      <c r="X25" s="27"/>
      <c r="Y25" s="27"/>
      <c r="Z25" s="27"/>
      <c r="AA25" s="27"/>
      <c r="AB25" s="27"/>
      <c r="AC25" s="27"/>
      <c r="AD25" s="27"/>
      <c r="AE25" s="27"/>
      <c r="AF25" s="27"/>
      <c r="AG25" s="27"/>
      <c r="AH25" s="27"/>
      <c r="AI25" s="27"/>
      <c r="AJ25" s="76"/>
      <c r="AN25" s="76"/>
      <c r="AO25" s="76"/>
      <c r="AP25" s="76"/>
      <c r="AQ25" s="76"/>
      <c r="AR25" s="76"/>
    </row>
    <row r="26" spans="1:45" s="75" customFormat="1" ht="55.5" customHeight="1" x14ac:dyDescent="0.2">
      <c r="A26" s="70"/>
      <c r="B26" s="70"/>
      <c r="C26" s="71"/>
      <c r="D26" s="77"/>
      <c r="E26" s="77"/>
      <c r="F26" s="27"/>
      <c r="G26" s="2244" t="s">
        <v>140</v>
      </c>
      <c r="H26" s="2244"/>
      <c r="I26" s="2244" t="s">
        <v>141</v>
      </c>
      <c r="J26" s="2244"/>
      <c r="K26" s="2244" t="s">
        <v>128</v>
      </c>
      <c r="L26" s="2244"/>
      <c r="Q26" s="27"/>
      <c r="R26" s="27"/>
      <c r="S26" s="27"/>
      <c r="T26" s="27"/>
      <c r="U26" s="27"/>
      <c r="V26" s="27"/>
      <c r="W26" s="27"/>
      <c r="X26" s="27"/>
      <c r="Y26" s="27"/>
      <c r="Z26" s="27"/>
      <c r="AA26" s="27"/>
      <c r="AB26" s="27"/>
      <c r="AC26" s="27"/>
      <c r="AD26" s="27"/>
      <c r="AE26" s="27"/>
      <c r="AF26" s="27"/>
      <c r="AG26" s="27"/>
      <c r="AH26" s="27"/>
      <c r="AI26" s="27"/>
      <c r="AJ26" s="76"/>
      <c r="AN26" s="76"/>
      <c r="AO26" s="76"/>
      <c r="AP26" s="76"/>
      <c r="AQ26" s="76"/>
      <c r="AR26" s="76"/>
    </row>
    <row r="27" spans="1:45" s="75" customFormat="1" ht="15" x14ac:dyDescent="0.2">
      <c r="A27" s="70"/>
      <c r="B27" s="70"/>
      <c r="C27" s="71"/>
      <c r="D27" s="77"/>
      <c r="E27" s="77"/>
      <c r="F27" s="27"/>
      <c r="G27" s="279">
        <v>991</v>
      </c>
      <c r="H27" s="279">
        <v>992</v>
      </c>
      <c r="I27" s="279">
        <v>991</v>
      </c>
      <c r="J27" s="279">
        <v>992</v>
      </c>
      <c r="K27" s="279">
        <v>991</v>
      </c>
      <c r="L27" s="279">
        <v>992</v>
      </c>
      <c r="Q27" s="27"/>
      <c r="R27" s="27"/>
      <c r="S27" s="27"/>
      <c r="T27" s="27"/>
      <c r="U27" s="27"/>
      <c r="V27" s="27"/>
      <c r="W27" s="27"/>
      <c r="X27" s="27"/>
      <c r="Y27" s="27"/>
      <c r="Z27" s="27"/>
      <c r="AA27" s="27"/>
      <c r="AB27" s="27"/>
      <c r="AC27" s="27"/>
      <c r="AD27" s="27"/>
      <c r="AE27" s="27"/>
      <c r="AF27" s="27"/>
      <c r="AG27" s="27"/>
      <c r="AH27" s="27"/>
      <c r="AI27" s="27"/>
      <c r="AJ27" s="76"/>
      <c r="AN27" s="76"/>
      <c r="AO27" s="76"/>
      <c r="AP27" s="76"/>
      <c r="AQ27" s="76"/>
      <c r="AR27" s="76"/>
    </row>
    <row r="28" spans="1:45" s="75" customFormat="1" ht="15" x14ac:dyDescent="0.2">
      <c r="A28" s="70"/>
      <c r="B28" s="70"/>
      <c r="C28" s="71"/>
      <c r="D28" s="77"/>
      <c r="E28" s="77"/>
      <c r="F28" s="27"/>
      <c r="G28" s="29">
        <v>8874.7000000000007</v>
      </c>
      <c r="H28" s="29">
        <v>2640.7</v>
      </c>
      <c r="I28" s="29">
        <f>V21</f>
        <v>8874.7000000000007</v>
      </c>
      <c r="J28" s="29">
        <f>W21</f>
        <v>2635.8</v>
      </c>
      <c r="K28" s="29">
        <f>G28-I28</f>
        <v>0</v>
      </c>
      <c r="L28" s="29">
        <f>H28-J28</f>
        <v>4.9000000000000004</v>
      </c>
      <c r="Q28" s="27"/>
      <c r="R28" s="27"/>
      <c r="S28" s="27"/>
      <c r="T28" s="27"/>
      <c r="U28" s="27"/>
      <c r="V28" s="27"/>
      <c r="W28" s="27"/>
      <c r="X28" s="27"/>
      <c r="Y28" s="27"/>
      <c r="Z28" s="27"/>
      <c r="AA28" s="27"/>
      <c r="AB28" s="27"/>
      <c r="AC28" s="27"/>
      <c r="AD28" s="27"/>
      <c r="AE28" s="27"/>
      <c r="AF28" s="27"/>
      <c r="AG28" s="27"/>
      <c r="AH28" s="27"/>
      <c r="AI28" s="27"/>
      <c r="AJ28" s="76"/>
      <c r="AN28" s="76"/>
      <c r="AO28" s="76"/>
      <c r="AP28" s="76"/>
      <c r="AQ28" s="76"/>
      <c r="AR28" s="76"/>
    </row>
    <row r="29" spans="1:45" s="143" customFormat="1" ht="15" x14ac:dyDescent="0.2">
      <c r="A29" s="136"/>
      <c r="B29" s="136"/>
      <c r="C29" s="137"/>
      <c r="D29" s="138"/>
      <c r="E29" s="138"/>
      <c r="F29" s="138"/>
      <c r="G29" s="138"/>
      <c r="H29" s="139"/>
      <c r="I29" s="139"/>
      <c r="J29" s="140"/>
      <c r="K29" s="140"/>
      <c r="L29" s="140"/>
      <c r="M29" s="140"/>
      <c r="N29" s="141"/>
      <c r="O29" s="140"/>
      <c r="P29" s="140"/>
      <c r="Q29" s="140"/>
      <c r="R29" s="140"/>
      <c r="S29" s="140"/>
      <c r="T29" s="140"/>
      <c r="U29" s="140"/>
      <c r="V29" s="140"/>
      <c r="W29" s="140"/>
      <c r="X29" s="140"/>
      <c r="Y29" s="140"/>
      <c r="Z29" s="140"/>
      <c r="AA29" s="140"/>
      <c r="AB29" s="140"/>
      <c r="AC29" s="140"/>
      <c r="AD29" s="140"/>
      <c r="AE29" s="140"/>
      <c r="AF29" s="140"/>
      <c r="AG29" s="140"/>
      <c r="AH29" s="140"/>
      <c r="AI29" s="142"/>
      <c r="AN29" s="22"/>
      <c r="AO29" s="22"/>
      <c r="AP29" s="22"/>
      <c r="AQ29" s="22"/>
    </row>
    <row r="30" spans="1:45" s="143" customFormat="1" ht="15" x14ac:dyDescent="0.2">
      <c r="A30" s="136"/>
      <c r="B30" s="136"/>
      <c r="C30" s="137"/>
      <c r="D30" s="138"/>
      <c r="E30" s="138"/>
      <c r="F30" s="138"/>
      <c r="G30" s="138"/>
      <c r="H30" s="139"/>
      <c r="I30" s="139"/>
      <c r="J30" s="140"/>
      <c r="K30" s="140"/>
      <c r="L30" s="140"/>
      <c r="M30" s="140"/>
      <c r="N30" s="141"/>
      <c r="O30" s="140"/>
      <c r="P30" s="140"/>
      <c r="Q30" s="140"/>
      <c r="R30" s="140"/>
      <c r="S30" s="140"/>
      <c r="T30" s="140"/>
      <c r="U30" s="140"/>
      <c r="V30" s="140"/>
      <c r="W30" s="140"/>
      <c r="X30" s="140"/>
      <c r="Y30" s="140"/>
      <c r="Z30" s="140"/>
      <c r="AA30" s="140"/>
      <c r="AB30" s="140"/>
      <c r="AC30" s="140"/>
      <c r="AD30" s="140"/>
      <c r="AE30" s="140"/>
      <c r="AF30" s="140"/>
      <c r="AG30" s="140"/>
      <c r="AH30" s="140"/>
      <c r="AI30" s="142"/>
      <c r="AN30" s="22"/>
      <c r="AO30" s="22"/>
      <c r="AP30" s="22"/>
      <c r="AQ30" s="22"/>
    </row>
    <row r="31" spans="1:45" s="143" customFormat="1" ht="15" x14ac:dyDescent="0.2">
      <c r="A31" s="136"/>
      <c r="B31" s="136"/>
      <c r="C31" s="137"/>
      <c r="D31" s="144"/>
      <c r="E31" s="144"/>
      <c r="F31" s="140"/>
      <c r="G31" s="140"/>
      <c r="H31" s="139"/>
      <c r="I31" s="139"/>
      <c r="J31" s="140"/>
      <c r="K31" s="140"/>
      <c r="L31" s="140"/>
      <c r="M31" s="140"/>
      <c r="N31" s="141"/>
      <c r="O31" s="140"/>
      <c r="P31" s="140"/>
      <c r="Q31" s="140"/>
      <c r="R31" s="140"/>
      <c r="S31" s="140"/>
      <c r="T31" s="140"/>
      <c r="U31" s="140"/>
      <c r="V31" s="140"/>
      <c r="W31" s="140"/>
      <c r="X31" s="140"/>
      <c r="Y31" s="140"/>
      <c r="Z31" s="140"/>
      <c r="AA31" s="140"/>
      <c r="AB31" s="140"/>
      <c r="AC31" s="140"/>
      <c r="AD31" s="140"/>
      <c r="AE31" s="140"/>
      <c r="AF31" s="140"/>
      <c r="AG31" s="140"/>
      <c r="AH31" s="140"/>
      <c r="AI31" s="142"/>
      <c r="AN31" s="22"/>
      <c r="AO31" s="22"/>
      <c r="AP31" s="22"/>
      <c r="AQ31" s="22"/>
    </row>
    <row r="32" spans="1:45" s="282" customFormat="1" ht="20.25" x14ac:dyDescent="0.2">
      <c r="A32" s="81"/>
      <c r="B32" s="82" t="s">
        <v>138</v>
      </c>
      <c r="C32" s="83"/>
      <c r="D32" s="84"/>
      <c r="E32" s="84"/>
      <c r="F32" s="85"/>
      <c r="G32" s="85"/>
      <c r="H32" s="86"/>
      <c r="I32" s="86"/>
      <c r="J32" s="85"/>
      <c r="K32" s="30" t="s">
        <v>166</v>
      </c>
      <c r="L32" s="85"/>
      <c r="M32" s="85"/>
      <c r="N32" s="87"/>
      <c r="O32" s="85"/>
      <c r="P32" s="85"/>
      <c r="Q32" s="85"/>
      <c r="R32" s="85"/>
      <c r="S32" s="85"/>
      <c r="T32" s="85"/>
      <c r="U32" s="85"/>
      <c r="V32" s="85"/>
      <c r="W32" s="85"/>
      <c r="X32" s="85"/>
      <c r="Y32" s="85"/>
      <c r="Z32" s="85"/>
      <c r="AA32" s="85"/>
      <c r="AB32" s="85"/>
      <c r="AC32" s="85"/>
      <c r="AD32" s="85"/>
      <c r="AE32" s="85"/>
      <c r="AF32" s="85"/>
      <c r="AG32" s="85"/>
      <c r="AH32" s="85"/>
      <c r="AI32" s="85"/>
      <c r="AK32" s="88"/>
      <c r="AL32" s="88"/>
      <c r="AM32" s="88"/>
      <c r="AN32" s="88"/>
      <c r="AO32" s="88"/>
    </row>
    <row r="33" spans="1:43" s="143" customFormat="1" ht="15" x14ac:dyDescent="0.2">
      <c r="A33" s="136"/>
      <c r="B33" s="136"/>
      <c r="C33" s="137"/>
      <c r="D33" s="144"/>
      <c r="E33" s="144"/>
      <c r="F33" s="140"/>
      <c r="G33" s="140"/>
      <c r="H33" s="139"/>
      <c r="I33" s="139"/>
      <c r="J33" s="140"/>
      <c r="K33" s="140"/>
      <c r="L33" s="140"/>
      <c r="M33" s="140"/>
      <c r="N33" s="141"/>
      <c r="O33" s="140"/>
      <c r="P33" s="140"/>
      <c r="Q33" s="140"/>
      <c r="R33" s="140"/>
      <c r="S33" s="140"/>
      <c r="T33" s="140"/>
      <c r="U33" s="140"/>
      <c r="V33" s="140"/>
      <c r="W33" s="140"/>
      <c r="X33" s="140"/>
      <c r="Y33" s="140"/>
      <c r="Z33" s="140"/>
      <c r="AA33" s="140"/>
      <c r="AB33" s="140"/>
      <c r="AC33" s="140"/>
      <c r="AD33" s="140"/>
      <c r="AE33" s="140"/>
      <c r="AF33" s="140"/>
      <c r="AG33" s="140"/>
      <c r="AH33" s="140"/>
      <c r="AI33" s="142"/>
      <c r="AN33" s="22"/>
      <c r="AO33" s="22"/>
      <c r="AP33" s="22"/>
      <c r="AQ33" s="22"/>
    </row>
    <row r="34" spans="1:43" s="143" customFormat="1" ht="20.25" customHeight="1" x14ac:dyDescent="0.2">
      <c r="A34" s="145" t="s">
        <v>96</v>
      </c>
      <c r="B34" s="145"/>
      <c r="C34" s="146"/>
      <c r="D34" s="146"/>
      <c r="E34" s="146"/>
      <c r="F34" s="146"/>
      <c r="G34" s="146"/>
      <c r="H34" s="146"/>
      <c r="I34" s="146"/>
      <c r="J34" s="146"/>
      <c r="K34" s="146"/>
      <c r="L34" s="147"/>
      <c r="M34" s="147"/>
      <c r="N34" s="148"/>
      <c r="O34" s="147"/>
      <c r="P34" s="147"/>
      <c r="Q34" s="147"/>
      <c r="R34" s="147"/>
      <c r="S34" s="147"/>
      <c r="T34" s="147"/>
      <c r="U34" s="147"/>
      <c r="V34" s="147"/>
      <c r="W34" s="147"/>
      <c r="X34" s="147"/>
      <c r="Y34" s="147"/>
      <c r="Z34" s="147"/>
      <c r="AA34" s="147"/>
      <c r="AB34" s="147"/>
      <c r="AC34" s="147"/>
      <c r="AD34" s="147"/>
      <c r="AE34" s="147"/>
      <c r="AF34" s="147"/>
      <c r="AG34" s="147"/>
      <c r="AH34" s="147"/>
      <c r="AI34" s="142"/>
      <c r="AN34" s="62"/>
      <c r="AO34" s="62"/>
      <c r="AP34" s="62"/>
      <c r="AQ34" s="60"/>
    </row>
    <row r="35" spans="1:43" s="143" customFormat="1" ht="20.25" customHeight="1" x14ac:dyDescent="0.2">
      <c r="A35" s="145" t="s">
        <v>139</v>
      </c>
      <c r="B35" s="149"/>
      <c r="C35" s="150"/>
      <c r="D35" s="150"/>
      <c r="E35" s="151"/>
      <c r="F35" s="151"/>
      <c r="G35" s="151"/>
      <c r="H35" s="151"/>
      <c r="I35" s="151"/>
      <c r="J35" s="151"/>
      <c r="K35" s="151"/>
      <c r="L35" s="147"/>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2"/>
      <c r="AN35" s="62"/>
      <c r="AO35" s="62"/>
      <c r="AP35" s="62"/>
      <c r="AQ35" s="62"/>
    </row>
    <row r="36" spans="1:43" ht="16.5" x14ac:dyDescent="0.2">
      <c r="A36" s="152"/>
      <c r="I36" s="153"/>
      <c r="L36" s="99"/>
      <c r="M36" s="99"/>
      <c r="N36" s="99"/>
      <c r="O36" s="99"/>
      <c r="P36" s="99"/>
      <c r="Q36" s="99"/>
      <c r="W36" s="131"/>
      <c r="X36" s="131"/>
      <c r="AA36" s="131"/>
      <c r="AD36" s="131"/>
      <c r="AG36" s="131"/>
      <c r="AH36" s="131"/>
      <c r="AN36" s="62"/>
      <c r="AO36" s="62"/>
      <c r="AP36" s="62"/>
      <c r="AQ36" s="62"/>
    </row>
    <row r="37" spans="1:43" ht="16.5" x14ac:dyDescent="0.2">
      <c r="A37" s="152"/>
      <c r="E37" s="115"/>
      <c r="L37" s="99"/>
      <c r="M37" s="99"/>
      <c r="N37" s="99"/>
      <c r="O37" s="99"/>
      <c r="P37" s="99"/>
      <c r="Q37" s="99"/>
      <c r="W37" s="131"/>
      <c r="X37" s="131"/>
      <c r="AA37" s="131"/>
      <c r="AD37" s="131"/>
      <c r="AG37" s="131"/>
      <c r="AH37" s="131"/>
      <c r="AN37" s="62"/>
      <c r="AO37" s="62"/>
      <c r="AP37" s="62"/>
      <c r="AQ37" s="62"/>
    </row>
    <row r="38" spans="1:43" x14ac:dyDescent="0.2">
      <c r="E38" s="115"/>
    </row>
    <row r="39" spans="1:43" x14ac:dyDescent="0.2">
      <c r="E39" s="115"/>
    </row>
    <row r="40" spans="1:43" x14ac:dyDescent="0.2">
      <c r="E40" s="115"/>
    </row>
    <row r="41" spans="1:43" x14ac:dyDescent="0.2">
      <c r="E41" s="115"/>
    </row>
    <row r="42" spans="1:43" x14ac:dyDescent="0.2">
      <c r="E42" s="115"/>
    </row>
    <row r="43" spans="1:43" x14ac:dyDescent="0.2">
      <c r="E43" s="115"/>
    </row>
  </sheetData>
  <autoFilter ref="A8:AS8" xr:uid="{00000000-0009-0000-0000-000058000000}"/>
  <mergeCells count="37">
    <mergeCell ref="AE1:AH1"/>
    <mergeCell ref="A2:AH2"/>
    <mergeCell ref="A3:AH3"/>
    <mergeCell ref="A5:A7"/>
    <mergeCell ref="B5:B7"/>
    <mergeCell ref="C5:C7"/>
    <mergeCell ref="D5:W5"/>
    <mergeCell ref="X5:AH5"/>
    <mergeCell ref="D6:D7"/>
    <mergeCell ref="E6:E7"/>
    <mergeCell ref="F6:F7"/>
    <mergeCell ref="G6:G7"/>
    <mergeCell ref="H6:H7"/>
    <mergeCell ref="I6:I7"/>
    <mergeCell ref="J6:J7"/>
    <mergeCell ref="AG6:AG7"/>
    <mergeCell ref="AH6:AH7"/>
    <mergeCell ref="U9:U20"/>
    <mergeCell ref="A21:B21"/>
    <mergeCell ref="S6:S7"/>
    <mergeCell ref="T6:T7"/>
    <mergeCell ref="U6:U7"/>
    <mergeCell ref="V6:V7"/>
    <mergeCell ref="W6:W7"/>
    <mergeCell ref="X6:Z6"/>
    <mergeCell ref="L6:L7"/>
    <mergeCell ref="M6:M7"/>
    <mergeCell ref="N6:O6"/>
    <mergeCell ref="P6:P7"/>
    <mergeCell ref="Q6:Q7"/>
    <mergeCell ref="R6:R7"/>
    <mergeCell ref="G26:H26"/>
    <mergeCell ref="I26:J26"/>
    <mergeCell ref="K26:L26"/>
    <mergeCell ref="AA6:AC6"/>
    <mergeCell ref="AD6:AF6"/>
    <mergeCell ref="K6:K7"/>
  </mergeCells>
  <printOptions horizontalCentered="1"/>
  <pageMargins left="0" right="0" top="0" bottom="0" header="0.31496062992125984" footer="0.31496062992125984"/>
  <pageSetup paperSize="9" scale="39" orientation="landscape"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GB66"/>
  <sheetViews>
    <sheetView tabSelected="1" view="pageBreakPreview" zoomScale="110" zoomScaleNormal="100" zoomScaleSheetLayoutView="110" workbookViewId="0">
      <selection activeCell="DS26" sqref="DS26:EE26"/>
    </sheetView>
  </sheetViews>
  <sheetFormatPr defaultColWidth="1" defaultRowHeight="11.25" x14ac:dyDescent="0.2"/>
  <cols>
    <col min="1" max="60" width="1" style="2087"/>
    <col min="61" max="61" width="1" style="2087" customWidth="1"/>
    <col min="62" max="64" width="1" style="2087"/>
    <col min="65" max="65" width="1" style="2087" customWidth="1"/>
    <col min="66" max="75" width="1" style="2087"/>
    <col min="76" max="77" width="1" style="2087" customWidth="1"/>
    <col min="78" max="109" width="1" style="2087"/>
    <col min="110" max="122" width="1" style="2195"/>
    <col min="123" max="329" width="1" style="2087"/>
    <col min="330" max="330" width="1" style="2087" customWidth="1"/>
    <col min="331" max="333" width="1" style="2087"/>
    <col min="334" max="334" width="1" style="2087" customWidth="1"/>
    <col min="335" max="344" width="1" style="2087"/>
    <col min="345" max="346" width="1" style="2087" customWidth="1"/>
    <col min="347" max="585" width="1" style="2087"/>
    <col min="586" max="586" width="1" style="2087" customWidth="1"/>
    <col min="587" max="589" width="1" style="2087"/>
    <col min="590" max="590" width="1" style="2087" customWidth="1"/>
    <col min="591" max="600" width="1" style="2087"/>
    <col min="601" max="602" width="1" style="2087" customWidth="1"/>
    <col min="603" max="841" width="1" style="2087"/>
    <col min="842" max="842" width="1" style="2087" customWidth="1"/>
    <col min="843" max="845" width="1" style="2087"/>
    <col min="846" max="846" width="1" style="2087" customWidth="1"/>
    <col min="847" max="856" width="1" style="2087"/>
    <col min="857" max="858" width="1" style="2087" customWidth="1"/>
    <col min="859" max="1097" width="1" style="2087"/>
    <col min="1098" max="1098" width="1" style="2087" customWidth="1"/>
    <col min="1099" max="1101" width="1" style="2087"/>
    <col min="1102" max="1102" width="1" style="2087" customWidth="1"/>
    <col min="1103" max="1112" width="1" style="2087"/>
    <col min="1113" max="1114" width="1" style="2087" customWidth="1"/>
    <col min="1115" max="1353" width="1" style="2087"/>
    <col min="1354" max="1354" width="1" style="2087" customWidth="1"/>
    <col min="1355" max="1357" width="1" style="2087"/>
    <col min="1358" max="1358" width="1" style="2087" customWidth="1"/>
    <col min="1359" max="1368" width="1" style="2087"/>
    <col min="1369" max="1370" width="1" style="2087" customWidth="1"/>
    <col min="1371" max="1609" width="1" style="2087"/>
    <col min="1610" max="1610" width="1" style="2087" customWidth="1"/>
    <col min="1611" max="1613" width="1" style="2087"/>
    <col min="1614" max="1614" width="1" style="2087" customWidth="1"/>
    <col min="1615" max="1624" width="1" style="2087"/>
    <col min="1625" max="1626" width="1" style="2087" customWidth="1"/>
    <col min="1627" max="1865" width="1" style="2087"/>
    <col min="1866" max="1866" width="1" style="2087" customWidth="1"/>
    <col min="1867" max="1869" width="1" style="2087"/>
    <col min="1870" max="1870" width="1" style="2087" customWidth="1"/>
    <col min="1871" max="1880" width="1" style="2087"/>
    <col min="1881" max="1882" width="1" style="2087" customWidth="1"/>
    <col min="1883" max="2121" width="1" style="2087"/>
    <col min="2122" max="2122" width="1" style="2087" customWidth="1"/>
    <col min="2123" max="2125" width="1" style="2087"/>
    <col min="2126" max="2126" width="1" style="2087" customWidth="1"/>
    <col min="2127" max="2136" width="1" style="2087"/>
    <col min="2137" max="2138" width="1" style="2087" customWidth="1"/>
    <col min="2139" max="2377" width="1" style="2087"/>
    <col min="2378" max="2378" width="1" style="2087" customWidth="1"/>
    <col min="2379" max="2381" width="1" style="2087"/>
    <col min="2382" max="2382" width="1" style="2087" customWidth="1"/>
    <col min="2383" max="2392" width="1" style="2087"/>
    <col min="2393" max="2394" width="1" style="2087" customWidth="1"/>
    <col min="2395" max="2633" width="1" style="2087"/>
    <col min="2634" max="2634" width="1" style="2087" customWidth="1"/>
    <col min="2635" max="2637" width="1" style="2087"/>
    <col min="2638" max="2638" width="1" style="2087" customWidth="1"/>
    <col min="2639" max="2648" width="1" style="2087"/>
    <col min="2649" max="2650" width="1" style="2087" customWidth="1"/>
    <col min="2651" max="2889" width="1" style="2087"/>
    <col min="2890" max="2890" width="1" style="2087" customWidth="1"/>
    <col min="2891" max="2893" width="1" style="2087"/>
    <col min="2894" max="2894" width="1" style="2087" customWidth="1"/>
    <col min="2895" max="2904" width="1" style="2087"/>
    <col min="2905" max="2906" width="1" style="2087" customWidth="1"/>
    <col min="2907" max="3145" width="1" style="2087"/>
    <col min="3146" max="3146" width="1" style="2087" customWidth="1"/>
    <col min="3147" max="3149" width="1" style="2087"/>
    <col min="3150" max="3150" width="1" style="2087" customWidth="1"/>
    <col min="3151" max="3160" width="1" style="2087"/>
    <col min="3161" max="3162" width="1" style="2087" customWidth="1"/>
    <col min="3163" max="3401" width="1" style="2087"/>
    <col min="3402" max="3402" width="1" style="2087" customWidth="1"/>
    <col min="3403" max="3405" width="1" style="2087"/>
    <col min="3406" max="3406" width="1" style="2087" customWidth="1"/>
    <col min="3407" max="3416" width="1" style="2087"/>
    <col min="3417" max="3418" width="1" style="2087" customWidth="1"/>
    <col min="3419" max="3657" width="1" style="2087"/>
    <col min="3658" max="3658" width="1" style="2087" customWidth="1"/>
    <col min="3659" max="3661" width="1" style="2087"/>
    <col min="3662" max="3662" width="1" style="2087" customWidth="1"/>
    <col min="3663" max="3672" width="1" style="2087"/>
    <col min="3673" max="3674" width="1" style="2087" customWidth="1"/>
    <col min="3675" max="3913" width="1" style="2087"/>
    <col min="3914" max="3914" width="1" style="2087" customWidth="1"/>
    <col min="3915" max="3917" width="1" style="2087"/>
    <col min="3918" max="3918" width="1" style="2087" customWidth="1"/>
    <col min="3919" max="3928" width="1" style="2087"/>
    <col min="3929" max="3930" width="1" style="2087" customWidth="1"/>
    <col min="3931" max="4169" width="1" style="2087"/>
    <col min="4170" max="4170" width="1" style="2087" customWidth="1"/>
    <col min="4171" max="4173" width="1" style="2087"/>
    <col min="4174" max="4174" width="1" style="2087" customWidth="1"/>
    <col min="4175" max="4184" width="1" style="2087"/>
    <col min="4185" max="4186" width="1" style="2087" customWidth="1"/>
    <col min="4187" max="4425" width="1" style="2087"/>
    <col min="4426" max="4426" width="1" style="2087" customWidth="1"/>
    <col min="4427" max="4429" width="1" style="2087"/>
    <col min="4430" max="4430" width="1" style="2087" customWidth="1"/>
    <col min="4431" max="4440" width="1" style="2087"/>
    <col min="4441" max="4442" width="1" style="2087" customWidth="1"/>
    <col min="4443" max="4681" width="1" style="2087"/>
    <col min="4682" max="4682" width="1" style="2087" customWidth="1"/>
    <col min="4683" max="4685" width="1" style="2087"/>
    <col min="4686" max="4686" width="1" style="2087" customWidth="1"/>
    <col min="4687" max="4696" width="1" style="2087"/>
    <col min="4697" max="4698" width="1" style="2087" customWidth="1"/>
    <col min="4699" max="4937" width="1" style="2087"/>
    <col min="4938" max="4938" width="1" style="2087" customWidth="1"/>
    <col min="4939" max="4941" width="1" style="2087"/>
    <col min="4942" max="4942" width="1" style="2087" customWidth="1"/>
    <col min="4943" max="4952" width="1" style="2087"/>
    <col min="4953" max="4954" width="1" style="2087" customWidth="1"/>
    <col min="4955" max="5193" width="1" style="2087"/>
    <col min="5194" max="5194" width="1" style="2087" customWidth="1"/>
    <col min="5195" max="5197" width="1" style="2087"/>
    <col min="5198" max="5198" width="1" style="2087" customWidth="1"/>
    <col min="5199" max="5208" width="1" style="2087"/>
    <col min="5209" max="5210" width="1" style="2087" customWidth="1"/>
    <col min="5211" max="5449" width="1" style="2087"/>
    <col min="5450" max="5450" width="1" style="2087" customWidth="1"/>
    <col min="5451" max="5453" width="1" style="2087"/>
    <col min="5454" max="5454" width="1" style="2087" customWidth="1"/>
    <col min="5455" max="5464" width="1" style="2087"/>
    <col min="5465" max="5466" width="1" style="2087" customWidth="1"/>
    <col min="5467" max="5705" width="1" style="2087"/>
    <col min="5706" max="5706" width="1" style="2087" customWidth="1"/>
    <col min="5707" max="5709" width="1" style="2087"/>
    <col min="5710" max="5710" width="1" style="2087" customWidth="1"/>
    <col min="5711" max="5720" width="1" style="2087"/>
    <col min="5721" max="5722" width="1" style="2087" customWidth="1"/>
    <col min="5723" max="5961" width="1" style="2087"/>
    <col min="5962" max="5962" width="1" style="2087" customWidth="1"/>
    <col min="5963" max="5965" width="1" style="2087"/>
    <col min="5966" max="5966" width="1" style="2087" customWidth="1"/>
    <col min="5967" max="5976" width="1" style="2087"/>
    <col min="5977" max="5978" width="1" style="2087" customWidth="1"/>
    <col min="5979" max="6217" width="1" style="2087"/>
    <col min="6218" max="6218" width="1" style="2087" customWidth="1"/>
    <col min="6219" max="6221" width="1" style="2087"/>
    <col min="6222" max="6222" width="1" style="2087" customWidth="1"/>
    <col min="6223" max="6232" width="1" style="2087"/>
    <col min="6233" max="6234" width="1" style="2087" customWidth="1"/>
    <col min="6235" max="6473" width="1" style="2087"/>
    <col min="6474" max="6474" width="1" style="2087" customWidth="1"/>
    <col min="6475" max="6477" width="1" style="2087"/>
    <col min="6478" max="6478" width="1" style="2087" customWidth="1"/>
    <col min="6479" max="6488" width="1" style="2087"/>
    <col min="6489" max="6490" width="1" style="2087" customWidth="1"/>
    <col min="6491" max="6729" width="1" style="2087"/>
    <col min="6730" max="6730" width="1" style="2087" customWidth="1"/>
    <col min="6731" max="6733" width="1" style="2087"/>
    <col min="6734" max="6734" width="1" style="2087" customWidth="1"/>
    <col min="6735" max="6744" width="1" style="2087"/>
    <col min="6745" max="6746" width="1" style="2087" customWidth="1"/>
    <col min="6747" max="6985" width="1" style="2087"/>
    <col min="6986" max="6986" width="1" style="2087" customWidth="1"/>
    <col min="6987" max="6989" width="1" style="2087"/>
    <col min="6990" max="6990" width="1" style="2087" customWidth="1"/>
    <col min="6991" max="7000" width="1" style="2087"/>
    <col min="7001" max="7002" width="1" style="2087" customWidth="1"/>
    <col min="7003" max="7241" width="1" style="2087"/>
    <col min="7242" max="7242" width="1" style="2087" customWidth="1"/>
    <col min="7243" max="7245" width="1" style="2087"/>
    <col min="7246" max="7246" width="1" style="2087" customWidth="1"/>
    <col min="7247" max="7256" width="1" style="2087"/>
    <col min="7257" max="7258" width="1" style="2087" customWidth="1"/>
    <col min="7259" max="7497" width="1" style="2087"/>
    <col min="7498" max="7498" width="1" style="2087" customWidth="1"/>
    <col min="7499" max="7501" width="1" style="2087"/>
    <col min="7502" max="7502" width="1" style="2087" customWidth="1"/>
    <col min="7503" max="7512" width="1" style="2087"/>
    <col min="7513" max="7514" width="1" style="2087" customWidth="1"/>
    <col min="7515" max="7753" width="1" style="2087"/>
    <col min="7754" max="7754" width="1" style="2087" customWidth="1"/>
    <col min="7755" max="7757" width="1" style="2087"/>
    <col min="7758" max="7758" width="1" style="2087" customWidth="1"/>
    <col min="7759" max="7768" width="1" style="2087"/>
    <col min="7769" max="7770" width="1" style="2087" customWidth="1"/>
    <col min="7771" max="8009" width="1" style="2087"/>
    <col min="8010" max="8010" width="1" style="2087" customWidth="1"/>
    <col min="8011" max="8013" width="1" style="2087"/>
    <col min="8014" max="8014" width="1" style="2087" customWidth="1"/>
    <col min="8015" max="8024" width="1" style="2087"/>
    <col min="8025" max="8026" width="1" style="2087" customWidth="1"/>
    <col min="8027" max="8265" width="1" style="2087"/>
    <col min="8266" max="8266" width="1" style="2087" customWidth="1"/>
    <col min="8267" max="8269" width="1" style="2087"/>
    <col min="8270" max="8270" width="1" style="2087" customWidth="1"/>
    <col min="8271" max="8280" width="1" style="2087"/>
    <col min="8281" max="8282" width="1" style="2087" customWidth="1"/>
    <col min="8283" max="8521" width="1" style="2087"/>
    <col min="8522" max="8522" width="1" style="2087" customWidth="1"/>
    <col min="8523" max="8525" width="1" style="2087"/>
    <col min="8526" max="8526" width="1" style="2087" customWidth="1"/>
    <col min="8527" max="8536" width="1" style="2087"/>
    <col min="8537" max="8538" width="1" style="2087" customWidth="1"/>
    <col min="8539" max="8777" width="1" style="2087"/>
    <col min="8778" max="8778" width="1" style="2087" customWidth="1"/>
    <col min="8779" max="8781" width="1" style="2087"/>
    <col min="8782" max="8782" width="1" style="2087" customWidth="1"/>
    <col min="8783" max="8792" width="1" style="2087"/>
    <col min="8793" max="8794" width="1" style="2087" customWidth="1"/>
    <col min="8795" max="9033" width="1" style="2087"/>
    <col min="9034" max="9034" width="1" style="2087" customWidth="1"/>
    <col min="9035" max="9037" width="1" style="2087"/>
    <col min="9038" max="9038" width="1" style="2087" customWidth="1"/>
    <col min="9039" max="9048" width="1" style="2087"/>
    <col min="9049" max="9050" width="1" style="2087" customWidth="1"/>
    <col min="9051" max="9289" width="1" style="2087"/>
    <col min="9290" max="9290" width="1" style="2087" customWidth="1"/>
    <col min="9291" max="9293" width="1" style="2087"/>
    <col min="9294" max="9294" width="1" style="2087" customWidth="1"/>
    <col min="9295" max="9304" width="1" style="2087"/>
    <col min="9305" max="9306" width="1" style="2087" customWidth="1"/>
    <col min="9307" max="9545" width="1" style="2087"/>
    <col min="9546" max="9546" width="1" style="2087" customWidth="1"/>
    <col min="9547" max="9549" width="1" style="2087"/>
    <col min="9550" max="9550" width="1" style="2087" customWidth="1"/>
    <col min="9551" max="9560" width="1" style="2087"/>
    <col min="9561" max="9562" width="1" style="2087" customWidth="1"/>
    <col min="9563" max="9801" width="1" style="2087"/>
    <col min="9802" max="9802" width="1" style="2087" customWidth="1"/>
    <col min="9803" max="9805" width="1" style="2087"/>
    <col min="9806" max="9806" width="1" style="2087" customWidth="1"/>
    <col min="9807" max="9816" width="1" style="2087"/>
    <col min="9817" max="9818" width="1" style="2087" customWidth="1"/>
    <col min="9819" max="10057" width="1" style="2087"/>
    <col min="10058" max="10058" width="1" style="2087" customWidth="1"/>
    <col min="10059" max="10061" width="1" style="2087"/>
    <col min="10062" max="10062" width="1" style="2087" customWidth="1"/>
    <col min="10063" max="10072" width="1" style="2087"/>
    <col min="10073" max="10074" width="1" style="2087" customWidth="1"/>
    <col min="10075" max="10313" width="1" style="2087"/>
    <col min="10314" max="10314" width="1" style="2087" customWidth="1"/>
    <col min="10315" max="10317" width="1" style="2087"/>
    <col min="10318" max="10318" width="1" style="2087" customWidth="1"/>
    <col min="10319" max="10328" width="1" style="2087"/>
    <col min="10329" max="10330" width="1" style="2087" customWidth="1"/>
    <col min="10331" max="10569" width="1" style="2087"/>
    <col min="10570" max="10570" width="1" style="2087" customWidth="1"/>
    <col min="10571" max="10573" width="1" style="2087"/>
    <col min="10574" max="10574" width="1" style="2087" customWidth="1"/>
    <col min="10575" max="10584" width="1" style="2087"/>
    <col min="10585" max="10586" width="1" style="2087" customWidth="1"/>
    <col min="10587" max="10825" width="1" style="2087"/>
    <col min="10826" max="10826" width="1" style="2087" customWidth="1"/>
    <col min="10827" max="10829" width="1" style="2087"/>
    <col min="10830" max="10830" width="1" style="2087" customWidth="1"/>
    <col min="10831" max="10840" width="1" style="2087"/>
    <col min="10841" max="10842" width="1" style="2087" customWidth="1"/>
    <col min="10843" max="11081" width="1" style="2087"/>
    <col min="11082" max="11082" width="1" style="2087" customWidth="1"/>
    <col min="11083" max="11085" width="1" style="2087"/>
    <col min="11086" max="11086" width="1" style="2087" customWidth="1"/>
    <col min="11087" max="11096" width="1" style="2087"/>
    <col min="11097" max="11098" width="1" style="2087" customWidth="1"/>
    <col min="11099" max="11337" width="1" style="2087"/>
    <col min="11338" max="11338" width="1" style="2087" customWidth="1"/>
    <col min="11339" max="11341" width="1" style="2087"/>
    <col min="11342" max="11342" width="1" style="2087" customWidth="1"/>
    <col min="11343" max="11352" width="1" style="2087"/>
    <col min="11353" max="11354" width="1" style="2087" customWidth="1"/>
    <col min="11355" max="11593" width="1" style="2087"/>
    <col min="11594" max="11594" width="1" style="2087" customWidth="1"/>
    <col min="11595" max="11597" width="1" style="2087"/>
    <col min="11598" max="11598" width="1" style="2087" customWidth="1"/>
    <col min="11599" max="11608" width="1" style="2087"/>
    <col min="11609" max="11610" width="1" style="2087" customWidth="1"/>
    <col min="11611" max="11849" width="1" style="2087"/>
    <col min="11850" max="11850" width="1" style="2087" customWidth="1"/>
    <col min="11851" max="11853" width="1" style="2087"/>
    <col min="11854" max="11854" width="1" style="2087" customWidth="1"/>
    <col min="11855" max="11864" width="1" style="2087"/>
    <col min="11865" max="11866" width="1" style="2087" customWidth="1"/>
    <col min="11867" max="12105" width="1" style="2087"/>
    <col min="12106" max="12106" width="1" style="2087" customWidth="1"/>
    <col min="12107" max="12109" width="1" style="2087"/>
    <col min="12110" max="12110" width="1" style="2087" customWidth="1"/>
    <col min="12111" max="12120" width="1" style="2087"/>
    <col min="12121" max="12122" width="1" style="2087" customWidth="1"/>
    <col min="12123" max="12361" width="1" style="2087"/>
    <col min="12362" max="12362" width="1" style="2087" customWidth="1"/>
    <col min="12363" max="12365" width="1" style="2087"/>
    <col min="12366" max="12366" width="1" style="2087" customWidth="1"/>
    <col min="12367" max="12376" width="1" style="2087"/>
    <col min="12377" max="12378" width="1" style="2087" customWidth="1"/>
    <col min="12379" max="12617" width="1" style="2087"/>
    <col min="12618" max="12618" width="1" style="2087" customWidth="1"/>
    <col min="12619" max="12621" width="1" style="2087"/>
    <col min="12622" max="12622" width="1" style="2087" customWidth="1"/>
    <col min="12623" max="12632" width="1" style="2087"/>
    <col min="12633" max="12634" width="1" style="2087" customWidth="1"/>
    <col min="12635" max="12873" width="1" style="2087"/>
    <col min="12874" max="12874" width="1" style="2087" customWidth="1"/>
    <col min="12875" max="12877" width="1" style="2087"/>
    <col min="12878" max="12878" width="1" style="2087" customWidth="1"/>
    <col min="12879" max="12888" width="1" style="2087"/>
    <col min="12889" max="12890" width="1" style="2087" customWidth="1"/>
    <col min="12891" max="13129" width="1" style="2087"/>
    <col min="13130" max="13130" width="1" style="2087" customWidth="1"/>
    <col min="13131" max="13133" width="1" style="2087"/>
    <col min="13134" max="13134" width="1" style="2087" customWidth="1"/>
    <col min="13135" max="13144" width="1" style="2087"/>
    <col min="13145" max="13146" width="1" style="2087" customWidth="1"/>
    <col min="13147" max="13385" width="1" style="2087"/>
    <col min="13386" max="13386" width="1" style="2087" customWidth="1"/>
    <col min="13387" max="13389" width="1" style="2087"/>
    <col min="13390" max="13390" width="1" style="2087" customWidth="1"/>
    <col min="13391" max="13400" width="1" style="2087"/>
    <col min="13401" max="13402" width="1" style="2087" customWidth="1"/>
    <col min="13403" max="13641" width="1" style="2087"/>
    <col min="13642" max="13642" width="1" style="2087" customWidth="1"/>
    <col min="13643" max="13645" width="1" style="2087"/>
    <col min="13646" max="13646" width="1" style="2087" customWidth="1"/>
    <col min="13647" max="13656" width="1" style="2087"/>
    <col min="13657" max="13658" width="1" style="2087" customWidth="1"/>
    <col min="13659" max="13897" width="1" style="2087"/>
    <col min="13898" max="13898" width="1" style="2087" customWidth="1"/>
    <col min="13899" max="13901" width="1" style="2087"/>
    <col min="13902" max="13902" width="1" style="2087" customWidth="1"/>
    <col min="13903" max="13912" width="1" style="2087"/>
    <col min="13913" max="13914" width="1" style="2087" customWidth="1"/>
    <col min="13915" max="14153" width="1" style="2087"/>
    <col min="14154" max="14154" width="1" style="2087" customWidth="1"/>
    <col min="14155" max="14157" width="1" style="2087"/>
    <col min="14158" max="14158" width="1" style="2087" customWidth="1"/>
    <col min="14159" max="14168" width="1" style="2087"/>
    <col min="14169" max="14170" width="1" style="2087" customWidth="1"/>
    <col min="14171" max="14409" width="1" style="2087"/>
    <col min="14410" max="14410" width="1" style="2087" customWidth="1"/>
    <col min="14411" max="14413" width="1" style="2087"/>
    <col min="14414" max="14414" width="1" style="2087" customWidth="1"/>
    <col min="14415" max="14424" width="1" style="2087"/>
    <col min="14425" max="14426" width="1" style="2087" customWidth="1"/>
    <col min="14427" max="14665" width="1" style="2087"/>
    <col min="14666" max="14666" width="1" style="2087" customWidth="1"/>
    <col min="14667" max="14669" width="1" style="2087"/>
    <col min="14670" max="14670" width="1" style="2087" customWidth="1"/>
    <col min="14671" max="14680" width="1" style="2087"/>
    <col min="14681" max="14682" width="1" style="2087" customWidth="1"/>
    <col min="14683" max="14921" width="1" style="2087"/>
    <col min="14922" max="14922" width="1" style="2087" customWidth="1"/>
    <col min="14923" max="14925" width="1" style="2087"/>
    <col min="14926" max="14926" width="1" style="2087" customWidth="1"/>
    <col min="14927" max="14936" width="1" style="2087"/>
    <col min="14937" max="14938" width="1" style="2087" customWidth="1"/>
    <col min="14939" max="15177" width="1" style="2087"/>
    <col min="15178" max="15178" width="1" style="2087" customWidth="1"/>
    <col min="15179" max="15181" width="1" style="2087"/>
    <col min="15182" max="15182" width="1" style="2087" customWidth="1"/>
    <col min="15183" max="15192" width="1" style="2087"/>
    <col min="15193" max="15194" width="1" style="2087" customWidth="1"/>
    <col min="15195" max="15433" width="1" style="2087"/>
    <col min="15434" max="15434" width="1" style="2087" customWidth="1"/>
    <col min="15435" max="15437" width="1" style="2087"/>
    <col min="15438" max="15438" width="1" style="2087" customWidth="1"/>
    <col min="15439" max="15448" width="1" style="2087"/>
    <col min="15449" max="15450" width="1" style="2087" customWidth="1"/>
    <col min="15451" max="15689" width="1" style="2087"/>
    <col min="15690" max="15690" width="1" style="2087" customWidth="1"/>
    <col min="15691" max="15693" width="1" style="2087"/>
    <col min="15694" max="15694" width="1" style="2087" customWidth="1"/>
    <col min="15695" max="15704" width="1" style="2087"/>
    <col min="15705" max="15706" width="1" style="2087" customWidth="1"/>
    <col min="15707" max="15945" width="1" style="2087"/>
    <col min="15946" max="15946" width="1" style="2087" customWidth="1"/>
    <col min="15947" max="15949" width="1" style="2087"/>
    <col min="15950" max="15950" width="1" style="2087" customWidth="1"/>
    <col min="15951" max="15960" width="1" style="2087"/>
    <col min="15961" max="15962" width="1" style="2087" customWidth="1"/>
    <col min="15963" max="16201" width="1" style="2087"/>
    <col min="16202" max="16202" width="1" style="2087" customWidth="1"/>
    <col min="16203" max="16205" width="1" style="2087"/>
    <col min="16206" max="16206" width="1" style="2087" customWidth="1"/>
    <col min="16207" max="16216" width="1" style="2087"/>
    <col min="16217" max="16218" width="1" style="2087" customWidth="1"/>
    <col min="16219" max="16384" width="1" style="2087"/>
  </cols>
  <sheetData>
    <row r="1" spans="1:184" s="620" customFormat="1" ht="13.5" customHeight="1" x14ac:dyDescent="0.15">
      <c r="B1" s="2407" t="s">
        <v>1034</v>
      </c>
      <c r="C1" s="2407"/>
      <c r="D1" s="2407"/>
      <c r="E1" s="2407"/>
      <c r="F1" s="2407"/>
      <c r="G1" s="2407"/>
      <c r="H1" s="2407"/>
      <c r="I1" s="2407"/>
      <c r="J1" s="2407"/>
      <c r="K1" s="2407"/>
      <c r="L1" s="2407"/>
      <c r="M1" s="2407"/>
      <c r="N1" s="2407"/>
      <c r="O1" s="2407"/>
      <c r="P1" s="2407"/>
      <c r="Q1" s="2407"/>
      <c r="R1" s="2407"/>
      <c r="S1" s="2407"/>
      <c r="T1" s="2407"/>
      <c r="U1" s="2407"/>
      <c r="V1" s="2407"/>
      <c r="W1" s="2407"/>
      <c r="X1" s="2407"/>
      <c r="Y1" s="2407"/>
      <c r="Z1" s="2407"/>
      <c r="AA1" s="2407"/>
      <c r="AB1" s="2407"/>
      <c r="AC1" s="2407"/>
      <c r="AD1" s="2407"/>
      <c r="AE1" s="2407"/>
      <c r="AF1" s="2407"/>
      <c r="AG1" s="2407"/>
      <c r="AH1" s="2407"/>
      <c r="AI1" s="2407"/>
      <c r="AJ1" s="2407"/>
      <c r="AK1" s="2407"/>
      <c r="AL1" s="2407"/>
      <c r="AM1" s="2407"/>
      <c r="AN1" s="2407"/>
      <c r="AO1" s="2407"/>
      <c r="AP1" s="2407"/>
      <c r="AQ1" s="2407"/>
      <c r="AR1" s="2407"/>
      <c r="AS1" s="2407"/>
      <c r="AT1" s="2407"/>
      <c r="AU1" s="2407"/>
      <c r="AV1" s="2407"/>
      <c r="AW1" s="2407"/>
      <c r="AX1" s="2407"/>
      <c r="AY1" s="2407"/>
      <c r="AZ1" s="2407"/>
      <c r="BA1" s="2407"/>
      <c r="BB1" s="2407"/>
      <c r="BC1" s="2407"/>
      <c r="BD1" s="2407"/>
      <c r="BE1" s="2407"/>
      <c r="BF1" s="2407"/>
      <c r="BG1" s="2407"/>
      <c r="BH1" s="2407"/>
      <c r="BI1" s="2407"/>
      <c r="BJ1" s="2407"/>
      <c r="BK1" s="2407"/>
      <c r="BL1" s="2407"/>
      <c r="BM1" s="2407"/>
      <c r="BN1" s="2407"/>
      <c r="BO1" s="2407"/>
      <c r="BP1" s="2407"/>
      <c r="BQ1" s="2407"/>
      <c r="BR1" s="2407"/>
      <c r="BS1" s="2407"/>
      <c r="BT1" s="2407"/>
      <c r="BU1" s="2407"/>
      <c r="BV1" s="2407"/>
      <c r="BW1" s="2407"/>
      <c r="BX1" s="2407"/>
      <c r="BY1" s="2407"/>
      <c r="BZ1" s="2407"/>
      <c r="CA1" s="2407"/>
      <c r="CB1" s="2407"/>
      <c r="CC1" s="2407"/>
      <c r="CD1" s="2407"/>
      <c r="CE1" s="2407"/>
      <c r="CF1" s="2407"/>
      <c r="CG1" s="2407"/>
      <c r="CH1" s="2407"/>
      <c r="CI1" s="2407"/>
      <c r="CJ1" s="2407"/>
      <c r="CK1" s="2407"/>
      <c r="CL1" s="2407"/>
      <c r="CM1" s="2407"/>
      <c r="CN1" s="2407"/>
      <c r="CO1" s="2407"/>
      <c r="CP1" s="2407"/>
      <c r="CQ1" s="2407"/>
      <c r="CR1" s="2407"/>
      <c r="CS1" s="2407"/>
      <c r="CT1" s="2407"/>
      <c r="CU1" s="2407"/>
      <c r="CV1" s="2407"/>
      <c r="CW1" s="2407"/>
      <c r="CX1" s="2407"/>
      <c r="CY1" s="2407"/>
      <c r="CZ1" s="2407"/>
      <c r="DA1" s="2407"/>
      <c r="DB1" s="2407"/>
      <c r="DC1" s="2407"/>
      <c r="DD1" s="2407"/>
      <c r="DE1" s="2407"/>
      <c r="DF1" s="2407"/>
      <c r="DG1" s="2407"/>
      <c r="DH1" s="2407"/>
      <c r="DI1" s="2407"/>
      <c r="DJ1" s="2407"/>
      <c r="DK1" s="2407"/>
      <c r="DL1" s="2407"/>
      <c r="DM1" s="2407"/>
      <c r="DN1" s="2407"/>
      <c r="DO1" s="2407"/>
      <c r="DP1" s="2407"/>
      <c r="DQ1" s="2407"/>
      <c r="DR1" s="2407"/>
      <c r="DS1" s="2407"/>
      <c r="DT1" s="2407"/>
      <c r="DU1" s="2407"/>
      <c r="DV1" s="2407"/>
      <c r="DW1" s="2407"/>
      <c r="DX1" s="2407"/>
      <c r="DY1" s="2407"/>
      <c r="DZ1" s="2407"/>
      <c r="EA1" s="2407"/>
      <c r="EB1" s="2407"/>
      <c r="EC1" s="2407"/>
      <c r="ED1" s="2407"/>
      <c r="EE1" s="2407"/>
      <c r="EF1" s="2407"/>
      <c r="EG1" s="2407"/>
      <c r="EH1" s="2407"/>
      <c r="EI1" s="2407"/>
      <c r="EJ1" s="2407"/>
      <c r="EK1" s="2407"/>
      <c r="EL1" s="2407"/>
      <c r="EM1" s="2407"/>
      <c r="EN1" s="2407"/>
      <c r="EO1" s="2407"/>
      <c r="EP1" s="2407"/>
      <c r="EQ1" s="2407"/>
      <c r="ER1" s="2407"/>
      <c r="ES1" s="2407"/>
      <c r="ET1" s="2407"/>
      <c r="EU1" s="2407"/>
      <c r="EV1" s="2407"/>
      <c r="EW1" s="2407"/>
      <c r="EX1" s="2407"/>
      <c r="EY1" s="2407"/>
      <c r="EZ1" s="2407"/>
      <c r="FA1" s="2407"/>
      <c r="FB1" s="2407"/>
      <c r="FC1" s="2407"/>
      <c r="FD1" s="2407"/>
      <c r="FE1" s="2407"/>
      <c r="FF1" s="2407"/>
      <c r="FG1" s="2407"/>
      <c r="FH1" s="2407"/>
      <c r="FI1" s="2407"/>
      <c r="FJ1" s="2407"/>
      <c r="FK1" s="2407"/>
      <c r="FL1" s="2407"/>
      <c r="FM1" s="2407"/>
      <c r="FN1" s="2407"/>
      <c r="FO1" s="2407"/>
      <c r="FP1" s="2407"/>
      <c r="FQ1" s="2407"/>
    </row>
    <row r="3" spans="1:184" ht="11.25" customHeight="1" x14ac:dyDescent="0.2">
      <c r="A3" s="2404" t="s">
        <v>1035</v>
      </c>
      <c r="B3" s="2404"/>
      <c r="C3" s="2404"/>
      <c r="D3" s="2404"/>
      <c r="E3" s="2404"/>
      <c r="F3" s="2404"/>
      <c r="G3" s="2404"/>
      <c r="H3" s="2408"/>
      <c r="I3" s="2412" t="s">
        <v>416</v>
      </c>
      <c r="J3" s="2412"/>
      <c r="K3" s="2412"/>
      <c r="L3" s="2412"/>
      <c r="M3" s="2412"/>
      <c r="N3" s="2412"/>
      <c r="O3" s="2412"/>
      <c r="P3" s="2412"/>
      <c r="Q3" s="2412"/>
      <c r="R3" s="2412"/>
      <c r="S3" s="2412"/>
      <c r="T3" s="2412"/>
      <c r="U3" s="2412"/>
      <c r="V3" s="2412"/>
      <c r="W3" s="2412"/>
      <c r="X3" s="2412"/>
      <c r="Y3" s="2412"/>
      <c r="Z3" s="2412"/>
      <c r="AA3" s="2412"/>
      <c r="AB3" s="2412"/>
      <c r="AC3" s="2412"/>
      <c r="AD3" s="2412"/>
      <c r="AE3" s="2412"/>
      <c r="AF3" s="2412"/>
      <c r="AG3" s="2412"/>
      <c r="AH3" s="2412"/>
      <c r="AI3" s="2412"/>
      <c r="AJ3" s="2412"/>
      <c r="AK3" s="2412"/>
      <c r="AL3" s="2412"/>
      <c r="AM3" s="2412"/>
      <c r="AN3" s="2412"/>
      <c r="AO3" s="2412"/>
      <c r="AP3" s="2412"/>
      <c r="AQ3" s="2412"/>
      <c r="AR3" s="2412"/>
      <c r="AS3" s="2412"/>
      <c r="AT3" s="2412"/>
      <c r="AU3" s="2412"/>
      <c r="AV3" s="2412"/>
      <c r="AW3" s="2412"/>
      <c r="AX3" s="2412"/>
      <c r="AY3" s="2412"/>
      <c r="AZ3" s="2412"/>
      <c r="BA3" s="2412"/>
      <c r="BB3" s="2412"/>
      <c r="BC3" s="2412"/>
      <c r="BD3" s="2412"/>
      <c r="BE3" s="2412"/>
      <c r="BF3" s="2412"/>
      <c r="BG3" s="2412"/>
      <c r="BH3" s="2412"/>
      <c r="BI3" s="2412"/>
      <c r="BJ3" s="2412"/>
      <c r="BK3" s="2412"/>
      <c r="BL3" s="2412"/>
      <c r="BM3" s="2412"/>
      <c r="BN3" s="2412"/>
      <c r="BO3" s="2412"/>
      <c r="BP3" s="2412"/>
      <c r="BQ3" s="2412"/>
      <c r="BR3" s="2412"/>
      <c r="BS3" s="2412"/>
      <c r="BT3" s="2412"/>
      <c r="BU3" s="2412"/>
      <c r="BV3" s="2412"/>
      <c r="BW3" s="2412"/>
      <c r="BX3" s="2412"/>
      <c r="BY3" s="2412"/>
      <c r="BZ3" s="2412"/>
      <c r="CA3" s="2412"/>
      <c r="CB3" s="2412"/>
      <c r="CC3" s="2412"/>
      <c r="CD3" s="2412"/>
      <c r="CE3" s="2412"/>
      <c r="CF3" s="2412"/>
      <c r="CG3" s="2412"/>
      <c r="CH3" s="2412"/>
      <c r="CI3" s="2412"/>
      <c r="CJ3" s="2412"/>
      <c r="CK3" s="2412"/>
      <c r="CL3" s="2412"/>
      <c r="CM3" s="2413"/>
      <c r="CN3" s="2403" t="s">
        <v>1036</v>
      </c>
      <c r="CO3" s="2404"/>
      <c r="CP3" s="2404"/>
      <c r="CQ3" s="2404"/>
      <c r="CR3" s="2404"/>
      <c r="CS3" s="2404"/>
      <c r="CT3" s="2404"/>
      <c r="CU3" s="2408"/>
      <c r="CV3" s="2403" t="s">
        <v>1037</v>
      </c>
      <c r="CW3" s="2404"/>
      <c r="CX3" s="2404"/>
      <c r="CY3" s="2404"/>
      <c r="CZ3" s="2404"/>
      <c r="DA3" s="2404"/>
      <c r="DB3" s="2404"/>
      <c r="DC3" s="2404"/>
      <c r="DD3" s="2404"/>
      <c r="DE3" s="2408"/>
      <c r="DF3" s="2403" t="s">
        <v>1757</v>
      </c>
      <c r="DG3" s="2404"/>
      <c r="DH3" s="2404"/>
      <c r="DI3" s="2404"/>
      <c r="DJ3" s="2404"/>
      <c r="DK3" s="2404"/>
      <c r="DL3" s="2404"/>
      <c r="DM3" s="2404"/>
      <c r="DN3" s="2404"/>
      <c r="DO3" s="2404"/>
      <c r="DP3" s="2404"/>
      <c r="DQ3" s="2404"/>
      <c r="DR3" s="2408"/>
      <c r="DS3" s="2419" t="s">
        <v>81</v>
      </c>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row>
    <row r="4" spans="1:184" ht="11.25" customHeight="1" x14ac:dyDescent="0.2">
      <c r="A4" s="2409"/>
      <c r="B4" s="2409"/>
      <c r="C4" s="2409"/>
      <c r="D4" s="2409"/>
      <c r="E4" s="2409"/>
      <c r="F4" s="2409"/>
      <c r="G4" s="2409"/>
      <c r="H4" s="2410"/>
      <c r="I4" s="2414"/>
      <c r="J4" s="2414"/>
      <c r="K4" s="2414"/>
      <c r="L4" s="2414"/>
      <c r="M4" s="2414"/>
      <c r="N4" s="2414"/>
      <c r="O4" s="2414"/>
      <c r="P4" s="2414"/>
      <c r="Q4" s="2414"/>
      <c r="R4" s="2414"/>
      <c r="S4" s="2414"/>
      <c r="T4" s="2414"/>
      <c r="U4" s="2414"/>
      <c r="V4" s="2414"/>
      <c r="W4" s="2414"/>
      <c r="X4" s="2414"/>
      <c r="Y4" s="2414"/>
      <c r="Z4" s="2414"/>
      <c r="AA4" s="2414"/>
      <c r="AB4" s="2414"/>
      <c r="AC4" s="2414"/>
      <c r="AD4" s="2414"/>
      <c r="AE4" s="2414"/>
      <c r="AF4" s="2414"/>
      <c r="AG4" s="2414"/>
      <c r="AH4" s="2414"/>
      <c r="AI4" s="2414"/>
      <c r="AJ4" s="2414"/>
      <c r="AK4" s="2414"/>
      <c r="AL4" s="2414"/>
      <c r="AM4" s="2414"/>
      <c r="AN4" s="2414"/>
      <c r="AO4" s="2414"/>
      <c r="AP4" s="2414"/>
      <c r="AQ4" s="2414"/>
      <c r="AR4" s="2414"/>
      <c r="AS4" s="2414"/>
      <c r="AT4" s="2414"/>
      <c r="AU4" s="2414"/>
      <c r="AV4" s="2414"/>
      <c r="AW4" s="2414"/>
      <c r="AX4" s="2414"/>
      <c r="AY4" s="2414"/>
      <c r="AZ4" s="2414"/>
      <c r="BA4" s="2414"/>
      <c r="BB4" s="2414"/>
      <c r="BC4" s="2414"/>
      <c r="BD4" s="2414"/>
      <c r="BE4" s="2414"/>
      <c r="BF4" s="2414"/>
      <c r="BG4" s="2414"/>
      <c r="BH4" s="2414"/>
      <c r="BI4" s="2414"/>
      <c r="BJ4" s="2414"/>
      <c r="BK4" s="2414"/>
      <c r="BL4" s="2414"/>
      <c r="BM4" s="2414"/>
      <c r="BN4" s="2414"/>
      <c r="BO4" s="2414"/>
      <c r="BP4" s="2414"/>
      <c r="BQ4" s="2414"/>
      <c r="BR4" s="2414"/>
      <c r="BS4" s="2414"/>
      <c r="BT4" s="2414"/>
      <c r="BU4" s="2414"/>
      <c r="BV4" s="2414"/>
      <c r="BW4" s="2414"/>
      <c r="BX4" s="2414"/>
      <c r="BY4" s="2414"/>
      <c r="BZ4" s="2414"/>
      <c r="CA4" s="2414"/>
      <c r="CB4" s="2414"/>
      <c r="CC4" s="2414"/>
      <c r="CD4" s="2414"/>
      <c r="CE4" s="2414"/>
      <c r="CF4" s="2414"/>
      <c r="CG4" s="2414"/>
      <c r="CH4" s="2414"/>
      <c r="CI4" s="2414"/>
      <c r="CJ4" s="2414"/>
      <c r="CK4" s="2414"/>
      <c r="CL4" s="2414"/>
      <c r="CM4" s="2415"/>
      <c r="CN4" s="2418"/>
      <c r="CO4" s="2409"/>
      <c r="CP4" s="2409"/>
      <c r="CQ4" s="2409"/>
      <c r="CR4" s="2409"/>
      <c r="CS4" s="2409"/>
      <c r="CT4" s="2409"/>
      <c r="CU4" s="2410"/>
      <c r="CV4" s="2418"/>
      <c r="CW4" s="2409"/>
      <c r="CX4" s="2409"/>
      <c r="CY4" s="2409"/>
      <c r="CZ4" s="2409"/>
      <c r="DA4" s="2409"/>
      <c r="DB4" s="2409"/>
      <c r="DC4" s="2409"/>
      <c r="DD4" s="2409"/>
      <c r="DE4" s="2410"/>
      <c r="DF4" s="2418"/>
      <c r="DG4" s="2409"/>
      <c r="DH4" s="2409"/>
      <c r="DI4" s="2409"/>
      <c r="DJ4" s="2409"/>
      <c r="DK4" s="2409"/>
      <c r="DL4" s="2409"/>
      <c r="DM4" s="2409"/>
      <c r="DN4" s="2409"/>
      <c r="DO4" s="2409"/>
      <c r="DP4" s="2409"/>
      <c r="DQ4" s="2409"/>
      <c r="DR4" s="2410"/>
      <c r="DS4" s="2401" t="s">
        <v>1038</v>
      </c>
      <c r="DT4" s="2402"/>
      <c r="DU4" s="2402"/>
      <c r="DV4" s="2402"/>
      <c r="DW4" s="2402"/>
      <c r="DX4" s="2402"/>
      <c r="DY4" s="2398" t="s">
        <v>1167</v>
      </c>
      <c r="DZ4" s="2398"/>
      <c r="EA4" s="2398"/>
      <c r="EB4" s="2399" t="s">
        <v>1039</v>
      </c>
      <c r="EC4" s="2399"/>
      <c r="ED4" s="2399"/>
      <c r="EE4" s="2400"/>
      <c r="EF4" s="2401" t="s">
        <v>1038</v>
      </c>
      <c r="EG4" s="2402"/>
      <c r="EH4" s="2402"/>
      <c r="EI4" s="2402"/>
      <c r="EJ4" s="2402"/>
      <c r="EK4" s="2402"/>
      <c r="EL4" s="2398" t="s">
        <v>1168</v>
      </c>
      <c r="EM4" s="2398"/>
      <c r="EN4" s="2398"/>
      <c r="EO4" s="2399" t="s">
        <v>1039</v>
      </c>
      <c r="EP4" s="2399"/>
      <c r="EQ4" s="2399"/>
      <c r="ER4" s="2400"/>
      <c r="ES4" s="2401" t="s">
        <v>1038</v>
      </c>
      <c r="ET4" s="2402"/>
      <c r="EU4" s="2402"/>
      <c r="EV4" s="2402"/>
      <c r="EW4" s="2402"/>
      <c r="EX4" s="2402"/>
      <c r="EY4" s="2398" t="s">
        <v>1169</v>
      </c>
      <c r="EZ4" s="2398"/>
      <c r="FA4" s="2398"/>
      <c r="FB4" s="2399" t="s">
        <v>1039</v>
      </c>
      <c r="FC4" s="2399"/>
      <c r="FD4" s="2399"/>
      <c r="FE4" s="2400"/>
      <c r="FF4" s="2403" t="s">
        <v>1040</v>
      </c>
      <c r="FG4" s="2404"/>
      <c r="FH4" s="2404"/>
      <c r="FI4" s="2404"/>
      <c r="FJ4" s="2404"/>
      <c r="FK4" s="2404"/>
      <c r="FL4" s="2404"/>
      <c r="FM4" s="2404"/>
      <c r="FN4" s="2404"/>
      <c r="FO4" s="2404"/>
      <c r="FP4" s="2404"/>
      <c r="FQ4" s="2404"/>
      <c r="FR4" s="2404"/>
    </row>
    <row r="5" spans="1:184" ht="39" customHeight="1" x14ac:dyDescent="0.2">
      <c r="A5" s="2406"/>
      <c r="B5" s="2406"/>
      <c r="C5" s="2406"/>
      <c r="D5" s="2406"/>
      <c r="E5" s="2406"/>
      <c r="F5" s="2406"/>
      <c r="G5" s="2406"/>
      <c r="H5" s="2411"/>
      <c r="I5" s="2416"/>
      <c r="J5" s="2416"/>
      <c r="K5" s="2416"/>
      <c r="L5" s="2416"/>
      <c r="M5" s="2416"/>
      <c r="N5" s="2416"/>
      <c r="O5" s="2416"/>
      <c r="P5" s="2416"/>
      <c r="Q5" s="2416"/>
      <c r="R5" s="2416"/>
      <c r="S5" s="2416"/>
      <c r="T5" s="2416"/>
      <c r="U5" s="2416"/>
      <c r="V5" s="2416"/>
      <c r="W5" s="2416"/>
      <c r="X5" s="2416"/>
      <c r="Y5" s="2416"/>
      <c r="Z5" s="2416"/>
      <c r="AA5" s="2416"/>
      <c r="AB5" s="2416"/>
      <c r="AC5" s="2416"/>
      <c r="AD5" s="2416"/>
      <c r="AE5" s="2416"/>
      <c r="AF5" s="2416"/>
      <c r="AG5" s="2416"/>
      <c r="AH5" s="2416"/>
      <c r="AI5" s="2416"/>
      <c r="AJ5" s="2416"/>
      <c r="AK5" s="2416"/>
      <c r="AL5" s="2416"/>
      <c r="AM5" s="2416"/>
      <c r="AN5" s="2416"/>
      <c r="AO5" s="2416"/>
      <c r="AP5" s="2416"/>
      <c r="AQ5" s="2416"/>
      <c r="AR5" s="2416"/>
      <c r="AS5" s="2416"/>
      <c r="AT5" s="2416"/>
      <c r="AU5" s="2416"/>
      <c r="AV5" s="2416"/>
      <c r="AW5" s="2416"/>
      <c r="AX5" s="2416"/>
      <c r="AY5" s="2416"/>
      <c r="AZ5" s="2416"/>
      <c r="BA5" s="2416"/>
      <c r="BB5" s="2416"/>
      <c r="BC5" s="2416"/>
      <c r="BD5" s="2416"/>
      <c r="BE5" s="2416"/>
      <c r="BF5" s="2416"/>
      <c r="BG5" s="2416"/>
      <c r="BH5" s="2416"/>
      <c r="BI5" s="2416"/>
      <c r="BJ5" s="2416"/>
      <c r="BK5" s="2416"/>
      <c r="BL5" s="2416"/>
      <c r="BM5" s="2416"/>
      <c r="BN5" s="2416"/>
      <c r="BO5" s="2416"/>
      <c r="BP5" s="2416"/>
      <c r="BQ5" s="2416"/>
      <c r="BR5" s="2416"/>
      <c r="BS5" s="2416"/>
      <c r="BT5" s="2416"/>
      <c r="BU5" s="2416"/>
      <c r="BV5" s="2416"/>
      <c r="BW5" s="2416"/>
      <c r="BX5" s="2416"/>
      <c r="BY5" s="2416"/>
      <c r="BZ5" s="2416"/>
      <c r="CA5" s="2416"/>
      <c r="CB5" s="2416"/>
      <c r="CC5" s="2416"/>
      <c r="CD5" s="2416"/>
      <c r="CE5" s="2416"/>
      <c r="CF5" s="2416"/>
      <c r="CG5" s="2416"/>
      <c r="CH5" s="2416"/>
      <c r="CI5" s="2416"/>
      <c r="CJ5" s="2416"/>
      <c r="CK5" s="2416"/>
      <c r="CL5" s="2416"/>
      <c r="CM5" s="2417"/>
      <c r="CN5" s="2405"/>
      <c r="CO5" s="2406"/>
      <c r="CP5" s="2406"/>
      <c r="CQ5" s="2406"/>
      <c r="CR5" s="2406"/>
      <c r="CS5" s="2406"/>
      <c r="CT5" s="2406"/>
      <c r="CU5" s="2411"/>
      <c r="CV5" s="2405"/>
      <c r="CW5" s="2406"/>
      <c r="CX5" s="2406"/>
      <c r="CY5" s="2406"/>
      <c r="CZ5" s="2406"/>
      <c r="DA5" s="2406"/>
      <c r="DB5" s="2406"/>
      <c r="DC5" s="2406"/>
      <c r="DD5" s="2406"/>
      <c r="DE5" s="2411"/>
      <c r="DF5" s="2405"/>
      <c r="DG5" s="2406"/>
      <c r="DH5" s="2406"/>
      <c r="DI5" s="2406"/>
      <c r="DJ5" s="2406"/>
      <c r="DK5" s="2406"/>
      <c r="DL5" s="2406"/>
      <c r="DM5" s="2406"/>
      <c r="DN5" s="2406"/>
      <c r="DO5" s="2406"/>
      <c r="DP5" s="2406"/>
      <c r="DQ5" s="2406"/>
      <c r="DR5" s="2411"/>
      <c r="DS5" s="2421" t="s">
        <v>419</v>
      </c>
      <c r="DT5" s="2422"/>
      <c r="DU5" s="2422"/>
      <c r="DV5" s="2422"/>
      <c r="DW5" s="2422"/>
      <c r="DX5" s="2422"/>
      <c r="DY5" s="2422"/>
      <c r="DZ5" s="2422"/>
      <c r="EA5" s="2422"/>
      <c r="EB5" s="2422"/>
      <c r="EC5" s="2422"/>
      <c r="ED5" s="2422"/>
      <c r="EE5" s="2423"/>
      <c r="EF5" s="2421" t="s">
        <v>420</v>
      </c>
      <c r="EG5" s="2422"/>
      <c r="EH5" s="2422"/>
      <c r="EI5" s="2422"/>
      <c r="EJ5" s="2422"/>
      <c r="EK5" s="2422"/>
      <c r="EL5" s="2422"/>
      <c r="EM5" s="2422"/>
      <c r="EN5" s="2422"/>
      <c r="EO5" s="2422"/>
      <c r="EP5" s="2422"/>
      <c r="EQ5" s="2422"/>
      <c r="ER5" s="2423"/>
      <c r="ES5" s="2421" t="s">
        <v>421</v>
      </c>
      <c r="ET5" s="2422"/>
      <c r="EU5" s="2422"/>
      <c r="EV5" s="2422"/>
      <c r="EW5" s="2422"/>
      <c r="EX5" s="2422"/>
      <c r="EY5" s="2422"/>
      <c r="EZ5" s="2422"/>
      <c r="FA5" s="2422"/>
      <c r="FB5" s="2422"/>
      <c r="FC5" s="2422"/>
      <c r="FD5" s="2422"/>
      <c r="FE5" s="2423"/>
      <c r="FF5" s="2405"/>
      <c r="FG5" s="2406"/>
      <c r="FH5" s="2406"/>
      <c r="FI5" s="2406"/>
      <c r="FJ5" s="2406"/>
      <c r="FK5" s="2406"/>
      <c r="FL5" s="2406"/>
      <c r="FM5" s="2406"/>
      <c r="FN5" s="2406"/>
      <c r="FO5" s="2406"/>
      <c r="FP5" s="2406"/>
      <c r="FQ5" s="2406"/>
      <c r="FR5" s="2406"/>
    </row>
    <row r="6" spans="1:184" ht="12" thickBot="1" x14ac:dyDescent="0.25">
      <c r="A6" s="2374" t="s">
        <v>1041</v>
      </c>
      <c r="B6" s="2374"/>
      <c r="C6" s="2374"/>
      <c r="D6" s="2374"/>
      <c r="E6" s="2374"/>
      <c r="F6" s="2374"/>
      <c r="G6" s="2374"/>
      <c r="H6" s="2375"/>
      <c r="I6" s="2374" t="s">
        <v>1042</v>
      </c>
      <c r="J6" s="2374"/>
      <c r="K6" s="2374"/>
      <c r="L6" s="2374"/>
      <c r="M6" s="2374"/>
      <c r="N6" s="2374"/>
      <c r="O6" s="2374"/>
      <c r="P6" s="2374"/>
      <c r="Q6" s="2374"/>
      <c r="R6" s="2374"/>
      <c r="S6" s="2374"/>
      <c r="T6" s="2374"/>
      <c r="U6" s="2374"/>
      <c r="V6" s="2374"/>
      <c r="W6" s="2374"/>
      <c r="X6" s="2374"/>
      <c r="Y6" s="2374"/>
      <c r="Z6" s="2374"/>
      <c r="AA6" s="2374"/>
      <c r="AB6" s="2374"/>
      <c r="AC6" s="2374"/>
      <c r="AD6" s="2374"/>
      <c r="AE6" s="2374"/>
      <c r="AF6" s="2374"/>
      <c r="AG6" s="2374"/>
      <c r="AH6" s="2374"/>
      <c r="AI6" s="2374"/>
      <c r="AJ6" s="2374"/>
      <c r="AK6" s="2374"/>
      <c r="AL6" s="2374"/>
      <c r="AM6" s="2374"/>
      <c r="AN6" s="2374"/>
      <c r="AO6" s="2374"/>
      <c r="AP6" s="2374"/>
      <c r="AQ6" s="2374"/>
      <c r="AR6" s="2374"/>
      <c r="AS6" s="2374"/>
      <c r="AT6" s="2374"/>
      <c r="AU6" s="2374"/>
      <c r="AV6" s="2374"/>
      <c r="AW6" s="2374"/>
      <c r="AX6" s="2374"/>
      <c r="AY6" s="2374"/>
      <c r="AZ6" s="2374"/>
      <c r="BA6" s="2374"/>
      <c r="BB6" s="2374"/>
      <c r="BC6" s="2374"/>
      <c r="BD6" s="2374"/>
      <c r="BE6" s="2374"/>
      <c r="BF6" s="2374"/>
      <c r="BG6" s="2374"/>
      <c r="BH6" s="2374"/>
      <c r="BI6" s="2374"/>
      <c r="BJ6" s="2374"/>
      <c r="BK6" s="2374"/>
      <c r="BL6" s="2374"/>
      <c r="BM6" s="2374"/>
      <c r="BN6" s="2374"/>
      <c r="BO6" s="2374"/>
      <c r="BP6" s="2374"/>
      <c r="BQ6" s="2374"/>
      <c r="BR6" s="2374"/>
      <c r="BS6" s="2374"/>
      <c r="BT6" s="2374"/>
      <c r="BU6" s="2374"/>
      <c r="BV6" s="2374"/>
      <c r="BW6" s="2374"/>
      <c r="BX6" s="2374"/>
      <c r="BY6" s="2374"/>
      <c r="BZ6" s="2374"/>
      <c r="CA6" s="2374"/>
      <c r="CB6" s="2374"/>
      <c r="CC6" s="2374"/>
      <c r="CD6" s="2374"/>
      <c r="CE6" s="2374"/>
      <c r="CF6" s="2374"/>
      <c r="CG6" s="2374"/>
      <c r="CH6" s="2374"/>
      <c r="CI6" s="2374"/>
      <c r="CJ6" s="2374"/>
      <c r="CK6" s="2374"/>
      <c r="CL6" s="2374"/>
      <c r="CM6" s="2375"/>
      <c r="CN6" s="2376" t="s">
        <v>1043</v>
      </c>
      <c r="CO6" s="2377"/>
      <c r="CP6" s="2377"/>
      <c r="CQ6" s="2377"/>
      <c r="CR6" s="2377"/>
      <c r="CS6" s="2377"/>
      <c r="CT6" s="2377"/>
      <c r="CU6" s="2378"/>
      <c r="CV6" s="2376" t="s">
        <v>1044</v>
      </c>
      <c r="CW6" s="2377"/>
      <c r="CX6" s="2377"/>
      <c r="CY6" s="2377"/>
      <c r="CZ6" s="2377"/>
      <c r="DA6" s="2377"/>
      <c r="DB6" s="2377"/>
      <c r="DC6" s="2377"/>
      <c r="DD6" s="2377"/>
      <c r="DE6" s="2378"/>
      <c r="DF6" s="2395" t="s">
        <v>1743</v>
      </c>
      <c r="DG6" s="2396"/>
      <c r="DH6" s="2396"/>
      <c r="DI6" s="2396"/>
      <c r="DJ6" s="2396"/>
      <c r="DK6" s="2396"/>
      <c r="DL6" s="2396"/>
      <c r="DM6" s="2396"/>
      <c r="DN6" s="2396"/>
      <c r="DO6" s="2396"/>
      <c r="DP6" s="2396"/>
      <c r="DQ6" s="2396"/>
      <c r="DR6" s="2397"/>
      <c r="DS6" s="2376" t="s">
        <v>1045</v>
      </c>
      <c r="DT6" s="2377"/>
      <c r="DU6" s="2377"/>
      <c r="DV6" s="2377"/>
      <c r="DW6" s="2377"/>
      <c r="DX6" s="2377"/>
      <c r="DY6" s="2377"/>
      <c r="DZ6" s="2377"/>
      <c r="EA6" s="2377"/>
      <c r="EB6" s="2377"/>
      <c r="EC6" s="2377"/>
      <c r="ED6" s="2377"/>
      <c r="EE6" s="2378"/>
      <c r="EF6" s="2376" t="s">
        <v>1046</v>
      </c>
      <c r="EG6" s="2377"/>
      <c r="EH6" s="2377"/>
      <c r="EI6" s="2377"/>
      <c r="EJ6" s="2377"/>
      <c r="EK6" s="2377"/>
      <c r="EL6" s="2377"/>
      <c r="EM6" s="2377"/>
      <c r="EN6" s="2377"/>
      <c r="EO6" s="2377"/>
      <c r="EP6" s="2377"/>
      <c r="EQ6" s="2377"/>
      <c r="ER6" s="2378"/>
      <c r="ES6" s="2376" t="s">
        <v>1047</v>
      </c>
      <c r="ET6" s="2377"/>
      <c r="EU6" s="2377"/>
      <c r="EV6" s="2377"/>
      <c r="EW6" s="2377"/>
      <c r="EX6" s="2377"/>
      <c r="EY6" s="2377"/>
      <c r="EZ6" s="2377"/>
      <c r="FA6" s="2377"/>
      <c r="FB6" s="2377"/>
      <c r="FC6" s="2377"/>
      <c r="FD6" s="2377"/>
      <c r="FE6" s="2378"/>
      <c r="FF6" s="2376" t="s">
        <v>1048</v>
      </c>
      <c r="FG6" s="2377"/>
      <c r="FH6" s="2377"/>
      <c r="FI6" s="2377"/>
      <c r="FJ6" s="2377"/>
      <c r="FK6" s="2377"/>
      <c r="FL6" s="2377"/>
      <c r="FM6" s="2377"/>
      <c r="FN6" s="2377"/>
      <c r="FO6" s="2377"/>
      <c r="FP6" s="2377"/>
      <c r="FQ6" s="2377"/>
      <c r="FR6" s="2377"/>
    </row>
    <row r="7" spans="1:184" ht="12.75" customHeight="1" x14ac:dyDescent="0.2">
      <c r="A7" s="2379">
        <v>1</v>
      </c>
      <c r="B7" s="2379"/>
      <c r="C7" s="2379"/>
      <c r="D7" s="2379"/>
      <c r="E7" s="2379"/>
      <c r="F7" s="2379"/>
      <c r="G7" s="2379"/>
      <c r="H7" s="2380"/>
      <c r="I7" s="2381" t="s">
        <v>1049</v>
      </c>
      <c r="J7" s="2382"/>
      <c r="K7" s="2382"/>
      <c r="L7" s="2382"/>
      <c r="M7" s="2382"/>
      <c r="N7" s="2382"/>
      <c r="O7" s="2382"/>
      <c r="P7" s="2382"/>
      <c r="Q7" s="2382"/>
      <c r="R7" s="2382"/>
      <c r="S7" s="2382"/>
      <c r="T7" s="2382"/>
      <c r="U7" s="2382"/>
      <c r="V7" s="2382"/>
      <c r="W7" s="2382"/>
      <c r="X7" s="2382"/>
      <c r="Y7" s="2382"/>
      <c r="Z7" s="2382"/>
      <c r="AA7" s="2382"/>
      <c r="AB7" s="2382"/>
      <c r="AC7" s="2382"/>
      <c r="AD7" s="2382"/>
      <c r="AE7" s="2382"/>
      <c r="AF7" s="2382"/>
      <c r="AG7" s="2382"/>
      <c r="AH7" s="2382"/>
      <c r="AI7" s="2382"/>
      <c r="AJ7" s="2382"/>
      <c r="AK7" s="2382"/>
      <c r="AL7" s="2382"/>
      <c r="AM7" s="2382"/>
      <c r="AN7" s="2382"/>
      <c r="AO7" s="2382"/>
      <c r="AP7" s="2382"/>
      <c r="AQ7" s="2382"/>
      <c r="AR7" s="2382"/>
      <c r="AS7" s="2382"/>
      <c r="AT7" s="2382"/>
      <c r="AU7" s="2382"/>
      <c r="AV7" s="2382"/>
      <c r="AW7" s="2382"/>
      <c r="AX7" s="2382"/>
      <c r="AY7" s="2382"/>
      <c r="AZ7" s="2382"/>
      <c r="BA7" s="2382"/>
      <c r="BB7" s="2382"/>
      <c r="BC7" s="2382"/>
      <c r="BD7" s="2382"/>
      <c r="BE7" s="2382"/>
      <c r="BF7" s="2382"/>
      <c r="BG7" s="2382"/>
      <c r="BH7" s="2382"/>
      <c r="BI7" s="2382"/>
      <c r="BJ7" s="2382"/>
      <c r="BK7" s="2382"/>
      <c r="BL7" s="2382"/>
      <c r="BM7" s="2382"/>
      <c r="BN7" s="2382"/>
      <c r="BO7" s="2382"/>
      <c r="BP7" s="2382"/>
      <c r="BQ7" s="2382"/>
      <c r="BR7" s="2382"/>
      <c r="BS7" s="2382"/>
      <c r="BT7" s="2382"/>
      <c r="BU7" s="2382"/>
      <c r="BV7" s="2382"/>
      <c r="BW7" s="2382"/>
      <c r="BX7" s="2382"/>
      <c r="BY7" s="2382"/>
      <c r="BZ7" s="2382"/>
      <c r="CA7" s="2382"/>
      <c r="CB7" s="2382"/>
      <c r="CC7" s="2382"/>
      <c r="CD7" s="2382"/>
      <c r="CE7" s="2382"/>
      <c r="CF7" s="2382"/>
      <c r="CG7" s="2382"/>
      <c r="CH7" s="2382"/>
      <c r="CI7" s="2382"/>
      <c r="CJ7" s="2382"/>
      <c r="CK7" s="2382"/>
      <c r="CL7" s="2382"/>
      <c r="CM7" s="2382"/>
      <c r="CN7" s="2383" t="s">
        <v>1050</v>
      </c>
      <c r="CO7" s="2384"/>
      <c r="CP7" s="2384"/>
      <c r="CQ7" s="2384"/>
      <c r="CR7" s="2384"/>
      <c r="CS7" s="2384"/>
      <c r="CT7" s="2384"/>
      <c r="CU7" s="2385"/>
      <c r="CV7" s="2386" t="s">
        <v>859</v>
      </c>
      <c r="CW7" s="2387"/>
      <c r="CX7" s="2387"/>
      <c r="CY7" s="2387"/>
      <c r="CZ7" s="2387"/>
      <c r="DA7" s="2387"/>
      <c r="DB7" s="2387"/>
      <c r="DC7" s="2387"/>
      <c r="DD7" s="2387"/>
      <c r="DE7" s="2388"/>
      <c r="DF7" s="2209"/>
      <c r="DG7" s="2209"/>
      <c r="DH7" s="2209"/>
      <c r="DI7" s="2209"/>
      <c r="DJ7" s="2209"/>
      <c r="DK7" s="2209"/>
      <c r="DL7" s="2209"/>
      <c r="DM7" s="2209"/>
      <c r="DN7" s="2209"/>
      <c r="DO7" s="2209"/>
      <c r="DP7" s="2209"/>
      <c r="DQ7" s="2209"/>
      <c r="DR7" s="2209"/>
      <c r="DS7" s="2389">
        <f>DS8+DS9+DS10+DS14</f>
        <v>7703830.6200000001</v>
      </c>
      <c r="DT7" s="2390"/>
      <c r="DU7" s="2390"/>
      <c r="DV7" s="2390"/>
      <c r="DW7" s="2390"/>
      <c r="DX7" s="2390"/>
      <c r="DY7" s="2390"/>
      <c r="DZ7" s="2390"/>
      <c r="EA7" s="2390"/>
      <c r="EB7" s="2390"/>
      <c r="EC7" s="2390"/>
      <c r="ED7" s="2390"/>
      <c r="EE7" s="2391"/>
      <c r="EF7" s="2389">
        <f>EF8+EF9+EF10+EF14</f>
        <v>6666900</v>
      </c>
      <c r="EG7" s="2390"/>
      <c r="EH7" s="2390"/>
      <c r="EI7" s="2390"/>
      <c r="EJ7" s="2390"/>
      <c r="EK7" s="2390"/>
      <c r="EL7" s="2390"/>
      <c r="EM7" s="2390"/>
      <c r="EN7" s="2390"/>
      <c r="EO7" s="2390"/>
      <c r="EP7" s="2390"/>
      <c r="EQ7" s="2390"/>
      <c r="ER7" s="2391"/>
      <c r="ES7" s="2389">
        <f>ES8+ES9+ES10+ES14</f>
        <v>6819100</v>
      </c>
      <c r="ET7" s="2390"/>
      <c r="EU7" s="2390"/>
      <c r="EV7" s="2390"/>
      <c r="EW7" s="2390"/>
      <c r="EX7" s="2390"/>
      <c r="EY7" s="2390"/>
      <c r="EZ7" s="2390"/>
      <c r="FA7" s="2390"/>
      <c r="FB7" s="2390"/>
      <c r="FC7" s="2390"/>
      <c r="FD7" s="2390"/>
      <c r="FE7" s="2391"/>
      <c r="FF7" s="2392"/>
      <c r="FG7" s="2393"/>
      <c r="FH7" s="2393"/>
      <c r="FI7" s="2393"/>
      <c r="FJ7" s="2393"/>
      <c r="FK7" s="2393"/>
      <c r="FL7" s="2393"/>
      <c r="FM7" s="2393"/>
      <c r="FN7" s="2393"/>
      <c r="FO7" s="2393"/>
      <c r="FP7" s="2393"/>
      <c r="FQ7" s="2393"/>
      <c r="FR7" s="2394"/>
      <c r="FS7" s="2373"/>
      <c r="FT7" s="2373"/>
      <c r="FU7" s="2373"/>
      <c r="FV7" s="2373"/>
      <c r="FW7" s="2373"/>
      <c r="FX7" s="2373"/>
      <c r="FY7" s="2373"/>
      <c r="FZ7" s="2373"/>
      <c r="GA7" s="2373"/>
      <c r="GB7" s="2373"/>
    </row>
    <row r="8" spans="1:184" ht="90" customHeight="1" x14ac:dyDescent="0.2">
      <c r="A8" s="2293" t="s">
        <v>779</v>
      </c>
      <c r="B8" s="2293"/>
      <c r="C8" s="2293"/>
      <c r="D8" s="2293"/>
      <c r="E8" s="2293"/>
      <c r="F8" s="2293"/>
      <c r="G8" s="2293"/>
      <c r="H8" s="2294"/>
      <c r="I8" s="2371" t="s">
        <v>1051</v>
      </c>
      <c r="J8" s="2372"/>
      <c r="K8" s="2372"/>
      <c r="L8" s="2372"/>
      <c r="M8" s="2372"/>
      <c r="N8" s="2372"/>
      <c r="O8" s="2372"/>
      <c r="P8" s="2372"/>
      <c r="Q8" s="2372"/>
      <c r="R8" s="2372"/>
      <c r="S8" s="2372"/>
      <c r="T8" s="2372"/>
      <c r="U8" s="2372"/>
      <c r="V8" s="2372"/>
      <c r="W8" s="2372"/>
      <c r="X8" s="2372"/>
      <c r="Y8" s="2372"/>
      <c r="Z8" s="2372"/>
      <c r="AA8" s="2372"/>
      <c r="AB8" s="2372"/>
      <c r="AC8" s="2372"/>
      <c r="AD8" s="2372"/>
      <c r="AE8" s="2372"/>
      <c r="AF8" s="2372"/>
      <c r="AG8" s="2372"/>
      <c r="AH8" s="2372"/>
      <c r="AI8" s="2372"/>
      <c r="AJ8" s="2372"/>
      <c r="AK8" s="2372"/>
      <c r="AL8" s="2372"/>
      <c r="AM8" s="2372"/>
      <c r="AN8" s="2372"/>
      <c r="AO8" s="2372"/>
      <c r="AP8" s="2372"/>
      <c r="AQ8" s="2372"/>
      <c r="AR8" s="2372"/>
      <c r="AS8" s="2372"/>
      <c r="AT8" s="2372"/>
      <c r="AU8" s="2372"/>
      <c r="AV8" s="2372"/>
      <c r="AW8" s="2372"/>
      <c r="AX8" s="2372"/>
      <c r="AY8" s="2372"/>
      <c r="AZ8" s="2372"/>
      <c r="BA8" s="2372"/>
      <c r="BB8" s="2372"/>
      <c r="BC8" s="2372"/>
      <c r="BD8" s="2372"/>
      <c r="BE8" s="2372"/>
      <c r="BF8" s="2372"/>
      <c r="BG8" s="2372"/>
      <c r="BH8" s="2372"/>
      <c r="BI8" s="2372"/>
      <c r="BJ8" s="2372"/>
      <c r="BK8" s="2372"/>
      <c r="BL8" s="2372"/>
      <c r="BM8" s="2372"/>
      <c r="BN8" s="2372"/>
      <c r="BO8" s="2372"/>
      <c r="BP8" s="2372"/>
      <c r="BQ8" s="2372"/>
      <c r="BR8" s="2372"/>
      <c r="BS8" s="2372"/>
      <c r="BT8" s="2372"/>
      <c r="BU8" s="2372"/>
      <c r="BV8" s="2372"/>
      <c r="BW8" s="2372"/>
      <c r="BX8" s="2372"/>
      <c r="BY8" s="2372"/>
      <c r="BZ8" s="2372"/>
      <c r="CA8" s="2372"/>
      <c r="CB8" s="2372"/>
      <c r="CC8" s="2372"/>
      <c r="CD8" s="2372"/>
      <c r="CE8" s="2372"/>
      <c r="CF8" s="2372"/>
      <c r="CG8" s="2372"/>
      <c r="CH8" s="2372"/>
      <c r="CI8" s="2372"/>
      <c r="CJ8" s="2372"/>
      <c r="CK8" s="2372"/>
      <c r="CL8" s="2372"/>
      <c r="CM8" s="2372"/>
      <c r="CN8" s="2297" t="s">
        <v>1052</v>
      </c>
      <c r="CO8" s="2293"/>
      <c r="CP8" s="2293"/>
      <c r="CQ8" s="2293"/>
      <c r="CR8" s="2293"/>
      <c r="CS8" s="2293"/>
      <c r="CT8" s="2293"/>
      <c r="CU8" s="2294"/>
      <c r="CV8" s="2292" t="s">
        <v>859</v>
      </c>
      <c r="CW8" s="2293"/>
      <c r="CX8" s="2293"/>
      <c r="CY8" s="2293"/>
      <c r="CZ8" s="2293"/>
      <c r="DA8" s="2293"/>
      <c r="DB8" s="2293"/>
      <c r="DC8" s="2293"/>
      <c r="DD8" s="2293"/>
      <c r="DE8" s="2294"/>
      <c r="DF8" s="2199"/>
      <c r="DG8" s="2199"/>
      <c r="DH8" s="2199"/>
      <c r="DI8" s="2199"/>
      <c r="DJ8" s="2199"/>
      <c r="DK8" s="2199"/>
      <c r="DL8" s="2199"/>
      <c r="DM8" s="2199"/>
      <c r="DN8" s="2199"/>
      <c r="DO8" s="2199"/>
      <c r="DP8" s="2199"/>
      <c r="DQ8" s="2199"/>
      <c r="DR8" s="2199"/>
      <c r="DS8" s="2354">
        <v>0</v>
      </c>
      <c r="DT8" s="2355"/>
      <c r="DU8" s="2355"/>
      <c r="DV8" s="2355"/>
      <c r="DW8" s="2355"/>
      <c r="DX8" s="2355"/>
      <c r="DY8" s="2355"/>
      <c r="DZ8" s="2355"/>
      <c r="EA8" s="2355"/>
      <c r="EB8" s="2355"/>
      <c r="EC8" s="2355"/>
      <c r="ED8" s="2355"/>
      <c r="EE8" s="2365"/>
      <c r="EF8" s="2354">
        <v>0</v>
      </c>
      <c r="EG8" s="2355"/>
      <c r="EH8" s="2355"/>
      <c r="EI8" s="2355"/>
      <c r="EJ8" s="2355"/>
      <c r="EK8" s="2355"/>
      <c r="EL8" s="2355"/>
      <c r="EM8" s="2355"/>
      <c r="EN8" s="2355"/>
      <c r="EO8" s="2355"/>
      <c r="EP8" s="2355"/>
      <c r="EQ8" s="2355"/>
      <c r="ER8" s="2365"/>
      <c r="ES8" s="2354">
        <v>0</v>
      </c>
      <c r="ET8" s="2355"/>
      <c r="EU8" s="2355"/>
      <c r="EV8" s="2355"/>
      <c r="EW8" s="2355"/>
      <c r="EX8" s="2355"/>
      <c r="EY8" s="2355"/>
      <c r="EZ8" s="2355"/>
      <c r="FA8" s="2355"/>
      <c r="FB8" s="2355"/>
      <c r="FC8" s="2355"/>
      <c r="FD8" s="2355"/>
      <c r="FE8" s="2365"/>
      <c r="FF8" s="2354"/>
      <c r="FG8" s="2355"/>
      <c r="FH8" s="2355"/>
      <c r="FI8" s="2355"/>
      <c r="FJ8" s="2355"/>
      <c r="FK8" s="2355"/>
      <c r="FL8" s="2355"/>
      <c r="FM8" s="2355"/>
      <c r="FN8" s="2355"/>
      <c r="FO8" s="2355"/>
      <c r="FP8" s="2355"/>
      <c r="FQ8" s="2355"/>
      <c r="FR8" s="2356"/>
    </row>
    <row r="9" spans="1:184" ht="24" customHeight="1" x14ac:dyDescent="0.2">
      <c r="A9" s="2293" t="s">
        <v>782</v>
      </c>
      <c r="B9" s="2293"/>
      <c r="C9" s="2293"/>
      <c r="D9" s="2293"/>
      <c r="E9" s="2293"/>
      <c r="F9" s="2293"/>
      <c r="G9" s="2293"/>
      <c r="H9" s="2294"/>
      <c r="I9" s="2371" t="s">
        <v>1053</v>
      </c>
      <c r="J9" s="2372"/>
      <c r="K9" s="2372"/>
      <c r="L9" s="2372"/>
      <c r="M9" s="2372"/>
      <c r="N9" s="2372"/>
      <c r="O9" s="2372"/>
      <c r="P9" s="2372"/>
      <c r="Q9" s="2372"/>
      <c r="R9" s="2372"/>
      <c r="S9" s="2372"/>
      <c r="T9" s="2372"/>
      <c r="U9" s="2372"/>
      <c r="V9" s="2372"/>
      <c r="W9" s="2372"/>
      <c r="X9" s="2372"/>
      <c r="Y9" s="2372"/>
      <c r="Z9" s="2372"/>
      <c r="AA9" s="2372"/>
      <c r="AB9" s="2372"/>
      <c r="AC9" s="2372"/>
      <c r="AD9" s="2372"/>
      <c r="AE9" s="2372"/>
      <c r="AF9" s="2372"/>
      <c r="AG9" s="2372"/>
      <c r="AH9" s="2372"/>
      <c r="AI9" s="2372"/>
      <c r="AJ9" s="2372"/>
      <c r="AK9" s="2372"/>
      <c r="AL9" s="2372"/>
      <c r="AM9" s="2372"/>
      <c r="AN9" s="2372"/>
      <c r="AO9" s="2372"/>
      <c r="AP9" s="2372"/>
      <c r="AQ9" s="2372"/>
      <c r="AR9" s="2372"/>
      <c r="AS9" s="2372"/>
      <c r="AT9" s="2372"/>
      <c r="AU9" s="2372"/>
      <c r="AV9" s="2372"/>
      <c r="AW9" s="2372"/>
      <c r="AX9" s="2372"/>
      <c r="AY9" s="2372"/>
      <c r="AZ9" s="2372"/>
      <c r="BA9" s="2372"/>
      <c r="BB9" s="2372"/>
      <c r="BC9" s="2372"/>
      <c r="BD9" s="2372"/>
      <c r="BE9" s="2372"/>
      <c r="BF9" s="2372"/>
      <c r="BG9" s="2372"/>
      <c r="BH9" s="2372"/>
      <c r="BI9" s="2372"/>
      <c r="BJ9" s="2372"/>
      <c r="BK9" s="2372"/>
      <c r="BL9" s="2372"/>
      <c r="BM9" s="2372"/>
      <c r="BN9" s="2372"/>
      <c r="BO9" s="2372"/>
      <c r="BP9" s="2372"/>
      <c r="BQ9" s="2372"/>
      <c r="BR9" s="2372"/>
      <c r="BS9" s="2372"/>
      <c r="BT9" s="2372"/>
      <c r="BU9" s="2372"/>
      <c r="BV9" s="2372"/>
      <c r="BW9" s="2372"/>
      <c r="BX9" s="2372"/>
      <c r="BY9" s="2372"/>
      <c r="BZ9" s="2372"/>
      <c r="CA9" s="2372"/>
      <c r="CB9" s="2372"/>
      <c r="CC9" s="2372"/>
      <c r="CD9" s="2372"/>
      <c r="CE9" s="2372"/>
      <c r="CF9" s="2372"/>
      <c r="CG9" s="2372"/>
      <c r="CH9" s="2372"/>
      <c r="CI9" s="2372"/>
      <c r="CJ9" s="2372"/>
      <c r="CK9" s="2372"/>
      <c r="CL9" s="2372"/>
      <c r="CM9" s="2372"/>
      <c r="CN9" s="2297" t="s">
        <v>1054</v>
      </c>
      <c r="CO9" s="2293"/>
      <c r="CP9" s="2293"/>
      <c r="CQ9" s="2293"/>
      <c r="CR9" s="2293"/>
      <c r="CS9" s="2293"/>
      <c r="CT9" s="2293"/>
      <c r="CU9" s="2294"/>
      <c r="CV9" s="2292" t="s">
        <v>859</v>
      </c>
      <c r="CW9" s="2293"/>
      <c r="CX9" s="2293"/>
      <c r="CY9" s="2293"/>
      <c r="CZ9" s="2293"/>
      <c r="DA9" s="2293"/>
      <c r="DB9" s="2293"/>
      <c r="DC9" s="2293"/>
      <c r="DD9" s="2293"/>
      <c r="DE9" s="2294"/>
      <c r="DF9" s="2199"/>
      <c r="DG9" s="2199"/>
      <c r="DH9" s="2199"/>
      <c r="DI9" s="2199"/>
      <c r="DJ9" s="2199"/>
      <c r="DK9" s="2199"/>
      <c r="DL9" s="2199"/>
      <c r="DM9" s="2199"/>
      <c r="DN9" s="2199"/>
      <c r="DO9" s="2199"/>
      <c r="DP9" s="2199"/>
      <c r="DQ9" s="2199"/>
      <c r="DR9" s="2199"/>
      <c r="DS9" s="2354">
        <v>0</v>
      </c>
      <c r="DT9" s="2355"/>
      <c r="DU9" s="2355"/>
      <c r="DV9" s="2355"/>
      <c r="DW9" s="2355"/>
      <c r="DX9" s="2355"/>
      <c r="DY9" s="2355"/>
      <c r="DZ9" s="2355"/>
      <c r="EA9" s="2355"/>
      <c r="EB9" s="2355"/>
      <c r="EC9" s="2355"/>
      <c r="ED9" s="2355"/>
      <c r="EE9" s="2365"/>
      <c r="EF9" s="2354">
        <v>0</v>
      </c>
      <c r="EG9" s="2355"/>
      <c r="EH9" s="2355"/>
      <c r="EI9" s="2355"/>
      <c r="EJ9" s="2355"/>
      <c r="EK9" s="2355"/>
      <c r="EL9" s="2355"/>
      <c r="EM9" s="2355"/>
      <c r="EN9" s="2355"/>
      <c r="EO9" s="2355"/>
      <c r="EP9" s="2355"/>
      <c r="EQ9" s="2355"/>
      <c r="ER9" s="2365"/>
      <c r="ES9" s="2354">
        <v>0</v>
      </c>
      <c r="ET9" s="2355"/>
      <c r="EU9" s="2355"/>
      <c r="EV9" s="2355"/>
      <c r="EW9" s="2355"/>
      <c r="EX9" s="2355"/>
      <c r="EY9" s="2355"/>
      <c r="EZ9" s="2355"/>
      <c r="FA9" s="2355"/>
      <c r="FB9" s="2355"/>
      <c r="FC9" s="2355"/>
      <c r="FD9" s="2355"/>
      <c r="FE9" s="2365"/>
      <c r="FF9" s="2354"/>
      <c r="FG9" s="2355"/>
      <c r="FH9" s="2355"/>
      <c r="FI9" s="2355"/>
      <c r="FJ9" s="2355"/>
      <c r="FK9" s="2355"/>
      <c r="FL9" s="2355"/>
      <c r="FM9" s="2355"/>
      <c r="FN9" s="2355"/>
      <c r="FO9" s="2355"/>
      <c r="FP9" s="2355"/>
      <c r="FQ9" s="2355"/>
      <c r="FR9" s="2356"/>
    </row>
    <row r="10" spans="1:184" ht="24" customHeight="1" x14ac:dyDescent="0.2">
      <c r="A10" s="2293" t="s">
        <v>784</v>
      </c>
      <c r="B10" s="2293"/>
      <c r="C10" s="2293"/>
      <c r="D10" s="2293"/>
      <c r="E10" s="2293"/>
      <c r="F10" s="2293"/>
      <c r="G10" s="2293"/>
      <c r="H10" s="2294"/>
      <c r="I10" s="2371" t="s">
        <v>1170</v>
      </c>
      <c r="J10" s="2372"/>
      <c r="K10" s="2372"/>
      <c r="L10" s="2372"/>
      <c r="M10" s="2372"/>
      <c r="N10" s="2372"/>
      <c r="O10" s="2372"/>
      <c r="P10" s="2372"/>
      <c r="Q10" s="2372"/>
      <c r="R10" s="2372"/>
      <c r="S10" s="2372"/>
      <c r="T10" s="2372"/>
      <c r="U10" s="2372"/>
      <c r="V10" s="2372"/>
      <c r="W10" s="2372"/>
      <c r="X10" s="2372"/>
      <c r="Y10" s="2372"/>
      <c r="Z10" s="2372"/>
      <c r="AA10" s="2372"/>
      <c r="AB10" s="2372"/>
      <c r="AC10" s="2372"/>
      <c r="AD10" s="2372"/>
      <c r="AE10" s="2372"/>
      <c r="AF10" s="2372"/>
      <c r="AG10" s="2372"/>
      <c r="AH10" s="2372"/>
      <c r="AI10" s="2372"/>
      <c r="AJ10" s="2372"/>
      <c r="AK10" s="2372"/>
      <c r="AL10" s="2372"/>
      <c r="AM10" s="2372"/>
      <c r="AN10" s="2372"/>
      <c r="AO10" s="2372"/>
      <c r="AP10" s="2372"/>
      <c r="AQ10" s="2372"/>
      <c r="AR10" s="2372"/>
      <c r="AS10" s="2372"/>
      <c r="AT10" s="2372"/>
      <c r="AU10" s="2372"/>
      <c r="AV10" s="2372"/>
      <c r="AW10" s="2372"/>
      <c r="AX10" s="2372"/>
      <c r="AY10" s="2372"/>
      <c r="AZ10" s="2372"/>
      <c r="BA10" s="2372"/>
      <c r="BB10" s="2372"/>
      <c r="BC10" s="2372"/>
      <c r="BD10" s="2372"/>
      <c r="BE10" s="2372"/>
      <c r="BF10" s="2372"/>
      <c r="BG10" s="2372"/>
      <c r="BH10" s="2372"/>
      <c r="BI10" s="2372"/>
      <c r="BJ10" s="2372"/>
      <c r="BK10" s="2372"/>
      <c r="BL10" s="2372"/>
      <c r="BM10" s="2372"/>
      <c r="BN10" s="2372"/>
      <c r="BO10" s="2372"/>
      <c r="BP10" s="2372"/>
      <c r="BQ10" s="2372"/>
      <c r="BR10" s="2372"/>
      <c r="BS10" s="2372"/>
      <c r="BT10" s="2372"/>
      <c r="BU10" s="2372"/>
      <c r="BV10" s="2372"/>
      <c r="BW10" s="2372"/>
      <c r="BX10" s="2372"/>
      <c r="BY10" s="2372"/>
      <c r="BZ10" s="2372"/>
      <c r="CA10" s="2372"/>
      <c r="CB10" s="2372"/>
      <c r="CC10" s="2372"/>
      <c r="CD10" s="2372"/>
      <c r="CE10" s="2372"/>
      <c r="CF10" s="2372"/>
      <c r="CG10" s="2372"/>
      <c r="CH10" s="2372"/>
      <c r="CI10" s="2372"/>
      <c r="CJ10" s="2372"/>
      <c r="CK10" s="2372"/>
      <c r="CL10" s="2372"/>
      <c r="CM10" s="2372"/>
      <c r="CN10" s="2297" t="s">
        <v>1055</v>
      </c>
      <c r="CO10" s="2293"/>
      <c r="CP10" s="2293"/>
      <c r="CQ10" s="2293"/>
      <c r="CR10" s="2293"/>
      <c r="CS10" s="2293"/>
      <c r="CT10" s="2293"/>
      <c r="CU10" s="2294"/>
      <c r="CV10" s="2292" t="s">
        <v>859</v>
      </c>
      <c r="CW10" s="2293"/>
      <c r="CX10" s="2293"/>
      <c r="CY10" s="2293"/>
      <c r="CZ10" s="2293"/>
      <c r="DA10" s="2293"/>
      <c r="DB10" s="2293"/>
      <c r="DC10" s="2293"/>
      <c r="DD10" s="2293"/>
      <c r="DE10" s="2294"/>
      <c r="DF10" s="2199"/>
      <c r="DG10" s="2199"/>
      <c r="DH10" s="2199"/>
      <c r="DI10" s="2199"/>
      <c r="DJ10" s="2199"/>
      <c r="DK10" s="2199"/>
      <c r="DL10" s="2199"/>
      <c r="DM10" s="2199"/>
      <c r="DN10" s="2199"/>
      <c r="DO10" s="2199"/>
      <c r="DP10" s="2199"/>
      <c r="DQ10" s="2199"/>
      <c r="DR10" s="2199"/>
      <c r="DS10" s="2354">
        <v>2267299.41</v>
      </c>
      <c r="DT10" s="2355"/>
      <c r="DU10" s="2355"/>
      <c r="DV10" s="2355"/>
      <c r="DW10" s="2355"/>
      <c r="DX10" s="2355"/>
      <c r="DY10" s="2355"/>
      <c r="DZ10" s="2355"/>
      <c r="EA10" s="2355"/>
      <c r="EB10" s="2355"/>
      <c r="EC10" s="2355"/>
      <c r="ED10" s="2355"/>
      <c r="EE10" s="2365"/>
      <c r="EF10" s="2354">
        <v>1043774.33</v>
      </c>
      <c r="EG10" s="2355"/>
      <c r="EH10" s="2355"/>
      <c r="EI10" s="2355"/>
      <c r="EJ10" s="2355"/>
      <c r="EK10" s="2355"/>
      <c r="EL10" s="2355"/>
      <c r="EM10" s="2355"/>
      <c r="EN10" s="2355"/>
      <c r="EO10" s="2355"/>
      <c r="EP10" s="2355"/>
      <c r="EQ10" s="2355"/>
      <c r="ER10" s="2365"/>
      <c r="ES10" s="2354">
        <v>1085326.69</v>
      </c>
      <c r="ET10" s="2355"/>
      <c r="EU10" s="2355"/>
      <c r="EV10" s="2355"/>
      <c r="EW10" s="2355"/>
      <c r="EX10" s="2355"/>
      <c r="EY10" s="2355"/>
      <c r="EZ10" s="2355"/>
      <c r="FA10" s="2355"/>
      <c r="FB10" s="2355"/>
      <c r="FC10" s="2355"/>
      <c r="FD10" s="2355"/>
      <c r="FE10" s="2365"/>
      <c r="FF10" s="2354"/>
      <c r="FG10" s="2355"/>
      <c r="FH10" s="2355"/>
      <c r="FI10" s="2355"/>
      <c r="FJ10" s="2355"/>
      <c r="FK10" s="2355"/>
      <c r="FL10" s="2355"/>
      <c r="FM10" s="2355"/>
      <c r="FN10" s="2355"/>
      <c r="FO10" s="2355"/>
      <c r="FP10" s="2355"/>
      <c r="FQ10" s="2355"/>
      <c r="FR10" s="2356"/>
    </row>
    <row r="11" spans="1:184" s="2195" customFormat="1" ht="24" customHeight="1" x14ac:dyDescent="0.2">
      <c r="A11" s="2293" t="s">
        <v>1744</v>
      </c>
      <c r="B11" s="2293"/>
      <c r="C11" s="2293"/>
      <c r="D11" s="2293"/>
      <c r="E11" s="2293"/>
      <c r="F11" s="2293"/>
      <c r="G11" s="2293"/>
      <c r="H11" s="2294"/>
      <c r="I11" s="2300" t="s">
        <v>1745</v>
      </c>
      <c r="J11" s="2301"/>
      <c r="K11" s="2301"/>
      <c r="L11" s="2301"/>
      <c r="M11" s="2301"/>
      <c r="N11" s="2301"/>
      <c r="O11" s="2301"/>
      <c r="P11" s="2301"/>
      <c r="Q11" s="2301"/>
      <c r="R11" s="2301"/>
      <c r="S11" s="2301"/>
      <c r="T11" s="2301"/>
      <c r="U11" s="2301"/>
      <c r="V11" s="2301"/>
      <c r="W11" s="2301"/>
      <c r="X11" s="2301"/>
      <c r="Y11" s="2301"/>
      <c r="Z11" s="2301"/>
      <c r="AA11" s="2301"/>
      <c r="AB11" s="2301"/>
      <c r="AC11" s="2301"/>
      <c r="AD11" s="2301"/>
      <c r="AE11" s="2301"/>
      <c r="AF11" s="2301"/>
      <c r="AG11" s="2301"/>
      <c r="AH11" s="2301"/>
      <c r="AI11" s="2301"/>
      <c r="AJ11" s="2301"/>
      <c r="AK11" s="2301"/>
      <c r="AL11" s="2301"/>
      <c r="AM11" s="2301"/>
      <c r="AN11" s="2301"/>
      <c r="AO11" s="2301"/>
      <c r="AP11" s="2301"/>
      <c r="AQ11" s="2301"/>
      <c r="AR11" s="2301"/>
      <c r="AS11" s="2301"/>
      <c r="AT11" s="2301"/>
      <c r="AU11" s="2301"/>
      <c r="AV11" s="2301"/>
      <c r="AW11" s="2301"/>
      <c r="AX11" s="2301"/>
      <c r="AY11" s="2301"/>
      <c r="AZ11" s="2301"/>
      <c r="BA11" s="2301"/>
      <c r="BB11" s="2301"/>
      <c r="BC11" s="2301"/>
      <c r="BD11" s="2301"/>
      <c r="BE11" s="2301"/>
      <c r="BF11" s="2301"/>
      <c r="BG11" s="2301"/>
      <c r="BH11" s="2301"/>
      <c r="BI11" s="2301"/>
      <c r="BJ11" s="2301"/>
      <c r="BK11" s="2301"/>
      <c r="BL11" s="2301"/>
      <c r="BM11" s="2301"/>
      <c r="BN11" s="2301"/>
      <c r="BO11" s="2301"/>
      <c r="BP11" s="2301"/>
      <c r="BQ11" s="2301"/>
      <c r="BR11" s="2301"/>
      <c r="BS11" s="2301"/>
      <c r="BT11" s="2301"/>
      <c r="BU11" s="2301"/>
      <c r="BV11" s="2301"/>
      <c r="BW11" s="2301"/>
      <c r="BX11" s="2301"/>
      <c r="BY11" s="2301"/>
      <c r="BZ11" s="2301"/>
      <c r="CA11" s="2301"/>
      <c r="CB11" s="2301"/>
      <c r="CC11" s="2301"/>
      <c r="CD11" s="2301"/>
      <c r="CE11" s="2301"/>
      <c r="CF11" s="2301"/>
      <c r="CG11" s="2301"/>
      <c r="CH11" s="2301"/>
      <c r="CI11" s="2301"/>
      <c r="CJ11" s="2301"/>
      <c r="CK11" s="2301"/>
      <c r="CL11" s="2301"/>
      <c r="CM11" s="2301"/>
      <c r="CN11" s="2297" t="s">
        <v>1746</v>
      </c>
      <c r="CO11" s="2293"/>
      <c r="CP11" s="2293"/>
      <c r="CQ11" s="2293"/>
      <c r="CR11" s="2293"/>
      <c r="CS11" s="2293"/>
      <c r="CT11" s="2293"/>
      <c r="CU11" s="2294"/>
      <c r="CV11" s="2292" t="s">
        <v>859</v>
      </c>
      <c r="CW11" s="2293"/>
      <c r="CX11" s="2293"/>
      <c r="CY11" s="2293"/>
      <c r="CZ11" s="2293"/>
      <c r="DA11" s="2293"/>
      <c r="DB11" s="2293"/>
      <c r="DC11" s="2293"/>
      <c r="DD11" s="2293"/>
      <c r="DE11" s="2294"/>
      <c r="DF11" s="2292" t="s">
        <v>859</v>
      </c>
      <c r="DG11" s="2293"/>
      <c r="DH11" s="2293"/>
      <c r="DI11" s="2293"/>
      <c r="DJ11" s="2293"/>
      <c r="DK11" s="2293"/>
      <c r="DL11" s="2293"/>
      <c r="DM11" s="2293"/>
      <c r="DN11" s="2293"/>
      <c r="DO11" s="2293"/>
      <c r="DP11" s="2293"/>
      <c r="DQ11" s="2293"/>
      <c r="DR11" s="2294"/>
      <c r="DS11" s="2218"/>
      <c r="DT11" s="2219"/>
      <c r="DU11" s="2219"/>
      <c r="DV11" s="2219"/>
      <c r="DW11" s="2219"/>
      <c r="DX11" s="2219"/>
      <c r="DY11" s="2219"/>
      <c r="DZ11" s="2219"/>
      <c r="EA11" s="2219"/>
      <c r="EB11" s="2219"/>
      <c r="EC11" s="2219"/>
      <c r="ED11" s="2219"/>
      <c r="EE11" s="2220"/>
      <c r="EF11" s="2202"/>
      <c r="EG11" s="2203"/>
      <c r="EH11" s="2203"/>
      <c r="EI11" s="2203"/>
      <c r="EJ11" s="2203"/>
      <c r="EK11" s="2203"/>
      <c r="EL11" s="2203"/>
      <c r="EM11" s="2203"/>
      <c r="EN11" s="2203"/>
      <c r="EO11" s="2203"/>
      <c r="EP11" s="2203"/>
      <c r="EQ11" s="2203"/>
      <c r="ER11" s="2208"/>
      <c r="ES11" s="2202"/>
      <c r="ET11" s="2203"/>
      <c r="EU11" s="2203"/>
      <c r="EV11" s="2203"/>
      <c r="EW11" s="2203"/>
      <c r="EX11" s="2203"/>
      <c r="EY11" s="2203"/>
      <c r="EZ11" s="2203"/>
      <c r="FA11" s="2203"/>
      <c r="FB11" s="2203"/>
      <c r="FC11" s="2203"/>
      <c r="FD11" s="2203"/>
      <c r="FE11" s="2208"/>
      <c r="FF11" s="2202"/>
      <c r="FG11" s="2203"/>
      <c r="FH11" s="2203"/>
      <c r="FI11" s="2203"/>
      <c r="FJ11" s="2203"/>
      <c r="FK11" s="2203"/>
      <c r="FL11" s="2203"/>
      <c r="FM11" s="2203"/>
      <c r="FN11" s="2203"/>
      <c r="FO11" s="2203"/>
      <c r="FP11" s="2203"/>
      <c r="FQ11" s="2203"/>
      <c r="FR11" s="2204"/>
    </row>
    <row r="12" spans="1:184" s="2195" customFormat="1" ht="14.25" customHeight="1" x14ac:dyDescent="0.2">
      <c r="A12" s="2199"/>
      <c r="B12" s="2199"/>
      <c r="C12" s="2199"/>
      <c r="D12" s="2199"/>
      <c r="E12" s="2199"/>
      <c r="F12" s="2199"/>
      <c r="G12" s="2199"/>
      <c r="H12" s="2200"/>
      <c r="I12" s="2302" t="s">
        <v>1747</v>
      </c>
      <c r="J12" s="2303"/>
      <c r="K12" s="2303"/>
      <c r="L12" s="2303"/>
      <c r="M12" s="2303"/>
      <c r="N12" s="2303"/>
      <c r="O12" s="2303"/>
      <c r="P12" s="2303"/>
      <c r="Q12" s="2303"/>
      <c r="R12" s="2303"/>
      <c r="S12" s="2303"/>
      <c r="T12" s="2303"/>
      <c r="U12" s="2303"/>
      <c r="V12" s="2303"/>
      <c r="W12" s="2303"/>
      <c r="X12" s="2303"/>
      <c r="Y12" s="2303"/>
      <c r="Z12" s="2303"/>
      <c r="AA12" s="2303"/>
      <c r="AB12" s="2303"/>
      <c r="AC12" s="2303"/>
      <c r="AD12" s="2303"/>
      <c r="AE12" s="2303"/>
      <c r="AF12" s="2303"/>
      <c r="AG12" s="2303"/>
      <c r="AH12" s="2303"/>
      <c r="AI12" s="2303"/>
      <c r="AJ12" s="2303"/>
      <c r="AK12" s="2303"/>
      <c r="AL12" s="2303"/>
      <c r="AM12" s="2303"/>
      <c r="AN12" s="2303"/>
      <c r="AO12" s="2303"/>
      <c r="AP12" s="2303"/>
      <c r="AQ12" s="2303"/>
      <c r="AR12" s="2303"/>
      <c r="AS12" s="2303"/>
      <c r="AT12" s="2303"/>
      <c r="AU12" s="2303"/>
      <c r="AV12" s="2303"/>
      <c r="AW12" s="2303"/>
      <c r="AX12" s="2303"/>
      <c r="AY12" s="2303"/>
      <c r="AZ12" s="2303"/>
      <c r="BA12" s="2303"/>
      <c r="BB12" s="2303"/>
      <c r="BC12" s="2303"/>
      <c r="BD12" s="2303"/>
      <c r="BE12" s="2303"/>
      <c r="BF12" s="2303"/>
      <c r="BG12" s="2303"/>
      <c r="BH12" s="2303"/>
      <c r="BI12" s="2303"/>
      <c r="BJ12" s="2303"/>
      <c r="BK12" s="2303"/>
      <c r="BL12" s="2303"/>
      <c r="BM12" s="2303"/>
      <c r="BN12" s="2303"/>
      <c r="BO12" s="2303"/>
      <c r="BP12" s="2303"/>
      <c r="BQ12" s="2303"/>
      <c r="BR12" s="2303"/>
      <c r="BS12" s="2303"/>
      <c r="BT12" s="2303"/>
      <c r="BU12" s="2303"/>
      <c r="BV12" s="2303"/>
      <c r="BW12" s="2303"/>
      <c r="BX12" s="2303"/>
      <c r="BY12" s="2303"/>
      <c r="BZ12" s="2303"/>
      <c r="CA12" s="2303"/>
      <c r="CB12" s="2303"/>
      <c r="CC12" s="2303"/>
      <c r="CD12" s="2303"/>
      <c r="CE12" s="2303"/>
      <c r="CF12" s="2303"/>
      <c r="CG12" s="2303"/>
      <c r="CH12" s="2303"/>
      <c r="CI12" s="2303"/>
      <c r="CJ12" s="2303"/>
      <c r="CK12" s="2303"/>
      <c r="CL12" s="2303"/>
      <c r="CM12" s="2303"/>
      <c r="CN12" s="2297" t="s">
        <v>1748</v>
      </c>
      <c r="CO12" s="2293"/>
      <c r="CP12" s="2293"/>
      <c r="CQ12" s="2293"/>
      <c r="CR12" s="2293"/>
      <c r="CS12" s="2293"/>
      <c r="CT12" s="2293"/>
      <c r="CU12" s="2294"/>
      <c r="CV12" s="2201"/>
      <c r="CW12" s="2199"/>
      <c r="CX12" s="2199"/>
      <c r="CY12" s="2199"/>
      <c r="CZ12" s="2199"/>
      <c r="DA12" s="2199"/>
      <c r="DB12" s="2199"/>
      <c r="DC12" s="2199"/>
      <c r="DD12" s="2199"/>
      <c r="DE12" s="2200"/>
      <c r="DF12" s="2199"/>
      <c r="DG12" s="2199"/>
      <c r="DH12" s="2199"/>
      <c r="DI12" s="2199"/>
      <c r="DJ12" s="2199"/>
      <c r="DK12" s="2199"/>
      <c r="DL12" s="2199"/>
      <c r="DM12" s="2199"/>
      <c r="DN12" s="2199"/>
      <c r="DO12" s="2199"/>
      <c r="DP12" s="2199"/>
      <c r="DQ12" s="2199"/>
      <c r="DR12" s="2199"/>
      <c r="DS12" s="2202"/>
      <c r="DT12" s="2203"/>
      <c r="DU12" s="2203"/>
      <c r="DV12" s="2203"/>
      <c r="DW12" s="2203"/>
      <c r="DX12" s="2203"/>
      <c r="DY12" s="2203"/>
      <c r="DZ12" s="2203"/>
      <c r="EA12" s="2203"/>
      <c r="EB12" s="2203"/>
      <c r="EC12" s="2203"/>
      <c r="ED12" s="2203"/>
      <c r="EE12" s="2208"/>
      <c r="EF12" s="2202"/>
      <c r="EG12" s="2203"/>
      <c r="EH12" s="2203"/>
      <c r="EI12" s="2203"/>
      <c r="EJ12" s="2203"/>
      <c r="EK12" s="2203"/>
      <c r="EL12" s="2203"/>
      <c r="EM12" s="2203"/>
      <c r="EN12" s="2203"/>
      <c r="EO12" s="2203"/>
      <c r="EP12" s="2203"/>
      <c r="EQ12" s="2203"/>
      <c r="ER12" s="2208"/>
      <c r="ES12" s="2202"/>
      <c r="ET12" s="2203"/>
      <c r="EU12" s="2203"/>
      <c r="EV12" s="2203"/>
      <c r="EW12" s="2203"/>
      <c r="EX12" s="2203"/>
      <c r="EY12" s="2203"/>
      <c r="EZ12" s="2203"/>
      <c r="FA12" s="2203"/>
      <c r="FB12" s="2203"/>
      <c r="FC12" s="2203"/>
      <c r="FD12" s="2203"/>
      <c r="FE12" s="2208"/>
      <c r="FF12" s="2202"/>
      <c r="FG12" s="2203"/>
      <c r="FH12" s="2203"/>
      <c r="FI12" s="2203"/>
      <c r="FJ12" s="2203"/>
      <c r="FK12" s="2203"/>
      <c r="FL12" s="2203"/>
      <c r="FM12" s="2203"/>
      <c r="FN12" s="2203"/>
      <c r="FO12" s="2203"/>
      <c r="FP12" s="2203"/>
      <c r="FQ12" s="2203"/>
      <c r="FR12" s="2204"/>
    </row>
    <row r="13" spans="1:184" s="2195" customFormat="1" ht="24" customHeight="1" x14ac:dyDescent="0.2">
      <c r="A13" s="2293" t="s">
        <v>1749</v>
      </c>
      <c r="B13" s="2293"/>
      <c r="C13" s="2293"/>
      <c r="D13" s="2293"/>
      <c r="E13" s="2293"/>
      <c r="F13" s="2293"/>
      <c r="G13" s="2293"/>
      <c r="H13" s="2294"/>
      <c r="I13" s="2210" t="s">
        <v>1750</v>
      </c>
      <c r="J13" s="2211"/>
      <c r="K13" s="2211" t="s">
        <v>1088</v>
      </c>
      <c r="L13" s="2211"/>
      <c r="M13" s="2211"/>
      <c r="N13" s="2211"/>
      <c r="O13" s="2211"/>
      <c r="P13" s="2211"/>
      <c r="Q13" s="2211"/>
      <c r="R13" s="2211"/>
      <c r="S13" s="2211"/>
      <c r="T13" s="2211"/>
      <c r="U13" s="2211"/>
      <c r="V13" s="2211"/>
      <c r="W13" s="2211"/>
      <c r="X13" s="2211"/>
      <c r="Y13" s="2211"/>
      <c r="Z13" s="2211"/>
      <c r="AA13" s="2211"/>
      <c r="AB13" s="2211"/>
      <c r="AC13" s="2211"/>
      <c r="AD13" s="2211"/>
      <c r="AE13" s="2211"/>
      <c r="AF13" s="2211"/>
      <c r="AG13" s="2211"/>
      <c r="AH13" s="2211"/>
      <c r="AI13" s="2211"/>
      <c r="AJ13" s="2211"/>
      <c r="AK13" s="2211"/>
      <c r="AL13" s="2211"/>
      <c r="AM13" s="2211"/>
      <c r="AN13" s="2211"/>
      <c r="AO13" s="2211"/>
      <c r="AP13" s="2211"/>
      <c r="AQ13" s="2211"/>
      <c r="AR13" s="2211"/>
      <c r="AS13" s="2211"/>
      <c r="AT13" s="2211"/>
      <c r="AU13" s="2211"/>
      <c r="AV13" s="2211"/>
      <c r="AW13" s="2211"/>
      <c r="AX13" s="2211"/>
      <c r="AY13" s="2211"/>
      <c r="AZ13" s="2211"/>
      <c r="BA13" s="2211"/>
      <c r="BB13" s="2211"/>
      <c r="BC13" s="2211"/>
      <c r="BD13" s="2211"/>
      <c r="BE13" s="2211"/>
      <c r="BF13" s="2211"/>
      <c r="BG13" s="2211"/>
      <c r="BH13" s="2211"/>
      <c r="BI13" s="2211"/>
      <c r="BJ13" s="2211"/>
      <c r="BK13" s="2211"/>
      <c r="BL13" s="2211"/>
      <c r="BM13" s="2211"/>
      <c r="BN13" s="2211"/>
      <c r="BO13" s="2211"/>
      <c r="BP13" s="2211"/>
      <c r="BQ13" s="2211"/>
      <c r="BR13" s="2211"/>
      <c r="BS13" s="2211"/>
      <c r="BT13" s="2211"/>
      <c r="BU13" s="2211"/>
      <c r="BV13" s="2211"/>
      <c r="BW13" s="2211"/>
      <c r="BX13" s="2211"/>
      <c r="BY13" s="2211"/>
      <c r="BZ13" s="2211"/>
      <c r="CA13" s="2211"/>
      <c r="CB13" s="2211"/>
      <c r="CC13" s="2211"/>
      <c r="CD13" s="2211"/>
      <c r="CE13" s="2211"/>
      <c r="CF13" s="2211"/>
      <c r="CG13" s="2211"/>
      <c r="CH13" s="2211"/>
      <c r="CI13" s="2211"/>
      <c r="CJ13" s="2211"/>
      <c r="CK13" s="2211"/>
      <c r="CL13" s="2211"/>
      <c r="CM13" s="2211"/>
      <c r="CN13" s="2297" t="s">
        <v>1751</v>
      </c>
      <c r="CO13" s="2293"/>
      <c r="CP13" s="2293"/>
      <c r="CQ13" s="2293"/>
      <c r="CR13" s="2293"/>
      <c r="CS13" s="2293"/>
      <c r="CT13" s="2293"/>
      <c r="CU13" s="2294"/>
      <c r="CV13" s="2292" t="s">
        <v>859</v>
      </c>
      <c r="CW13" s="2293"/>
      <c r="CX13" s="2293"/>
      <c r="CY13" s="2293"/>
      <c r="CZ13" s="2293"/>
      <c r="DA13" s="2293"/>
      <c r="DB13" s="2293"/>
      <c r="DC13" s="2293"/>
      <c r="DD13" s="2293"/>
      <c r="DE13" s="2294"/>
      <c r="DF13" s="2292" t="s">
        <v>859</v>
      </c>
      <c r="DG13" s="2293"/>
      <c r="DH13" s="2293"/>
      <c r="DI13" s="2293"/>
      <c r="DJ13" s="2293"/>
      <c r="DK13" s="2293"/>
      <c r="DL13" s="2293"/>
      <c r="DM13" s="2293"/>
      <c r="DN13" s="2293"/>
      <c r="DO13" s="2293"/>
      <c r="DP13" s="2293"/>
      <c r="DQ13" s="2293"/>
      <c r="DR13" s="2294"/>
      <c r="DS13" s="2202"/>
      <c r="DT13" s="2203"/>
      <c r="DU13" s="2203"/>
      <c r="DV13" s="2203"/>
      <c r="DW13" s="2203"/>
      <c r="DX13" s="2203"/>
      <c r="DY13" s="2203"/>
      <c r="DZ13" s="2203"/>
      <c r="EA13" s="2203"/>
      <c r="EB13" s="2203"/>
      <c r="EC13" s="2203"/>
      <c r="ED13" s="2203"/>
      <c r="EE13" s="2208"/>
      <c r="EF13" s="2202"/>
      <c r="EG13" s="2203"/>
      <c r="EH13" s="2203"/>
      <c r="EI13" s="2203"/>
      <c r="EJ13" s="2203"/>
      <c r="EK13" s="2203"/>
      <c r="EL13" s="2203"/>
      <c r="EM13" s="2203"/>
      <c r="EN13" s="2203"/>
      <c r="EO13" s="2203"/>
      <c r="EP13" s="2203"/>
      <c r="EQ13" s="2203"/>
      <c r="ER13" s="2208"/>
      <c r="ES13" s="2202"/>
      <c r="ET13" s="2203"/>
      <c r="EU13" s="2203"/>
      <c r="EV13" s="2203"/>
      <c r="EW13" s="2203"/>
      <c r="EX13" s="2203"/>
      <c r="EY13" s="2203"/>
      <c r="EZ13" s="2203"/>
      <c r="FA13" s="2203"/>
      <c r="FB13" s="2203"/>
      <c r="FC13" s="2203"/>
      <c r="FD13" s="2203"/>
      <c r="FE13" s="2208"/>
      <c r="FF13" s="2202"/>
      <c r="FG13" s="2203"/>
      <c r="FH13" s="2203"/>
      <c r="FI13" s="2203"/>
      <c r="FJ13" s="2203"/>
      <c r="FK13" s="2203"/>
      <c r="FL13" s="2203"/>
      <c r="FM13" s="2203"/>
      <c r="FN13" s="2203"/>
      <c r="FO13" s="2203"/>
      <c r="FP13" s="2203"/>
      <c r="FQ13" s="2203"/>
      <c r="FR13" s="2204"/>
    </row>
    <row r="14" spans="1:184" ht="24" customHeight="1" x14ac:dyDescent="0.2">
      <c r="A14" s="2293" t="s">
        <v>1056</v>
      </c>
      <c r="B14" s="2293"/>
      <c r="C14" s="2293"/>
      <c r="D14" s="2293"/>
      <c r="E14" s="2293"/>
      <c r="F14" s="2293"/>
      <c r="G14" s="2293"/>
      <c r="H14" s="2294"/>
      <c r="I14" s="2371" t="s">
        <v>1171</v>
      </c>
      <c r="J14" s="2372"/>
      <c r="K14" s="2372"/>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c r="AH14" s="2372"/>
      <c r="AI14" s="2372"/>
      <c r="AJ14" s="2372"/>
      <c r="AK14" s="2372"/>
      <c r="AL14" s="2372"/>
      <c r="AM14" s="2372"/>
      <c r="AN14" s="2372"/>
      <c r="AO14" s="2372"/>
      <c r="AP14" s="2372"/>
      <c r="AQ14" s="2372"/>
      <c r="AR14" s="2372"/>
      <c r="AS14" s="2372"/>
      <c r="AT14" s="2372"/>
      <c r="AU14" s="2372"/>
      <c r="AV14" s="2372"/>
      <c r="AW14" s="2372"/>
      <c r="AX14" s="2372"/>
      <c r="AY14" s="2372"/>
      <c r="AZ14" s="2372"/>
      <c r="BA14" s="2372"/>
      <c r="BB14" s="2372"/>
      <c r="BC14" s="2372"/>
      <c r="BD14" s="2372"/>
      <c r="BE14" s="2372"/>
      <c r="BF14" s="2372"/>
      <c r="BG14" s="2372"/>
      <c r="BH14" s="2372"/>
      <c r="BI14" s="2372"/>
      <c r="BJ14" s="2372"/>
      <c r="BK14" s="2372"/>
      <c r="BL14" s="2372"/>
      <c r="BM14" s="2372"/>
      <c r="BN14" s="2372"/>
      <c r="BO14" s="2372"/>
      <c r="BP14" s="2372"/>
      <c r="BQ14" s="2372"/>
      <c r="BR14" s="2372"/>
      <c r="BS14" s="2372"/>
      <c r="BT14" s="2372"/>
      <c r="BU14" s="2372"/>
      <c r="BV14" s="2372"/>
      <c r="BW14" s="2372"/>
      <c r="BX14" s="2372"/>
      <c r="BY14" s="2372"/>
      <c r="BZ14" s="2372"/>
      <c r="CA14" s="2372"/>
      <c r="CB14" s="2372"/>
      <c r="CC14" s="2372"/>
      <c r="CD14" s="2372"/>
      <c r="CE14" s="2372"/>
      <c r="CF14" s="2372"/>
      <c r="CG14" s="2372"/>
      <c r="CH14" s="2372"/>
      <c r="CI14" s="2372"/>
      <c r="CJ14" s="2372"/>
      <c r="CK14" s="2372"/>
      <c r="CL14" s="2372"/>
      <c r="CM14" s="2372"/>
      <c r="CN14" s="2297" t="s">
        <v>1057</v>
      </c>
      <c r="CO14" s="2293"/>
      <c r="CP14" s="2293"/>
      <c r="CQ14" s="2293"/>
      <c r="CR14" s="2293"/>
      <c r="CS14" s="2293"/>
      <c r="CT14" s="2293"/>
      <c r="CU14" s="2294"/>
      <c r="CV14" s="2292" t="s">
        <v>859</v>
      </c>
      <c r="CW14" s="2293"/>
      <c r="CX14" s="2293"/>
      <c r="CY14" s="2293"/>
      <c r="CZ14" s="2293"/>
      <c r="DA14" s="2293"/>
      <c r="DB14" s="2293"/>
      <c r="DC14" s="2293"/>
      <c r="DD14" s="2293"/>
      <c r="DE14" s="2294"/>
      <c r="DF14" s="2199"/>
      <c r="DG14" s="2199"/>
      <c r="DH14" s="2199"/>
      <c r="DI14" s="2199"/>
      <c r="DJ14" s="2199"/>
      <c r="DK14" s="2199"/>
      <c r="DL14" s="2199"/>
      <c r="DM14" s="2199"/>
      <c r="DN14" s="2199"/>
      <c r="DO14" s="2199"/>
      <c r="DP14" s="2199"/>
      <c r="DQ14" s="2199"/>
      <c r="DR14" s="2199"/>
      <c r="DS14" s="2354">
        <v>5436531.21</v>
      </c>
      <c r="DT14" s="2355"/>
      <c r="DU14" s="2355"/>
      <c r="DV14" s="2355"/>
      <c r="DW14" s="2355"/>
      <c r="DX14" s="2355"/>
      <c r="DY14" s="2355"/>
      <c r="DZ14" s="2355"/>
      <c r="EA14" s="2355"/>
      <c r="EB14" s="2355"/>
      <c r="EC14" s="2355"/>
      <c r="ED14" s="2355"/>
      <c r="EE14" s="2365"/>
      <c r="EF14" s="2354">
        <v>5623125.6699999999</v>
      </c>
      <c r="EG14" s="2355"/>
      <c r="EH14" s="2355"/>
      <c r="EI14" s="2355"/>
      <c r="EJ14" s="2355"/>
      <c r="EK14" s="2355"/>
      <c r="EL14" s="2355"/>
      <c r="EM14" s="2355"/>
      <c r="EN14" s="2355"/>
      <c r="EO14" s="2355"/>
      <c r="EP14" s="2355"/>
      <c r="EQ14" s="2355"/>
      <c r="ER14" s="2365"/>
      <c r="ES14" s="2354">
        <v>5733773.3099999996</v>
      </c>
      <c r="ET14" s="2355"/>
      <c r="EU14" s="2355"/>
      <c r="EV14" s="2355"/>
      <c r="EW14" s="2355"/>
      <c r="EX14" s="2355"/>
      <c r="EY14" s="2355"/>
      <c r="EZ14" s="2355"/>
      <c r="FA14" s="2355"/>
      <c r="FB14" s="2355"/>
      <c r="FC14" s="2355"/>
      <c r="FD14" s="2355"/>
      <c r="FE14" s="2365"/>
      <c r="FF14" s="2354"/>
      <c r="FG14" s="2355"/>
      <c r="FH14" s="2355"/>
      <c r="FI14" s="2355"/>
      <c r="FJ14" s="2355"/>
      <c r="FK14" s="2355"/>
      <c r="FL14" s="2355"/>
      <c r="FM14" s="2355"/>
      <c r="FN14" s="2355"/>
      <c r="FO14" s="2355"/>
      <c r="FP14" s="2355"/>
      <c r="FQ14" s="2355"/>
      <c r="FR14" s="2356"/>
    </row>
    <row r="15" spans="1:184" ht="34.5" customHeight="1" x14ac:dyDescent="0.2">
      <c r="A15" s="2293" t="s">
        <v>1058</v>
      </c>
      <c r="B15" s="2293"/>
      <c r="C15" s="2293"/>
      <c r="D15" s="2293"/>
      <c r="E15" s="2293"/>
      <c r="F15" s="2293"/>
      <c r="G15" s="2293"/>
      <c r="H15" s="2294"/>
      <c r="I15" s="2368" t="s">
        <v>1059</v>
      </c>
      <c r="J15" s="2369"/>
      <c r="K15" s="2369"/>
      <c r="L15" s="2369"/>
      <c r="M15" s="2369"/>
      <c r="N15" s="2369"/>
      <c r="O15" s="2369"/>
      <c r="P15" s="2369"/>
      <c r="Q15" s="2369"/>
      <c r="R15" s="2369"/>
      <c r="S15" s="2369"/>
      <c r="T15" s="2369"/>
      <c r="U15" s="2369"/>
      <c r="V15" s="2369"/>
      <c r="W15" s="2369"/>
      <c r="X15" s="2369"/>
      <c r="Y15" s="2369"/>
      <c r="Z15" s="2369"/>
      <c r="AA15" s="2369"/>
      <c r="AB15" s="2369"/>
      <c r="AC15" s="2369"/>
      <c r="AD15" s="2369"/>
      <c r="AE15" s="2369"/>
      <c r="AF15" s="2369"/>
      <c r="AG15" s="2369"/>
      <c r="AH15" s="2369"/>
      <c r="AI15" s="2369"/>
      <c r="AJ15" s="2369"/>
      <c r="AK15" s="2369"/>
      <c r="AL15" s="2369"/>
      <c r="AM15" s="2369"/>
      <c r="AN15" s="2369"/>
      <c r="AO15" s="2369"/>
      <c r="AP15" s="2369"/>
      <c r="AQ15" s="2369"/>
      <c r="AR15" s="2369"/>
      <c r="AS15" s="2369"/>
      <c r="AT15" s="2369"/>
      <c r="AU15" s="2369"/>
      <c r="AV15" s="2369"/>
      <c r="AW15" s="2369"/>
      <c r="AX15" s="2369"/>
      <c r="AY15" s="2369"/>
      <c r="AZ15" s="2369"/>
      <c r="BA15" s="2369"/>
      <c r="BB15" s="2369"/>
      <c r="BC15" s="2369"/>
      <c r="BD15" s="2369"/>
      <c r="BE15" s="2369"/>
      <c r="BF15" s="2369"/>
      <c r="BG15" s="2369"/>
      <c r="BH15" s="2369"/>
      <c r="BI15" s="2369"/>
      <c r="BJ15" s="2369"/>
      <c r="BK15" s="2369"/>
      <c r="BL15" s="2369"/>
      <c r="BM15" s="2369"/>
      <c r="BN15" s="2369"/>
      <c r="BO15" s="2369"/>
      <c r="BP15" s="2369"/>
      <c r="BQ15" s="2369"/>
      <c r="BR15" s="2369"/>
      <c r="BS15" s="2369"/>
      <c r="BT15" s="2369"/>
      <c r="BU15" s="2369"/>
      <c r="BV15" s="2369"/>
      <c r="BW15" s="2369"/>
      <c r="BX15" s="2369"/>
      <c r="BY15" s="2369"/>
      <c r="BZ15" s="2369"/>
      <c r="CA15" s="2369"/>
      <c r="CB15" s="2369"/>
      <c r="CC15" s="2369"/>
      <c r="CD15" s="2369"/>
      <c r="CE15" s="2369"/>
      <c r="CF15" s="2369"/>
      <c r="CG15" s="2369"/>
      <c r="CH15" s="2369"/>
      <c r="CI15" s="2369"/>
      <c r="CJ15" s="2369"/>
      <c r="CK15" s="2369"/>
      <c r="CL15" s="2369"/>
      <c r="CM15" s="2369"/>
      <c r="CN15" s="2297" t="s">
        <v>1060</v>
      </c>
      <c r="CO15" s="2293"/>
      <c r="CP15" s="2293"/>
      <c r="CQ15" s="2293"/>
      <c r="CR15" s="2293"/>
      <c r="CS15" s="2293"/>
      <c r="CT15" s="2293"/>
      <c r="CU15" s="2294"/>
      <c r="CV15" s="2292" t="s">
        <v>859</v>
      </c>
      <c r="CW15" s="2293"/>
      <c r="CX15" s="2293"/>
      <c r="CY15" s="2293"/>
      <c r="CZ15" s="2293"/>
      <c r="DA15" s="2293"/>
      <c r="DB15" s="2293"/>
      <c r="DC15" s="2293"/>
      <c r="DD15" s="2293"/>
      <c r="DE15" s="2294"/>
      <c r="DF15" s="2199"/>
      <c r="DG15" s="2199"/>
      <c r="DH15" s="2199"/>
      <c r="DI15" s="2199"/>
      <c r="DJ15" s="2199"/>
      <c r="DK15" s="2199"/>
      <c r="DL15" s="2199"/>
      <c r="DM15" s="2199"/>
      <c r="DN15" s="2199"/>
      <c r="DO15" s="2199"/>
      <c r="DP15" s="2199"/>
      <c r="DQ15" s="2199"/>
      <c r="DR15" s="2199"/>
      <c r="DS15" s="2354">
        <f>DS14-DS18-DS27</f>
        <v>3967067.09</v>
      </c>
      <c r="DT15" s="2355"/>
      <c r="DU15" s="2355"/>
      <c r="DV15" s="2355"/>
      <c r="DW15" s="2355"/>
      <c r="DX15" s="2355"/>
      <c r="DY15" s="2355"/>
      <c r="DZ15" s="2355"/>
      <c r="EA15" s="2355"/>
      <c r="EB15" s="2355"/>
      <c r="EC15" s="2355"/>
      <c r="ED15" s="2355"/>
      <c r="EE15" s="2365"/>
      <c r="EF15" s="2354">
        <f>EF14-EF18-EF27</f>
        <v>3970600</v>
      </c>
      <c r="EG15" s="2355"/>
      <c r="EH15" s="2355"/>
      <c r="EI15" s="2355"/>
      <c r="EJ15" s="2355"/>
      <c r="EK15" s="2355"/>
      <c r="EL15" s="2355"/>
      <c r="EM15" s="2355"/>
      <c r="EN15" s="2355"/>
      <c r="EO15" s="2355"/>
      <c r="EP15" s="2355"/>
      <c r="EQ15" s="2355"/>
      <c r="ER15" s="2365"/>
      <c r="ES15" s="2354">
        <f>ES14-ES18-ES27</f>
        <v>4012200</v>
      </c>
      <c r="ET15" s="2355"/>
      <c r="EU15" s="2355"/>
      <c r="EV15" s="2355"/>
      <c r="EW15" s="2355"/>
      <c r="EX15" s="2355"/>
      <c r="EY15" s="2355"/>
      <c r="EZ15" s="2355"/>
      <c r="FA15" s="2355"/>
      <c r="FB15" s="2355"/>
      <c r="FC15" s="2355"/>
      <c r="FD15" s="2355"/>
      <c r="FE15" s="2365"/>
      <c r="FF15" s="2354"/>
      <c r="FG15" s="2355"/>
      <c r="FH15" s="2355"/>
      <c r="FI15" s="2355"/>
      <c r="FJ15" s="2355"/>
      <c r="FK15" s="2355"/>
      <c r="FL15" s="2355"/>
      <c r="FM15" s="2355"/>
      <c r="FN15" s="2355"/>
      <c r="FO15" s="2355"/>
      <c r="FP15" s="2355"/>
      <c r="FQ15" s="2355"/>
      <c r="FR15" s="2356"/>
    </row>
    <row r="16" spans="1:184" ht="24" customHeight="1" x14ac:dyDescent="0.2">
      <c r="A16" s="2293" t="s">
        <v>1061</v>
      </c>
      <c r="B16" s="2293"/>
      <c r="C16" s="2293"/>
      <c r="D16" s="2293"/>
      <c r="E16" s="2293"/>
      <c r="F16" s="2293"/>
      <c r="G16" s="2293"/>
      <c r="H16" s="2294"/>
      <c r="I16" s="2366" t="s">
        <v>1062</v>
      </c>
      <c r="J16" s="2367"/>
      <c r="K16" s="2367"/>
      <c r="L16" s="2367"/>
      <c r="M16" s="2367"/>
      <c r="N16" s="2367"/>
      <c r="O16" s="2367"/>
      <c r="P16" s="2367"/>
      <c r="Q16" s="2367"/>
      <c r="R16" s="2367"/>
      <c r="S16" s="2367"/>
      <c r="T16" s="2367"/>
      <c r="U16" s="2367"/>
      <c r="V16" s="2367"/>
      <c r="W16" s="2367"/>
      <c r="X16" s="2367"/>
      <c r="Y16" s="2367"/>
      <c r="Z16" s="2367"/>
      <c r="AA16" s="2367"/>
      <c r="AB16" s="2367"/>
      <c r="AC16" s="2367"/>
      <c r="AD16" s="2367"/>
      <c r="AE16" s="2367"/>
      <c r="AF16" s="2367"/>
      <c r="AG16" s="2367"/>
      <c r="AH16" s="2367"/>
      <c r="AI16" s="2367"/>
      <c r="AJ16" s="2367"/>
      <c r="AK16" s="2367"/>
      <c r="AL16" s="2367"/>
      <c r="AM16" s="2367"/>
      <c r="AN16" s="2367"/>
      <c r="AO16" s="2367"/>
      <c r="AP16" s="2367"/>
      <c r="AQ16" s="2367"/>
      <c r="AR16" s="2367"/>
      <c r="AS16" s="2367"/>
      <c r="AT16" s="2367"/>
      <c r="AU16" s="2367"/>
      <c r="AV16" s="2367"/>
      <c r="AW16" s="2367"/>
      <c r="AX16" s="2367"/>
      <c r="AY16" s="2367"/>
      <c r="AZ16" s="2367"/>
      <c r="BA16" s="2367"/>
      <c r="BB16" s="2367"/>
      <c r="BC16" s="2367"/>
      <c r="BD16" s="2367"/>
      <c r="BE16" s="2367"/>
      <c r="BF16" s="2367"/>
      <c r="BG16" s="2367"/>
      <c r="BH16" s="2367"/>
      <c r="BI16" s="2367"/>
      <c r="BJ16" s="2367"/>
      <c r="BK16" s="2367"/>
      <c r="BL16" s="2367"/>
      <c r="BM16" s="2367"/>
      <c r="BN16" s="2367"/>
      <c r="BO16" s="2367"/>
      <c r="BP16" s="2367"/>
      <c r="BQ16" s="2367"/>
      <c r="BR16" s="2367"/>
      <c r="BS16" s="2367"/>
      <c r="BT16" s="2367"/>
      <c r="BU16" s="2367"/>
      <c r="BV16" s="2367"/>
      <c r="BW16" s="2367"/>
      <c r="BX16" s="2367"/>
      <c r="BY16" s="2367"/>
      <c r="BZ16" s="2367"/>
      <c r="CA16" s="2367"/>
      <c r="CB16" s="2367"/>
      <c r="CC16" s="2367"/>
      <c r="CD16" s="2367"/>
      <c r="CE16" s="2367"/>
      <c r="CF16" s="2367"/>
      <c r="CG16" s="2367"/>
      <c r="CH16" s="2367"/>
      <c r="CI16" s="2367"/>
      <c r="CJ16" s="2367"/>
      <c r="CK16" s="2367"/>
      <c r="CL16" s="2367"/>
      <c r="CM16" s="2367"/>
      <c r="CN16" s="2297" t="s">
        <v>1063</v>
      </c>
      <c r="CO16" s="2293"/>
      <c r="CP16" s="2293"/>
      <c r="CQ16" s="2293"/>
      <c r="CR16" s="2293"/>
      <c r="CS16" s="2293"/>
      <c r="CT16" s="2293"/>
      <c r="CU16" s="2294"/>
      <c r="CV16" s="2292" t="s">
        <v>859</v>
      </c>
      <c r="CW16" s="2293"/>
      <c r="CX16" s="2293"/>
      <c r="CY16" s="2293"/>
      <c r="CZ16" s="2293"/>
      <c r="DA16" s="2293"/>
      <c r="DB16" s="2293"/>
      <c r="DC16" s="2293"/>
      <c r="DD16" s="2293"/>
      <c r="DE16" s="2294"/>
      <c r="DF16" s="2199"/>
      <c r="DG16" s="2199"/>
      <c r="DH16" s="2199"/>
      <c r="DI16" s="2199"/>
      <c r="DJ16" s="2199"/>
      <c r="DK16" s="2199"/>
      <c r="DL16" s="2199"/>
      <c r="DM16" s="2199"/>
      <c r="DN16" s="2199"/>
      <c r="DO16" s="2199"/>
      <c r="DP16" s="2199"/>
      <c r="DQ16" s="2199"/>
      <c r="DR16" s="2199"/>
      <c r="DS16" s="2354">
        <f>DS15</f>
        <v>3967067.09</v>
      </c>
      <c r="DT16" s="2355"/>
      <c r="DU16" s="2355"/>
      <c r="DV16" s="2355"/>
      <c r="DW16" s="2355"/>
      <c r="DX16" s="2355"/>
      <c r="DY16" s="2355"/>
      <c r="DZ16" s="2355"/>
      <c r="EA16" s="2355"/>
      <c r="EB16" s="2355"/>
      <c r="EC16" s="2355"/>
      <c r="ED16" s="2355"/>
      <c r="EE16" s="2365"/>
      <c r="EF16" s="2354">
        <f>EF15</f>
        <v>3970600</v>
      </c>
      <c r="EG16" s="2355"/>
      <c r="EH16" s="2355"/>
      <c r="EI16" s="2355"/>
      <c r="EJ16" s="2355"/>
      <c r="EK16" s="2355"/>
      <c r="EL16" s="2355"/>
      <c r="EM16" s="2355"/>
      <c r="EN16" s="2355"/>
      <c r="EO16" s="2355"/>
      <c r="EP16" s="2355"/>
      <c r="EQ16" s="2355"/>
      <c r="ER16" s="2365"/>
      <c r="ES16" s="2354">
        <f>ES15</f>
        <v>4012200</v>
      </c>
      <c r="ET16" s="2355"/>
      <c r="EU16" s="2355"/>
      <c r="EV16" s="2355"/>
      <c r="EW16" s="2355"/>
      <c r="EX16" s="2355"/>
      <c r="EY16" s="2355"/>
      <c r="EZ16" s="2355"/>
      <c r="FA16" s="2355"/>
      <c r="FB16" s="2355"/>
      <c r="FC16" s="2355"/>
      <c r="FD16" s="2355"/>
      <c r="FE16" s="2365"/>
      <c r="FF16" s="2354"/>
      <c r="FG16" s="2355"/>
      <c r="FH16" s="2355"/>
      <c r="FI16" s="2355"/>
      <c r="FJ16" s="2355"/>
      <c r="FK16" s="2355"/>
      <c r="FL16" s="2355"/>
      <c r="FM16" s="2355"/>
      <c r="FN16" s="2355"/>
      <c r="FO16" s="2355"/>
      <c r="FP16" s="2355"/>
      <c r="FQ16" s="2355"/>
      <c r="FR16" s="2356"/>
    </row>
    <row r="17" spans="1:174" ht="12.75" customHeight="1" x14ac:dyDescent="0.2">
      <c r="A17" s="2293" t="s">
        <v>1064</v>
      </c>
      <c r="B17" s="2293"/>
      <c r="C17" s="2293"/>
      <c r="D17" s="2293"/>
      <c r="E17" s="2293"/>
      <c r="F17" s="2293"/>
      <c r="G17" s="2293"/>
      <c r="H17" s="2294"/>
      <c r="I17" s="2366" t="s">
        <v>1172</v>
      </c>
      <c r="J17" s="2367"/>
      <c r="K17" s="2367"/>
      <c r="L17" s="2367"/>
      <c r="M17" s="2367"/>
      <c r="N17" s="2367"/>
      <c r="O17" s="2367"/>
      <c r="P17" s="2367"/>
      <c r="Q17" s="2367"/>
      <c r="R17" s="2367"/>
      <c r="S17" s="2367"/>
      <c r="T17" s="2367"/>
      <c r="U17" s="2367"/>
      <c r="V17" s="2367"/>
      <c r="W17" s="2367"/>
      <c r="X17" s="2367"/>
      <c r="Y17" s="2367"/>
      <c r="Z17" s="2367"/>
      <c r="AA17" s="2367"/>
      <c r="AB17" s="2367"/>
      <c r="AC17" s="2367"/>
      <c r="AD17" s="2367"/>
      <c r="AE17" s="2367"/>
      <c r="AF17" s="2367"/>
      <c r="AG17" s="2367"/>
      <c r="AH17" s="2367"/>
      <c r="AI17" s="2367"/>
      <c r="AJ17" s="2367"/>
      <c r="AK17" s="2367"/>
      <c r="AL17" s="2367"/>
      <c r="AM17" s="2367"/>
      <c r="AN17" s="2367"/>
      <c r="AO17" s="2367"/>
      <c r="AP17" s="2367"/>
      <c r="AQ17" s="2367"/>
      <c r="AR17" s="2367"/>
      <c r="AS17" s="2367"/>
      <c r="AT17" s="2367"/>
      <c r="AU17" s="2367"/>
      <c r="AV17" s="2367"/>
      <c r="AW17" s="2367"/>
      <c r="AX17" s="2367"/>
      <c r="AY17" s="2367"/>
      <c r="AZ17" s="2367"/>
      <c r="BA17" s="2367"/>
      <c r="BB17" s="2367"/>
      <c r="BC17" s="2367"/>
      <c r="BD17" s="2367"/>
      <c r="BE17" s="2367"/>
      <c r="BF17" s="2367"/>
      <c r="BG17" s="2367"/>
      <c r="BH17" s="2367"/>
      <c r="BI17" s="2367"/>
      <c r="BJ17" s="2367"/>
      <c r="BK17" s="2367"/>
      <c r="BL17" s="2367"/>
      <c r="BM17" s="2367"/>
      <c r="BN17" s="2367"/>
      <c r="BO17" s="2367"/>
      <c r="BP17" s="2367"/>
      <c r="BQ17" s="2367"/>
      <c r="BR17" s="2367"/>
      <c r="BS17" s="2367"/>
      <c r="BT17" s="2367"/>
      <c r="BU17" s="2367"/>
      <c r="BV17" s="2367"/>
      <c r="BW17" s="2367"/>
      <c r="BX17" s="2367"/>
      <c r="BY17" s="2367"/>
      <c r="BZ17" s="2367"/>
      <c r="CA17" s="2367"/>
      <c r="CB17" s="2367"/>
      <c r="CC17" s="2367"/>
      <c r="CD17" s="2367"/>
      <c r="CE17" s="2367"/>
      <c r="CF17" s="2367"/>
      <c r="CG17" s="2367"/>
      <c r="CH17" s="2367"/>
      <c r="CI17" s="2367"/>
      <c r="CJ17" s="2367"/>
      <c r="CK17" s="2367"/>
      <c r="CL17" s="2367"/>
      <c r="CM17" s="2367"/>
      <c r="CN17" s="2297" t="s">
        <v>1066</v>
      </c>
      <c r="CO17" s="2293"/>
      <c r="CP17" s="2293"/>
      <c r="CQ17" s="2293"/>
      <c r="CR17" s="2293"/>
      <c r="CS17" s="2293"/>
      <c r="CT17" s="2293"/>
      <c r="CU17" s="2294"/>
      <c r="CV17" s="2292" t="s">
        <v>859</v>
      </c>
      <c r="CW17" s="2293"/>
      <c r="CX17" s="2293"/>
      <c r="CY17" s="2293"/>
      <c r="CZ17" s="2293"/>
      <c r="DA17" s="2293"/>
      <c r="DB17" s="2293"/>
      <c r="DC17" s="2293"/>
      <c r="DD17" s="2293"/>
      <c r="DE17" s="2294"/>
      <c r="DF17" s="2199"/>
      <c r="DG17" s="2199"/>
      <c r="DH17" s="2199"/>
      <c r="DI17" s="2199"/>
      <c r="DJ17" s="2199"/>
      <c r="DK17" s="2199"/>
      <c r="DL17" s="2199"/>
      <c r="DM17" s="2199"/>
      <c r="DN17" s="2199"/>
      <c r="DO17" s="2199"/>
      <c r="DP17" s="2199"/>
      <c r="DQ17" s="2199"/>
      <c r="DR17" s="2199"/>
      <c r="DS17" s="2354">
        <v>0</v>
      </c>
      <c r="DT17" s="2355"/>
      <c r="DU17" s="2355"/>
      <c r="DV17" s="2355"/>
      <c r="DW17" s="2355"/>
      <c r="DX17" s="2355"/>
      <c r="DY17" s="2355"/>
      <c r="DZ17" s="2355"/>
      <c r="EA17" s="2355"/>
      <c r="EB17" s="2355"/>
      <c r="EC17" s="2355"/>
      <c r="ED17" s="2355"/>
      <c r="EE17" s="2365"/>
      <c r="EF17" s="2354">
        <v>0</v>
      </c>
      <c r="EG17" s="2355"/>
      <c r="EH17" s="2355"/>
      <c r="EI17" s="2355"/>
      <c r="EJ17" s="2355"/>
      <c r="EK17" s="2355"/>
      <c r="EL17" s="2355"/>
      <c r="EM17" s="2355"/>
      <c r="EN17" s="2355"/>
      <c r="EO17" s="2355"/>
      <c r="EP17" s="2355"/>
      <c r="EQ17" s="2355"/>
      <c r="ER17" s="2365"/>
      <c r="ES17" s="2354">
        <v>0</v>
      </c>
      <c r="ET17" s="2355"/>
      <c r="EU17" s="2355"/>
      <c r="EV17" s="2355"/>
      <c r="EW17" s="2355"/>
      <c r="EX17" s="2355"/>
      <c r="EY17" s="2355"/>
      <c r="EZ17" s="2355"/>
      <c r="FA17" s="2355"/>
      <c r="FB17" s="2355"/>
      <c r="FC17" s="2355"/>
      <c r="FD17" s="2355"/>
      <c r="FE17" s="2365"/>
      <c r="FF17" s="2354"/>
      <c r="FG17" s="2355"/>
      <c r="FH17" s="2355"/>
      <c r="FI17" s="2355"/>
      <c r="FJ17" s="2355"/>
      <c r="FK17" s="2355"/>
      <c r="FL17" s="2355"/>
      <c r="FM17" s="2355"/>
      <c r="FN17" s="2355"/>
      <c r="FO17" s="2355"/>
      <c r="FP17" s="2355"/>
      <c r="FQ17" s="2355"/>
      <c r="FR17" s="2356"/>
    </row>
    <row r="18" spans="1:174" ht="24" customHeight="1" x14ac:dyDescent="0.2">
      <c r="A18" s="2293" t="s">
        <v>1067</v>
      </c>
      <c r="B18" s="2293"/>
      <c r="C18" s="2293"/>
      <c r="D18" s="2293"/>
      <c r="E18" s="2293"/>
      <c r="F18" s="2293"/>
      <c r="G18" s="2293"/>
      <c r="H18" s="2294"/>
      <c r="I18" s="2368" t="s">
        <v>1068</v>
      </c>
      <c r="J18" s="2369"/>
      <c r="K18" s="2369"/>
      <c r="L18" s="2369"/>
      <c r="M18" s="2369"/>
      <c r="N18" s="2369"/>
      <c r="O18" s="2369"/>
      <c r="P18" s="2369"/>
      <c r="Q18" s="2369"/>
      <c r="R18" s="2369"/>
      <c r="S18" s="2369"/>
      <c r="T18" s="2369"/>
      <c r="U18" s="2369"/>
      <c r="V18" s="2369"/>
      <c r="W18" s="2369"/>
      <c r="X18" s="2369"/>
      <c r="Y18" s="2369"/>
      <c r="Z18" s="2369"/>
      <c r="AA18" s="2369"/>
      <c r="AB18" s="2369"/>
      <c r="AC18" s="2369"/>
      <c r="AD18" s="2369"/>
      <c r="AE18" s="2369"/>
      <c r="AF18" s="2369"/>
      <c r="AG18" s="2369"/>
      <c r="AH18" s="2369"/>
      <c r="AI18" s="2369"/>
      <c r="AJ18" s="2369"/>
      <c r="AK18" s="2369"/>
      <c r="AL18" s="2369"/>
      <c r="AM18" s="2369"/>
      <c r="AN18" s="2369"/>
      <c r="AO18" s="2369"/>
      <c r="AP18" s="2369"/>
      <c r="AQ18" s="2369"/>
      <c r="AR18" s="2369"/>
      <c r="AS18" s="2369"/>
      <c r="AT18" s="2369"/>
      <c r="AU18" s="2369"/>
      <c r="AV18" s="2369"/>
      <c r="AW18" s="2369"/>
      <c r="AX18" s="2369"/>
      <c r="AY18" s="2369"/>
      <c r="AZ18" s="2369"/>
      <c r="BA18" s="2369"/>
      <c r="BB18" s="2369"/>
      <c r="BC18" s="2369"/>
      <c r="BD18" s="2369"/>
      <c r="BE18" s="2369"/>
      <c r="BF18" s="2369"/>
      <c r="BG18" s="2369"/>
      <c r="BH18" s="2369"/>
      <c r="BI18" s="2369"/>
      <c r="BJ18" s="2369"/>
      <c r="BK18" s="2369"/>
      <c r="BL18" s="2369"/>
      <c r="BM18" s="2369"/>
      <c r="BN18" s="2369"/>
      <c r="BO18" s="2369"/>
      <c r="BP18" s="2369"/>
      <c r="BQ18" s="2369"/>
      <c r="BR18" s="2369"/>
      <c r="BS18" s="2369"/>
      <c r="BT18" s="2369"/>
      <c r="BU18" s="2369"/>
      <c r="BV18" s="2369"/>
      <c r="BW18" s="2369"/>
      <c r="BX18" s="2369"/>
      <c r="BY18" s="2369"/>
      <c r="BZ18" s="2369"/>
      <c r="CA18" s="2369"/>
      <c r="CB18" s="2369"/>
      <c r="CC18" s="2369"/>
      <c r="CD18" s="2369"/>
      <c r="CE18" s="2369"/>
      <c r="CF18" s="2369"/>
      <c r="CG18" s="2369"/>
      <c r="CH18" s="2369"/>
      <c r="CI18" s="2369"/>
      <c r="CJ18" s="2369"/>
      <c r="CK18" s="2369"/>
      <c r="CL18" s="2369"/>
      <c r="CM18" s="2369"/>
      <c r="CN18" s="2297" t="s">
        <v>1069</v>
      </c>
      <c r="CO18" s="2293"/>
      <c r="CP18" s="2293"/>
      <c r="CQ18" s="2293"/>
      <c r="CR18" s="2293"/>
      <c r="CS18" s="2293"/>
      <c r="CT18" s="2293"/>
      <c r="CU18" s="2294"/>
      <c r="CV18" s="2292" t="s">
        <v>859</v>
      </c>
      <c r="CW18" s="2293"/>
      <c r="CX18" s="2293"/>
      <c r="CY18" s="2293"/>
      <c r="CZ18" s="2293"/>
      <c r="DA18" s="2293"/>
      <c r="DB18" s="2293"/>
      <c r="DC18" s="2293"/>
      <c r="DD18" s="2293"/>
      <c r="DE18" s="2294"/>
      <c r="DF18" s="2199"/>
      <c r="DG18" s="2199"/>
      <c r="DH18" s="2199"/>
      <c r="DI18" s="2199"/>
      <c r="DJ18" s="2199"/>
      <c r="DK18" s="2199"/>
      <c r="DL18" s="2199"/>
      <c r="DM18" s="2199"/>
      <c r="DN18" s="2199"/>
      <c r="DO18" s="2199"/>
      <c r="DP18" s="2199"/>
      <c r="DQ18" s="2199"/>
      <c r="DR18" s="2199"/>
      <c r="DS18" s="2354">
        <v>0</v>
      </c>
      <c r="DT18" s="2355"/>
      <c r="DU18" s="2355"/>
      <c r="DV18" s="2355"/>
      <c r="DW18" s="2355"/>
      <c r="DX18" s="2355"/>
      <c r="DY18" s="2355"/>
      <c r="DZ18" s="2355"/>
      <c r="EA18" s="2355"/>
      <c r="EB18" s="2355"/>
      <c r="EC18" s="2355"/>
      <c r="ED18" s="2355"/>
      <c r="EE18" s="2365"/>
      <c r="EF18" s="2354">
        <v>0</v>
      </c>
      <c r="EG18" s="2355"/>
      <c r="EH18" s="2355"/>
      <c r="EI18" s="2355"/>
      <c r="EJ18" s="2355"/>
      <c r="EK18" s="2355"/>
      <c r="EL18" s="2355"/>
      <c r="EM18" s="2355"/>
      <c r="EN18" s="2355"/>
      <c r="EO18" s="2355"/>
      <c r="EP18" s="2355"/>
      <c r="EQ18" s="2355"/>
      <c r="ER18" s="2365"/>
      <c r="ES18" s="2354">
        <v>0</v>
      </c>
      <c r="ET18" s="2355"/>
      <c r="EU18" s="2355"/>
      <c r="EV18" s="2355"/>
      <c r="EW18" s="2355"/>
      <c r="EX18" s="2355"/>
      <c r="EY18" s="2355"/>
      <c r="EZ18" s="2355"/>
      <c r="FA18" s="2355"/>
      <c r="FB18" s="2355"/>
      <c r="FC18" s="2355"/>
      <c r="FD18" s="2355"/>
      <c r="FE18" s="2365"/>
      <c r="FF18" s="2354"/>
      <c r="FG18" s="2355"/>
      <c r="FH18" s="2355"/>
      <c r="FI18" s="2355"/>
      <c r="FJ18" s="2355"/>
      <c r="FK18" s="2355"/>
      <c r="FL18" s="2355"/>
      <c r="FM18" s="2355"/>
      <c r="FN18" s="2355"/>
      <c r="FO18" s="2355"/>
      <c r="FP18" s="2355"/>
      <c r="FQ18" s="2355"/>
      <c r="FR18" s="2356"/>
    </row>
    <row r="19" spans="1:174" ht="24" customHeight="1" x14ac:dyDescent="0.2">
      <c r="A19" s="2293" t="s">
        <v>1070</v>
      </c>
      <c r="B19" s="2293"/>
      <c r="C19" s="2293"/>
      <c r="D19" s="2293"/>
      <c r="E19" s="2293"/>
      <c r="F19" s="2293"/>
      <c r="G19" s="2293"/>
      <c r="H19" s="2294"/>
      <c r="I19" s="2366" t="s">
        <v>1062</v>
      </c>
      <c r="J19" s="2367"/>
      <c r="K19" s="2367"/>
      <c r="L19" s="2367"/>
      <c r="M19" s="2367"/>
      <c r="N19" s="2367"/>
      <c r="O19" s="2367"/>
      <c r="P19" s="2367"/>
      <c r="Q19" s="2367"/>
      <c r="R19" s="2367"/>
      <c r="S19" s="2367"/>
      <c r="T19" s="2367"/>
      <c r="U19" s="2367"/>
      <c r="V19" s="2367"/>
      <c r="W19" s="2367"/>
      <c r="X19" s="2367"/>
      <c r="Y19" s="2367"/>
      <c r="Z19" s="2367"/>
      <c r="AA19" s="2367"/>
      <c r="AB19" s="2367"/>
      <c r="AC19" s="2367"/>
      <c r="AD19" s="2367"/>
      <c r="AE19" s="2367"/>
      <c r="AF19" s="2367"/>
      <c r="AG19" s="2367"/>
      <c r="AH19" s="2367"/>
      <c r="AI19" s="2367"/>
      <c r="AJ19" s="2367"/>
      <c r="AK19" s="2367"/>
      <c r="AL19" s="2367"/>
      <c r="AM19" s="2367"/>
      <c r="AN19" s="2367"/>
      <c r="AO19" s="2367"/>
      <c r="AP19" s="2367"/>
      <c r="AQ19" s="2367"/>
      <c r="AR19" s="2367"/>
      <c r="AS19" s="2367"/>
      <c r="AT19" s="2367"/>
      <c r="AU19" s="2367"/>
      <c r="AV19" s="2367"/>
      <c r="AW19" s="2367"/>
      <c r="AX19" s="2367"/>
      <c r="AY19" s="2367"/>
      <c r="AZ19" s="2367"/>
      <c r="BA19" s="2367"/>
      <c r="BB19" s="2367"/>
      <c r="BC19" s="2367"/>
      <c r="BD19" s="2367"/>
      <c r="BE19" s="2367"/>
      <c r="BF19" s="2367"/>
      <c r="BG19" s="2367"/>
      <c r="BH19" s="2367"/>
      <c r="BI19" s="2367"/>
      <c r="BJ19" s="2367"/>
      <c r="BK19" s="2367"/>
      <c r="BL19" s="2367"/>
      <c r="BM19" s="2367"/>
      <c r="BN19" s="2367"/>
      <c r="BO19" s="2367"/>
      <c r="BP19" s="2367"/>
      <c r="BQ19" s="2367"/>
      <c r="BR19" s="2367"/>
      <c r="BS19" s="2367"/>
      <c r="BT19" s="2367"/>
      <c r="BU19" s="2367"/>
      <c r="BV19" s="2367"/>
      <c r="BW19" s="2367"/>
      <c r="BX19" s="2367"/>
      <c r="BY19" s="2367"/>
      <c r="BZ19" s="2367"/>
      <c r="CA19" s="2367"/>
      <c r="CB19" s="2367"/>
      <c r="CC19" s="2367"/>
      <c r="CD19" s="2367"/>
      <c r="CE19" s="2367"/>
      <c r="CF19" s="2367"/>
      <c r="CG19" s="2367"/>
      <c r="CH19" s="2367"/>
      <c r="CI19" s="2367"/>
      <c r="CJ19" s="2367"/>
      <c r="CK19" s="2367"/>
      <c r="CL19" s="2367"/>
      <c r="CM19" s="2367"/>
      <c r="CN19" s="2297" t="s">
        <v>1071</v>
      </c>
      <c r="CO19" s="2293"/>
      <c r="CP19" s="2293"/>
      <c r="CQ19" s="2293"/>
      <c r="CR19" s="2293"/>
      <c r="CS19" s="2293"/>
      <c r="CT19" s="2293"/>
      <c r="CU19" s="2294"/>
      <c r="CV19" s="2292" t="s">
        <v>859</v>
      </c>
      <c r="CW19" s="2293"/>
      <c r="CX19" s="2293"/>
      <c r="CY19" s="2293"/>
      <c r="CZ19" s="2293"/>
      <c r="DA19" s="2293"/>
      <c r="DB19" s="2293"/>
      <c r="DC19" s="2293"/>
      <c r="DD19" s="2293"/>
      <c r="DE19" s="2294"/>
      <c r="DF19" s="2199"/>
      <c r="DG19" s="2199"/>
      <c r="DH19" s="2199"/>
      <c r="DI19" s="2199"/>
      <c r="DJ19" s="2199"/>
      <c r="DK19" s="2199"/>
      <c r="DL19" s="2199"/>
      <c r="DM19" s="2199"/>
      <c r="DN19" s="2199"/>
      <c r="DO19" s="2199"/>
      <c r="DP19" s="2199"/>
      <c r="DQ19" s="2199"/>
      <c r="DR19" s="2199"/>
      <c r="DS19" s="2354">
        <v>0</v>
      </c>
      <c r="DT19" s="2355"/>
      <c r="DU19" s="2355"/>
      <c r="DV19" s="2355"/>
      <c r="DW19" s="2355"/>
      <c r="DX19" s="2355"/>
      <c r="DY19" s="2355"/>
      <c r="DZ19" s="2355"/>
      <c r="EA19" s="2355"/>
      <c r="EB19" s="2355"/>
      <c r="EC19" s="2355"/>
      <c r="ED19" s="2355"/>
      <c r="EE19" s="2365"/>
      <c r="EF19" s="2354">
        <v>0</v>
      </c>
      <c r="EG19" s="2355"/>
      <c r="EH19" s="2355"/>
      <c r="EI19" s="2355"/>
      <c r="EJ19" s="2355"/>
      <c r="EK19" s="2355"/>
      <c r="EL19" s="2355"/>
      <c r="EM19" s="2355"/>
      <c r="EN19" s="2355"/>
      <c r="EO19" s="2355"/>
      <c r="EP19" s="2355"/>
      <c r="EQ19" s="2355"/>
      <c r="ER19" s="2365"/>
      <c r="ES19" s="2354">
        <v>0</v>
      </c>
      <c r="ET19" s="2355"/>
      <c r="EU19" s="2355"/>
      <c r="EV19" s="2355"/>
      <c r="EW19" s="2355"/>
      <c r="EX19" s="2355"/>
      <c r="EY19" s="2355"/>
      <c r="EZ19" s="2355"/>
      <c r="FA19" s="2355"/>
      <c r="FB19" s="2355"/>
      <c r="FC19" s="2355"/>
      <c r="FD19" s="2355"/>
      <c r="FE19" s="2365"/>
      <c r="FF19" s="2354"/>
      <c r="FG19" s="2355"/>
      <c r="FH19" s="2355"/>
      <c r="FI19" s="2355"/>
      <c r="FJ19" s="2355"/>
      <c r="FK19" s="2355"/>
      <c r="FL19" s="2355"/>
      <c r="FM19" s="2355"/>
      <c r="FN19" s="2355"/>
      <c r="FO19" s="2355"/>
      <c r="FP19" s="2355"/>
      <c r="FQ19" s="2355"/>
      <c r="FR19" s="2356"/>
    </row>
    <row r="20" spans="1:174" s="2195" customFormat="1" ht="15" customHeight="1" x14ac:dyDescent="0.2">
      <c r="A20" s="2293"/>
      <c r="B20" s="2293"/>
      <c r="C20" s="2293"/>
      <c r="D20" s="2293"/>
      <c r="E20" s="2293"/>
      <c r="F20" s="2293"/>
      <c r="G20" s="2293"/>
      <c r="H20" s="2294"/>
      <c r="I20" s="2295" t="s">
        <v>1752</v>
      </c>
      <c r="J20" s="2296"/>
      <c r="K20" s="2296"/>
      <c r="L20" s="2296"/>
      <c r="M20" s="2296"/>
      <c r="N20" s="2296"/>
      <c r="O20" s="2296"/>
      <c r="P20" s="2296"/>
      <c r="Q20" s="2296"/>
      <c r="R20" s="2296"/>
      <c r="S20" s="2296"/>
      <c r="T20" s="2296"/>
      <c r="U20" s="2296"/>
      <c r="V20" s="2296"/>
      <c r="W20" s="2296"/>
      <c r="X20" s="2296"/>
      <c r="Y20" s="2296"/>
      <c r="Z20" s="2296"/>
      <c r="AA20" s="2296"/>
      <c r="AB20" s="2296"/>
      <c r="AC20" s="2296"/>
      <c r="AD20" s="2296"/>
      <c r="AE20" s="2296"/>
      <c r="AF20" s="2296"/>
      <c r="AG20" s="2296"/>
      <c r="AH20" s="2296"/>
      <c r="AI20" s="2296"/>
      <c r="AJ20" s="2296"/>
      <c r="AK20" s="2296"/>
      <c r="AL20" s="2296"/>
      <c r="AM20" s="2296"/>
      <c r="AN20" s="2296"/>
      <c r="AO20" s="2296"/>
      <c r="AP20" s="2296"/>
      <c r="AQ20" s="2296"/>
      <c r="AR20" s="2296"/>
      <c r="AS20" s="2296"/>
      <c r="AT20" s="2296"/>
      <c r="AU20" s="2296"/>
      <c r="AV20" s="2296"/>
      <c r="AW20" s="2296"/>
      <c r="AX20" s="2296"/>
      <c r="AY20" s="2296"/>
      <c r="AZ20" s="2296"/>
      <c r="BA20" s="2296"/>
      <c r="BB20" s="2296"/>
      <c r="BC20" s="2296"/>
      <c r="BD20" s="2296"/>
      <c r="BE20" s="2296"/>
      <c r="BF20" s="2296"/>
      <c r="BG20" s="2296"/>
      <c r="BH20" s="2296"/>
      <c r="BI20" s="2296"/>
      <c r="BJ20" s="2296"/>
      <c r="BK20" s="2296"/>
      <c r="BL20" s="2296"/>
      <c r="BM20" s="2296"/>
      <c r="BN20" s="2296"/>
      <c r="BO20" s="2296"/>
      <c r="BP20" s="2296"/>
      <c r="BQ20" s="2296"/>
      <c r="BR20" s="2296"/>
      <c r="BS20" s="2296"/>
      <c r="BT20" s="2296"/>
      <c r="BU20" s="2296"/>
      <c r="BV20" s="2296"/>
      <c r="BW20" s="2296"/>
      <c r="BX20" s="2296"/>
      <c r="BY20" s="2296"/>
      <c r="BZ20" s="2296"/>
      <c r="CA20" s="2296"/>
      <c r="CB20" s="2296"/>
      <c r="CC20" s="2296"/>
      <c r="CD20" s="2296"/>
      <c r="CE20" s="2296"/>
      <c r="CF20" s="2296"/>
      <c r="CG20" s="2296"/>
      <c r="CH20" s="2296"/>
      <c r="CI20" s="2296"/>
      <c r="CJ20" s="2296"/>
      <c r="CK20" s="2296"/>
      <c r="CL20" s="2296"/>
      <c r="CM20" s="2296"/>
      <c r="CN20" s="2297" t="s">
        <v>1753</v>
      </c>
      <c r="CO20" s="2293"/>
      <c r="CP20" s="2293"/>
      <c r="CQ20" s="2293"/>
      <c r="CR20" s="2293"/>
      <c r="CS20" s="2293"/>
      <c r="CT20" s="2293"/>
      <c r="CU20" s="2294"/>
      <c r="CV20" s="2292" t="s">
        <v>859</v>
      </c>
      <c r="CW20" s="2293"/>
      <c r="CX20" s="2293"/>
      <c r="CY20" s="2293"/>
      <c r="CZ20" s="2293"/>
      <c r="DA20" s="2293"/>
      <c r="DB20" s="2293"/>
      <c r="DC20" s="2293"/>
      <c r="DD20" s="2293"/>
      <c r="DE20" s="2294"/>
      <c r="DF20" s="2199"/>
      <c r="DG20" s="2199"/>
      <c r="DH20" s="2199"/>
      <c r="DI20" s="2199"/>
      <c r="DJ20" s="2199"/>
      <c r="DK20" s="2199"/>
      <c r="DL20" s="2199"/>
      <c r="DM20" s="2199"/>
      <c r="DN20" s="2199"/>
      <c r="DO20" s="2199"/>
      <c r="DP20" s="2199"/>
      <c r="DQ20" s="2199"/>
      <c r="DR20" s="2199"/>
      <c r="DS20" s="2202"/>
      <c r="DT20" s="2203"/>
      <c r="DU20" s="2203"/>
      <c r="DV20" s="2203"/>
      <c r="DW20" s="2203"/>
      <c r="DX20" s="2203"/>
      <c r="DY20" s="2203"/>
      <c r="DZ20" s="2203"/>
      <c r="EA20" s="2203"/>
      <c r="EB20" s="2203"/>
      <c r="EC20" s="2203"/>
      <c r="ED20" s="2203"/>
      <c r="EE20" s="2208"/>
      <c r="EF20" s="2202"/>
      <c r="EG20" s="2203"/>
      <c r="EH20" s="2203"/>
      <c r="EI20" s="2203"/>
      <c r="EJ20" s="2203"/>
      <c r="EK20" s="2203"/>
      <c r="EL20" s="2203"/>
      <c r="EM20" s="2203"/>
      <c r="EN20" s="2203"/>
      <c r="EO20" s="2203"/>
      <c r="EP20" s="2203"/>
      <c r="EQ20" s="2203"/>
      <c r="ER20" s="2208"/>
      <c r="ES20" s="2202"/>
      <c r="ET20" s="2203"/>
      <c r="EU20" s="2203"/>
      <c r="EV20" s="2203"/>
      <c r="EW20" s="2203"/>
      <c r="EX20" s="2203"/>
      <c r="EY20" s="2203"/>
      <c r="EZ20" s="2203"/>
      <c r="FA20" s="2203"/>
      <c r="FB20" s="2203"/>
      <c r="FC20" s="2203"/>
      <c r="FD20" s="2203"/>
      <c r="FE20" s="2208"/>
      <c r="FF20" s="2202"/>
      <c r="FG20" s="2203"/>
      <c r="FH20" s="2203"/>
      <c r="FI20" s="2203"/>
      <c r="FJ20" s="2203"/>
      <c r="FK20" s="2203"/>
      <c r="FL20" s="2203"/>
      <c r="FM20" s="2203"/>
      <c r="FN20" s="2203"/>
      <c r="FO20" s="2203"/>
      <c r="FP20" s="2203"/>
      <c r="FQ20" s="2203"/>
      <c r="FR20" s="2204"/>
    </row>
    <row r="21" spans="1:174" ht="12.75" customHeight="1" x14ac:dyDescent="0.2">
      <c r="A21" s="2293" t="s">
        <v>1072</v>
      </c>
      <c r="B21" s="2293"/>
      <c r="C21" s="2293"/>
      <c r="D21" s="2293"/>
      <c r="E21" s="2293"/>
      <c r="F21" s="2293"/>
      <c r="G21" s="2293"/>
      <c r="H21" s="2294"/>
      <c r="I21" s="2366" t="s">
        <v>1065</v>
      </c>
      <c r="J21" s="2367"/>
      <c r="K21" s="2367"/>
      <c r="L21" s="2367"/>
      <c r="M21" s="2367"/>
      <c r="N21" s="2367"/>
      <c r="O21" s="2367"/>
      <c r="P21" s="2367"/>
      <c r="Q21" s="2367"/>
      <c r="R21" s="2367"/>
      <c r="S21" s="2367"/>
      <c r="T21" s="2367"/>
      <c r="U21" s="2367"/>
      <c r="V21" s="2367"/>
      <c r="W21" s="2367"/>
      <c r="X21" s="2367"/>
      <c r="Y21" s="2367"/>
      <c r="Z21" s="2367"/>
      <c r="AA21" s="2367"/>
      <c r="AB21" s="2367"/>
      <c r="AC21" s="2367"/>
      <c r="AD21" s="2367"/>
      <c r="AE21" s="2367"/>
      <c r="AF21" s="2367"/>
      <c r="AG21" s="2367"/>
      <c r="AH21" s="2367"/>
      <c r="AI21" s="2367"/>
      <c r="AJ21" s="2367"/>
      <c r="AK21" s="2367"/>
      <c r="AL21" s="2367"/>
      <c r="AM21" s="2367"/>
      <c r="AN21" s="2367"/>
      <c r="AO21" s="2367"/>
      <c r="AP21" s="2367"/>
      <c r="AQ21" s="2367"/>
      <c r="AR21" s="2367"/>
      <c r="AS21" s="2367"/>
      <c r="AT21" s="2367"/>
      <c r="AU21" s="2367"/>
      <c r="AV21" s="2367"/>
      <c r="AW21" s="2367"/>
      <c r="AX21" s="2367"/>
      <c r="AY21" s="2367"/>
      <c r="AZ21" s="2367"/>
      <c r="BA21" s="2367"/>
      <c r="BB21" s="2367"/>
      <c r="BC21" s="2367"/>
      <c r="BD21" s="2367"/>
      <c r="BE21" s="2367"/>
      <c r="BF21" s="2367"/>
      <c r="BG21" s="2367"/>
      <c r="BH21" s="2367"/>
      <c r="BI21" s="2367"/>
      <c r="BJ21" s="2367"/>
      <c r="BK21" s="2367"/>
      <c r="BL21" s="2367"/>
      <c r="BM21" s="2367"/>
      <c r="BN21" s="2367"/>
      <c r="BO21" s="2367"/>
      <c r="BP21" s="2367"/>
      <c r="BQ21" s="2367"/>
      <c r="BR21" s="2367"/>
      <c r="BS21" s="2367"/>
      <c r="BT21" s="2367"/>
      <c r="BU21" s="2367"/>
      <c r="BV21" s="2367"/>
      <c r="BW21" s="2367"/>
      <c r="BX21" s="2367"/>
      <c r="BY21" s="2367"/>
      <c r="BZ21" s="2367"/>
      <c r="CA21" s="2367"/>
      <c r="CB21" s="2367"/>
      <c r="CC21" s="2367"/>
      <c r="CD21" s="2367"/>
      <c r="CE21" s="2367"/>
      <c r="CF21" s="2367"/>
      <c r="CG21" s="2367"/>
      <c r="CH21" s="2367"/>
      <c r="CI21" s="2367"/>
      <c r="CJ21" s="2367"/>
      <c r="CK21" s="2367"/>
      <c r="CL21" s="2367"/>
      <c r="CM21" s="2367"/>
      <c r="CN21" s="2297" t="s">
        <v>1073</v>
      </c>
      <c r="CO21" s="2293"/>
      <c r="CP21" s="2293"/>
      <c r="CQ21" s="2293"/>
      <c r="CR21" s="2293"/>
      <c r="CS21" s="2293"/>
      <c r="CT21" s="2293"/>
      <c r="CU21" s="2294"/>
      <c r="CV21" s="2292" t="s">
        <v>859</v>
      </c>
      <c r="CW21" s="2293"/>
      <c r="CX21" s="2293"/>
      <c r="CY21" s="2293"/>
      <c r="CZ21" s="2293"/>
      <c r="DA21" s="2293"/>
      <c r="DB21" s="2293"/>
      <c r="DC21" s="2293"/>
      <c r="DD21" s="2293"/>
      <c r="DE21" s="2294"/>
      <c r="DF21" s="2199"/>
      <c r="DG21" s="2199"/>
      <c r="DH21" s="2199"/>
      <c r="DI21" s="2199"/>
      <c r="DJ21" s="2199"/>
      <c r="DK21" s="2199"/>
      <c r="DL21" s="2199"/>
      <c r="DM21" s="2199"/>
      <c r="DN21" s="2199"/>
      <c r="DO21" s="2199"/>
      <c r="DP21" s="2199"/>
      <c r="DQ21" s="2199"/>
      <c r="DR21" s="2199"/>
      <c r="DS21" s="2354">
        <v>0</v>
      </c>
      <c r="DT21" s="2355"/>
      <c r="DU21" s="2355"/>
      <c r="DV21" s="2355"/>
      <c r="DW21" s="2355"/>
      <c r="DX21" s="2355"/>
      <c r="DY21" s="2355"/>
      <c r="DZ21" s="2355"/>
      <c r="EA21" s="2355"/>
      <c r="EB21" s="2355"/>
      <c r="EC21" s="2355"/>
      <c r="ED21" s="2355"/>
      <c r="EE21" s="2365"/>
      <c r="EF21" s="2354">
        <v>0</v>
      </c>
      <c r="EG21" s="2355"/>
      <c r="EH21" s="2355"/>
      <c r="EI21" s="2355"/>
      <c r="EJ21" s="2355"/>
      <c r="EK21" s="2355"/>
      <c r="EL21" s="2355"/>
      <c r="EM21" s="2355"/>
      <c r="EN21" s="2355"/>
      <c r="EO21" s="2355"/>
      <c r="EP21" s="2355"/>
      <c r="EQ21" s="2355"/>
      <c r="ER21" s="2365"/>
      <c r="ES21" s="2354">
        <v>0</v>
      </c>
      <c r="ET21" s="2355"/>
      <c r="EU21" s="2355"/>
      <c r="EV21" s="2355"/>
      <c r="EW21" s="2355"/>
      <c r="EX21" s="2355"/>
      <c r="EY21" s="2355"/>
      <c r="EZ21" s="2355"/>
      <c r="FA21" s="2355"/>
      <c r="FB21" s="2355"/>
      <c r="FC21" s="2355"/>
      <c r="FD21" s="2355"/>
      <c r="FE21" s="2365"/>
      <c r="FF21" s="2354"/>
      <c r="FG21" s="2355"/>
      <c r="FH21" s="2355"/>
      <c r="FI21" s="2355"/>
      <c r="FJ21" s="2355"/>
      <c r="FK21" s="2355"/>
      <c r="FL21" s="2355"/>
      <c r="FM21" s="2355"/>
      <c r="FN21" s="2355"/>
      <c r="FO21" s="2355"/>
      <c r="FP21" s="2355"/>
      <c r="FQ21" s="2355"/>
      <c r="FR21" s="2356"/>
    </row>
    <row r="22" spans="1:174" ht="12.75" customHeight="1" x14ac:dyDescent="0.2">
      <c r="A22" s="2293" t="s">
        <v>1074</v>
      </c>
      <c r="B22" s="2293"/>
      <c r="C22" s="2293"/>
      <c r="D22" s="2293"/>
      <c r="E22" s="2293"/>
      <c r="F22" s="2293"/>
      <c r="G22" s="2293"/>
      <c r="H22" s="2294"/>
      <c r="I22" s="2368" t="s">
        <v>1075</v>
      </c>
      <c r="J22" s="2369"/>
      <c r="K22" s="2369"/>
      <c r="L22" s="2369"/>
      <c r="M22" s="2369"/>
      <c r="N22" s="2369"/>
      <c r="O22" s="2369"/>
      <c r="P22" s="2369"/>
      <c r="Q22" s="2369"/>
      <c r="R22" s="2369"/>
      <c r="S22" s="2369"/>
      <c r="T22" s="2369"/>
      <c r="U22" s="2369"/>
      <c r="V22" s="2369"/>
      <c r="W22" s="2369"/>
      <c r="X22" s="2369"/>
      <c r="Y22" s="2369"/>
      <c r="Z22" s="2369"/>
      <c r="AA22" s="2369"/>
      <c r="AB22" s="2369"/>
      <c r="AC22" s="2369"/>
      <c r="AD22" s="2369"/>
      <c r="AE22" s="2369"/>
      <c r="AF22" s="2369"/>
      <c r="AG22" s="2369"/>
      <c r="AH22" s="2369"/>
      <c r="AI22" s="2369"/>
      <c r="AJ22" s="2369"/>
      <c r="AK22" s="2369"/>
      <c r="AL22" s="2369"/>
      <c r="AM22" s="2369"/>
      <c r="AN22" s="2369"/>
      <c r="AO22" s="2369"/>
      <c r="AP22" s="2369"/>
      <c r="AQ22" s="2369"/>
      <c r="AR22" s="2369"/>
      <c r="AS22" s="2369"/>
      <c r="AT22" s="2369"/>
      <c r="AU22" s="2369"/>
      <c r="AV22" s="2369"/>
      <c r="AW22" s="2369"/>
      <c r="AX22" s="2369"/>
      <c r="AY22" s="2369"/>
      <c r="AZ22" s="2369"/>
      <c r="BA22" s="2369"/>
      <c r="BB22" s="2369"/>
      <c r="BC22" s="2369"/>
      <c r="BD22" s="2369"/>
      <c r="BE22" s="2369"/>
      <c r="BF22" s="2369"/>
      <c r="BG22" s="2369"/>
      <c r="BH22" s="2369"/>
      <c r="BI22" s="2369"/>
      <c r="BJ22" s="2369"/>
      <c r="BK22" s="2369"/>
      <c r="BL22" s="2369"/>
      <c r="BM22" s="2369"/>
      <c r="BN22" s="2369"/>
      <c r="BO22" s="2369"/>
      <c r="BP22" s="2369"/>
      <c r="BQ22" s="2369"/>
      <c r="BR22" s="2369"/>
      <c r="BS22" s="2369"/>
      <c r="BT22" s="2369"/>
      <c r="BU22" s="2369"/>
      <c r="BV22" s="2369"/>
      <c r="BW22" s="2369"/>
      <c r="BX22" s="2369"/>
      <c r="BY22" s="2369"/>
      <c r="BZ22" s="2369"/>
      <c r="CA22" s="2369"/>
      <c r="CB22" s="2369"/>
      <c r="CC22" s="2369"/>
      <c r="CD22" s="2369"/>
      <c r="CE22" s="2369"/>
      <c r="CF22" s="2369"/>
      <c r="CG22" s="2369"/>
      <c r="CH22" s="2369"/>
      <c r="CI22" s="2369"/>
      <c r="CJ22" s="2369"/>
      <c r="CK22" s="2369"/>
      <c r="CL22" s="2369"/>
      <c r="CM22" s="2369"/>
      <c r="CN22" s="2297" t="s">
        <v>1076</v>
      </c>
      <c r="CO22" s="2293"/>
      <c r="CP22" s="2293"/>
      <c r="CQ22" s="2293"/>
      <c r="CR22" s="2293"/>
      <c r="CS22" s="2293"/>
      <c r="CT22" s="2293"/>
      <c r="CU22" s="2294"/>
      <c r="CV22" s="2292" t="s">
        <v>859</v>
      </c>
      <c r="CW22" s="2293"/>
      <c r="CX22" s="2293"/>
      <c r="CY22" s="2293"/>
      <c r="CZ22" s="2293"/>
      <c r="DA22" s="2293"/>
      <c r="DB22" s="2293"/>
      <c r="DC22" s="2293"/>
      <c r="DD22" s="2293"/>
      <c r="DE22" s="2294"/>
      <c r="DF22" s="2199"/>
      <c r="DG22" s="2199"/>
      <c r="DH22" s="2199"/>
      <c r="DI22" s="2199"/>
      <c r="DJ22" s="2199"/>
      <c r="DK22" s="2199"/>
      <c r="DL22" s="2199"/>
      <c r="DM22" s="2199"/>
      <c r="DN22" s="2199"/>
      <c r="DO22" s="2199"/>
      <c r="DP22" s="2199"/>
      <c r="DQ22" s="2199"/>
      <c r="DR22" s="2199"/>
      <c r="DS22" s="2354">
        <v>0</v>
      </c>
      <c r="DT22" s="2355"/>
      <c r="DU22" s="2355"/>
      <c r="DV22" s="2355"/>
      <c r="DW22" s="2355"/>
      <c r="DX22" s="2355"/>
      <c r="DY22" s="2355"/>
      <c r="DZ22" s="2355"/>
      <c r="EA22" s="2355"/>
      <c r="EB22" s="2355"/>
      <c r="EC22" s="2355"/>
      <c r="ED22" s="2355"/>
      <c r="EE22" s="2365"/>
      <c r="EF22" s="2354">
        <v>0</v>
      </c>
      <c r="EG22" s="2355"/>
      <c r="EH22" s="2355"/>
      <c r="EI22" s="2355"/>
      <c r="EJ22" s="2355"/>
      <c r="EK22" s="2355"/>
      <c r="EL22" s="2355"/>
      <c r="EM22" s="2355"/>
      <c r="EN22" s="2355"/>
      <c r="EO22" s="2355"/>
      <c r="EP22" s="2355"/>
      <c r="EQ22" s="2355"/>
      <c r="ER22" s="2365"/>
      <c r="ES22" s="2354">
        <v>0</v>
      </c>
      <c r="ET22" s="2355"/>
      <c r="EU22" s="2355"/>
      <c r="EV22" s="2355"/>
      <c r="EW22" s="2355"/>
      <c r="EX22" s="2355"/>
      <c r="EY22" s="2355"/>
      <c r="EZ22" s="2355"/>
      <c r="FA22" s="2355"/>
      <c r="FB22" s="2355"/>
      <c r="FC22" s="2355"/>
      <c r="FD22" s="2355"/>
      <c r="FE22" s="2365"/>
      <c r="FF22" s="2354"/>
      <c r="FG22" s="2355"/>
      <c r="FH22" s="2355"/>
      <c r="FI22" s="2355"/>
      <c r="FJ22" s="2355"/>
      <c r="FK22" s="2355"/>
      <c r="FL22" s="2355"/>
      <c r="FM22" s="2355"/>
      <c r="FN22" s="2355"/>
      <c r="FO22" s="2355"/>
      <c r="FP22" s="2355"/>
      <c r="FQ22" s="2355"/>
      <c r="FR22" s="2356"/>
    </row>
    <row r="23" spans="1:174" s="2195" customFormat="1" ht="12.75" customHeight="1" x14ac:dyDescent="0.2">
      <c r="A23" s="2199"/>
      <c r="B23" s="2199"/>
      <c r="C23" s="2199"/>
      <c r="D23" s="2199"/>
      <c r="E23" s="2199"/>
      <c r="F23" s="2199"/>
      <c r="G23" s="2199"/>
      <c r="H23" s="2200"/>
      <c r="I23" s="2298" t="s">
        <v>1752</v>
      </c>
      <c r="J23" s="2299"/>
      <c r="K23" s="2299"/>
      <c r="L23" s="2299"/>
      <c r="M23" s="2299"/>
      <c r="N23" s="2299"/>
      <c r="O23" s="2299"/>
      <c r="P23" s="2299"/>
      <c r="Q23" s="2299"/>
      <c r="R23" s="2299"/>
      <c r="S23" s="2299"/>
      <c r="T23" s="2299"/>
      <c r="U23" s="2299"/>
      <c r="V23" s="2299"/>
      <c r="W23" s="2299"/>
      <c r="X23" s="2299"/>
      <c r="Y23" s="2299"/>
      <c r="Z23" s="2299"/>
      <c r="AA23" s="2299"/>
      <c r="AB23" s="2299"/>
      <c r="AC23" s="2299"/>
      <c r="AD23" s="2299"/>
      <c r="AE23" s="2299"/>
      <c r="AF23" s="2299"/>
      <c r="AG23" s="2299"/>
      <c r="AH23" s="2299"/>
      <c r="AI23" s="2299"/>
      <c r="AJ23" s="2299"/>
      <c r="AK23" s="2299"/>
      <c r="AL23" s="2299"/>
      <c r="AM23" s="2299"/>
      <c r="AN23" s="2299"/>
      <c r="AO23" s="2299"/>
      <c r="AP23" s="2299"/>
      <c r="AQ23" s="2299"/>
      <c r="AR23" s="2299"/>
      <c r="AS23" s="2299"/>
      <c r="AT23" s="2299"/>
      <c r="AU23" s="2299"/>
      <c r="AV23" s="2299"/>
      <c r="AW23" s="2299"/>
      <c r="AX23" s="2299"/>
      <c r="AY23" s="2299"/>
      <c r="AZ23" s="2299"/>
      <c r="BA23" s="2299"/>
      <c r="BB23" s="2299"/>
      <c r="BC23" s="2299"/>
      <c r="BD23" s="2299"/>
      <c r="BE23" s="2299"/>
      <c r="BF23" s="2299"/>
      <c r="BG23" s="2299"/>
      <c r="BH23" s="2299"/>
      <c r="BI23" s="2299"/>
      <c r="BJ23" s="2299"/>
      <c r="BK23" s="2299"/>
      <c r="BL23" s="2299"/>
      <c r="BM23" s="2299"/>
      <c r="BN23" s="2299"/>
      <c r="BO23" s="2299"/>
      <c r="BP23" s="2299"/>
      <c r="BQ23" s="2299"/>
      <c r="BR23" s="2299"/>
      <c r="BS23" s="2299"/>
      <c r="BT23" s="2299"/>
      <c r="BU23" s="2299"/>
      <c r="BV23" s="2299"/>
      <c r="BW23" s="2299"/>
      <c r="BX23" s="2299"/>
      <c r="BY23" s="2299"/>
      <c r="BZ23" s="2299"/>
      <c r="CA23" s="2299"/>
      <c r="CB23" s="2299"/>
      <c r="CC23" s="2299"/>
      <c r="CD23" s="2299"/>
      <c r="CE23" s="2299"/>
      <c r="CF23" s="2299"/>
      <c r="CG23" s="2299"/>
      <c r="CH23" s="2299"/>
      <c r="CI23" s="2299"/>
      <c r="CJ23" s="2299"/>
      <c r="CK23" s="2299"/>
      <c r="CL23" s="2299"/>
      <c r="CM23" s="2299"/>
      <c r="CN23" s="2297" t="s">
        <v>1754</v>
      </c>
      <c r="CO23" s="2293"/>
      <c r="CP23" s="2293"/>
      <c r="CQ23" s="2293"/>
      <c r="CR23" s="2293"/>
      <c r="CS23" s="2293"/>
      <c r="CT23" s="2293"/>
      <c r="CU23" s="2294"/>
      <c r="CV23" s="2292" t="s">
        <v>859</v>
      </c>
      <c r="CW23" s="2293"/>
      <c r="CX23" s="2293"/>
      <c r="CY23" s="2293"/>
      <c r="CZ23" s="2293"/>
      <c r="DA23" s="2293"/>
      <c r="DB23" s="2293"/>
      <c r="DC23" s="2293"/>
      <c r="DD23" s="2293"/>
      <c r="DE23" s="2294"/>
      <c r="DF23" s="2199"/>
      <c r="DG23" s="2199"/>
      <c r="DH23" s="2199"/>
      <c r="DI23" s="2199"/>
      <c r="DJ23" s="2199"/>
      <c r="DK23" s="2199"/>
      <c r="DL23" s="2199"/>
      <c r="DM23" s="2199"/>
      <c r="DN23" s="2199"/>
      <c r="DO23" s="2199"/>
      <c r="DP23" s="2199"/>
      <c r="DQ23" s="2199"/>
      <c r="DR23" s="2199"/>
      <c r="DS23" s="2202"/>
      <c r="DT23" s="2203"/>
      <c r="DU23" s="2203"/>
      <c r="DV23" s="2203"/>
      <c r="DW23" s="2203"/>
      <c r="DX23" s="2203"/>
      <c r="DY23" s="2203"/>
      <c r="DZ23" s="2203"/>
      <c r="EA23" s="2203"/>
      <c r="EB23" s="2203"/>
      <c r="EC23" s="2203"/>
      <c r="ED23" s="2203"/>
      <c r="EE23" s="2208"/>
      <c r="EF23" s="2202"/>
      <c r="EG23" s="2203"/>
      <c r="EH23" s="2203"/>
      <c r="EI23" s="2203"/>
      <c r="EJ23" s="2203"/>
      <c r="EK23" s="2203"/>
      <c r="EL23" s="2203"/>
      <c r="EM23" s="2203"/>
      <c r="EN23" s="2203"/>
      <c r="EO23" s="2203"/>
      <c r="EP23" s="2203"/>
      <c r="EQ23" s="2203"/>
      <c r="ER23" s="2208"/>
      <c r="ES23" s="2202"/>
      <c r="ET23" s="2203"/>
      <c r="EU23" s="2203"/>
      <c r="EV23" s="2203"/>
      <c r="EW23" s="2203"/>
      <c r="EX23" s="2203"/>
      <c r="EY23" s="2203"/>
      <c r="EZ23" s="2203"/>
      <c r="FA23" s="2203"/>
      <c r="FB23" s="2203"/>
      <c r="FC23" s="2203"/>
      <c r="FD23" s="2203"/>
      <c r="FE23" s="2208"/>
      <c r="FF23" s="2202"/>
      <c r="FG23" s="2203"/>
      <c r="FH23" s="2203"/>
      <c r="FI23" s="2203"/>
      <c r="FJ23" s="2203"/>
      <c r="FK23" s="2203"/>
      <c r="FL23" s="2203"/>
      <c r="FM23" s="2203"/>
      <c r="FN23" s="2203"/>
      <c r="FO23" s="2203"/>
      <c r="FP23" s="2203"/>
      <c r="FQ23" s="2203"/>
      <c r="FR23" s="2204"/>
    </row>
    <row r="24" spans="1:174" ht="10.5" customHeight="1" x14ac:dyDescent="0.2">
      <c r="A24" s="2293" t="s">
        <v>1077</v>
      </c>
      <c r="B24" s="2293"/>
      <c r="C24" s="2293"/>
      <c r="D24" s="2293"/>
      <c r="E24" s="2293"/>
      <c r="F24" s="2293"/>
      <c r="G24" s="2293"/>
      <c r="H24" s="2294"/>
      <c r="I24" s="2368" t="s">
        <v>1078</v>
      </c>
      <c r="J24" s="2369"/>
      <c r="K24" s="2369"/>
      <c r="L24" s="2369"/>
      <c r="M24" s="2369"/>
      <c r="N24" s="2369"/>
      <c r="O24" s="2369"/>
      <c r="P24" s="2369"/>
      <c r="Q24" s="2369"/>
      <c r="R24" s="2369"/>
      <c r="S24" s="2369"/>
      <c r="T24" s="2369"/>
      <c r="U24" s="2369"/>
      <c r="V24" s="2369"/>
      <c r="W24" s="2369"/>
      <c r="X24" s="2369"/>
      <c r="Y24" s="2369"/>
      <c r="Z24" s="2369"/>
      <c r="AA24" s="2369"/>
      <c r="AB24" s="2369"/>
      <c r="AC24" s="2369"/>
      <c r="AD24" s="2369"/>
      <c r="AE24" s="2369"/>
      <c r="AF24" s="2369"/>
      <c r="AG24" s="2369"/>
      <c r="AH24" s="2369"/>
      <c r="AI24" s="2369"/>
      <c r="AJ24" s="2369"/>
      <c r="AK24" s="2369"/>
      <c r="AL24" s="2369"/>
      <c r="AM24" s="2369"/>
      <c r="AN24" s="2369"/>
      <c r="AO24" s="2369"/>
      <c r="AP24" s="2369"/>
      <c r="AQ24" s="2369"/>
      <c r="AR24" s="2369"/>
      <c r="AS24" s="2369"/>
      <c r="AT24" s="2369"/>
      <c r="AU24" s="2369"/>
      <c r="AV24" s="2369"/>
      <c r="AW24" s="2369"/>
      <c r="AX24" s="2369"/>
      <c r="AY24" s="2369"/>
      <c r="AZ24" s="2369"/>
      <c r="BA24" s="2369"/>
      <c r="BB24" s="2369"/>
      <c r="BC24" s="2369"/>
      <c r="BD24" s="2369"/>
      <c r="BE24" s="2369"/>
      <c r="BF24" s="2369"/>
      <c r="BG24" s="2369"/>
      <c r="BH24" s="2369"/>
      <c r="BI24" s="2369"/>
      <c r="BJ24" s="2369"/>
      <c r="BK24" s="2369"/>
      <c r="BL24" s="2369"/>
      <c r="BM24" s="2369"/>
      <c r="BN24" s="2369"/>
      <c r="BO24" s="2369"/>
      <c r="BP24" s="2369"/>
      <c r="BQ24" s="2369"/>
      <c r="BR24" s="2369"/>
      <c r="BS24" s="2369"/>
      <c r="BT24" s="2369"/>
      <c r="BU24" s="2369"/>
      <c r="BV24" s="2369"/>
      <c r="BW24" s="2369"/>
      <c r="BX24" s="2369"/>
      <c r="BY24" s="2369"/>
      <c r="BZ24" s="2369"/>
      <c r="CA24" s="2369"/>
      <c r="CB24" s="2369"/>
      <c r="CC24" s="2369"/>
      <c r="CD24" s="2369"/>
      <c r="CE24" s="2369"/>
      <c r="CF24" s="2369"/>
      <c r="CG24" s="2369"/>
      <c r="CH24" s="2369"/>
      <c r="CI24" s="2369"/>
      <c r="CJ24" s="2369"/>
      <c r="CK24" s="2369"/>
      <c r="CL24" s="2369"/>
      <c r="CM24" s="2369"/>
      <c r="CN24" s="2297" t="s">
        <v>1079</v>
      </c>
      <c r="CO24" s="2293"/>
      <c r="CP24" s="2293"/>
      <c r="CQ24" s="2293"/>
      <c r="CR24" s="2293"/>
      <c r="CS24" s="2293"/>
      <c r="CT24" s="2293"/>
      <c r="CU24" s="2294"/>
      <c r="CV24" s="2292" t="s">
        <v>859</v>
      </c>
      <c r="CW24" s="2293"/>
      <c r="CX24" s="2293"/>
      <c r="CY24" s="2293"/>
      <c r="CZ24" s="2293"/>
      <c r="DA24" s="2293"/>
      <c r="DB24" s="2293"/>
      <c r="DC24" s="2293"/>
      <c r="DD24" s="2293"/>
      <c r="DE24" s="2294"/>
      <c r="DF24" s="2199"/>
      <c r="DG24" s="2199"/>
      <c r="DH24" s="2199"/>
      <c r="DI24" s="2199"/>
      <c r="DJ24" s="2199"/>
      <c r="DK24" s="2199"/>
      <c r="DL24" s="2199"/>
      <c r="DM24" s="2199"/>
      <c r="DN24" s="2199"/>
      <c r="DO24" s="2199"/>
      <c r="DP24" s="2199"/>
      <c r="DQ24" s="2199"/>
      <c r="DR24" s="2199"/>
      <c r="DS24" s="2354">
        <v>0</v>
      </c>
      <c r="DT24" s="2355"/>
      <c r="DU24" s="2355"/>
      <c r="DV24" s="2355"/>
      <c r="DW24" s="2355"/>
      <c r="DX24" s="2355"/>
      <c r="DY24" s="2355"/>
      <c r="DZ24" s="2355"/>
      <c r="EA24" s="2355"/>
      <c r="EB24" s="2355"/>
      <c r="EC24" s="2355"/>
      <c r="ED24" s="2355"/>
      <c r="EE24" s="2365"/>
      <c r="EF24" s="2354">
        <v>0</v>
      </c>
      <c r="EG24" s="2355"/>
      <c r="EH24" s="2355"/>
      <c r="EI24" s="2355"/>
      <c r="EJ24" s="2355"/>
      <c r="EK24" s="2355"/>
      <c r="EL24" s="2355"/>
      <c r="EM24" s="2355"/>
      <c r="EN24" s="2355"/>
      <c r="EO24" s="2355"/>
      <c r="EP24" s="2355"/>
      <c r="EQ24" s="2355"/>
      <c r="ER24" s="2365"/>
      <c r="ES24" s="2354">
        <v>0</v>
      </c>
      <c r="ET24" s="2355"/>
      <c r="EU24" s="2355"/>
      <c r="EV24" s="2355"/>
      <c r="EW24" s="2355"/>
      <c r="EX24" s="2355"/>
      <c r="EY24" s="2355"/>
      <c r="EZ24" s="2355"/>
      <c r="FA24" s="2355"/>
      <c r="FB24" s="2355"/>
      <c r="FC24" s="2355"/>
      <c r="FD24" s="2355"/>
      <c r="FE24" s="2365"/>
      <c r="FF24" s="2354"/>
      <c r="FG24" s="2355"/>
      <c r="FH24" s="2355"/>
      <c r="FI24" s="2355"/>
      <c r="FJ24" s="2355"/>
      <c r="FK24" s="2355"/>
      <c r="FL24" s="2355"/>
      <c r="FM24" s="2355"/>
      <c r="FN24" s="2355"/>
      <c r="FO24" s="2355"/>
      <c r="FP24" s="2355"/>
      <c r="FQ24" s="2355"/>
      <c r="FR24" s="2356"/>
    </row>
    <row r="25" spans="1:174" ht="11.25" customHeight="1" x14ac:dyDescent="0.2">
      <c r="A25" s="2293" t="s">
        <v>1080</v>
      </c>
      <c r="B25" s="2293"/>
      <c r="C25" s="2293"/>
      <c r="D25" s="2293"/>
      <c r="E25" s="2293"/>
      <c r="F25" s="2293"/>
      <c r="G25" s="2293"/>
      <c r="H25" s="2294"/>
      <c r="I25" s="2366" t="s">
        <v>1062</v>
      </c>
      <c r="J25" s="2367"/>
      <c r="K25" s="2367"/>
      <c r="L25" s="2367"/>
      <c r="M25" s="2367"/>
      <c r="N25" s="2367"/>
      <c r="O25" s="2367"/>
      <c r="P25" s="2367"/>
      <c r="Q25" s="2367"/>
      <c r="R25" s="2367"/>
      <c r="S25" s="2367"/>
      <c r="T25" s="2367"/>
      <c r="U25" s="2367"/>
      <c r="V25" s="2367"/>
      <c r="W25" s="2367"/>
      <c r="X25" s="2367"/>
      <c r="Y25" s="2367"/>
      <c r="Z25" s="2367"/>
      <c r="AA25" s="2367"/>
      <c r="AB25" s="2367"/>
      <c r="AC25" s="2367"/>
      <c r="AD25" s="2367"/>
      <c r="AE25" s="2367"/>
      <c r="AF25" s="2367"/>
      <c r="AG25" s="2367"/>
      <c r="AH25" s="2367"/>
      <c r="AI25" s="2367"/>
      <c r="AJ25" s="2367"/>
      <c r="AK25" s="2367"/>
      <c r="AL25" s="2367"/>
      <c r="AM25" s="2367"/>
      <c r="AN25" s="2367"/>
      <c r="AO25" s="2367"/>
      <c r="AP25" s="2367"/>
      <c r="AQ25" s="2367"/>
      <c r="AR25" s="2367"/>
      <c r="AS25" s="2367"/>
      <c r="AT25" s="2367"/>
      <c r="AU25" s="2367"/>
      <c r="AV25" s="2367"/>
      <c r="AW25" s="2367"/>
      <c r="AX25" s="2367"/>
      <c r="AY25" s="2367"/>
      <c r="AZ25" s="2367"/>
      <c r="BA25" s="2367"/>
      <c r="BB25" s="2367"/>
      <c r="BC25" s="2367"/>
      <c r="BD25" s="2367"/>
      <c r="BE25" s="2367"/>
      <c r="BF25" s="2367"/>
      <c r="BG25" s="2367"/>
      <c r="BH25" s="2367"/>
      <c r="BI25" s="2367"/>
      <c r="BJ25" s="2367"/>
      <c r="BK25" s="2367"/>
      <c r="BL25" s="2367"/>
      <c r="BM25" s="2367"/>
      <c r="BN25" s="2367"/>
      <c r="BO25" s="2367"/>
      <c r="BP25" s="2367"/>
      <c r="BQ25" s="2367"/>
      <c r="BR25" s="2367"/>
      <c r="BS25" s="2367"/>
      <c r="BT25" s="2367"/>
      <c r="BU25" s="2367"/>
      <c r="BV25" s="2367"/>
      <c r="BW25" s="2367"/>
      <c r="BX25" s="2367"/>
      <c r="BY25" s="2367"/>
      <c r="BZ25" s="2367"/>
      <c r="CA25" s="2367"/>
      <c r="CB25" s="2367"/>
      <c r="CC25" s="2367"/>
      <c r="CD25" s="2367"/>
      <c r="CE25" s="2367"/>
      <c r="CF25" s="2367"/>
      <c r="CG25" s="2367"/>
      <c r="CH25" s="2367"/>
      <c r="CI25" s="2367"/>
      <c r="CJ25" s="2367"/>
      <c r="CK25" s="2367"/>
      <c r="CL25" s="2367"/>
      <c r="CM25" s="2367"/>
      <c r="CN25" s="2297" t="s">
        <v>1081</v>
      </c>
      <c r="CO25" s="2293"/>
      <c r="CP25" s="2293"/>
      <c r="CQ25" s="2293"/>
      <c r="CR25" s="2293"/>
      <c r="CS25" s="2293"/>
      <c r="CT25" s="2293"/>
      <c r="CU25" s="2294"/>
      <c r="CV25" s="2292" t="s">
        <v>859</v>
      </c>
      <c r="CW25" s="2293"/>
      <c r="CX25" s="2293"/>
      <c r="CY25" s="2293"/>
      <c r="CZ25" s="2293"/>
      <c r="DA25" s="2293"/>
      <c r="DB25" s="2293"/>
      <c r="DC25" s="2293"/>
      <c r="DD25" s="2293"/>
      <c r="DE25" s="2294"/>
      <c r="DF25" s="2199"/>
      <c r="DG25" s="2199"/>
      <c r="DH25" s="2199"/>
      <c r="DI25" s="2199"/>
      <c r="DJ25" s="2199"/>
      <c r="DK25" s="2199"/>
      <c r="DL25" s="2199"/>
      <c r="DM25" s="2199"/>
      <c r="DN25" s="2199"/>
      <c r="DO25" s="2199"/>
      <c r="DP25" s="2199"/>
      <c r="DQ25" s="2199"/>
      <c r="DR25" s="2199"/>
      <c r="DS25" s="2354">
        <v>0</v>
      </c>
      <c r="DT25" s="2355"/>
      <c r="DU25" s="2355"/>
      <c r="DV25" s="2355"/>
      <c r="DW25" s="2355"/>
      <c r="DX25" s="2355"/>
      <c r="DY25" s="2355"/>
      <c r="DZ25" s="2355"/>
      <c r="EA25" s="2355"/>
      <c r="EB25" s="2355"/>
      <c r="EC25" s="2355"/>
      <c r="ED25" s="2355"/>
      <c r="EE25" s="2365"/>
      <c r="EF25" s="2354">
        <v>0</v>
      </c>
      <c r="EG25" s="2355"/>
      <c r="EH25" s="2355"/>
      <c r="EI25" s="2355"/>
      <c r="EJ25" s="2355"/>
      <c r="EK25" s="2355"/>
      <c r="EL25" s="2355"/>
      <c r="EM25" s="2355"/>
      <c r="EN25" s="2355"/>
      <c r="EO25" s="2355"/>
      <c r="EP25" s="2355"/>
      <c r="EQ25" s="2355"/>
      <c r="ER25" s="2365"/>
      <c r="ES25" s="2354">
        <v>0</v>
      </c>
      <c r="ET25" s="2355"/>
      <c r="EU25" s="2355"/>
      <c r="EV25" s="2355"/>
      <c r="EW25" s="2355"/>
      <c r="EX25" s="2355"/>
      <c r="EY25" s="2355"/>
      <c r="EZ25" s="2355"/>
      <c r="FA25" s="2355"/>
      <c r="FB25" s="2355"/>
      <c r="FC25" s="2355"/>
      <c r="FD25" s="2355"/>
      <c r="FE25" s="2365"/>
      <c r="FF25" s="2354"/>
      <c r="FG25" s="2355"/>
      <c r="FH25" s="2355"/>
      <c r="FI25" s="2355"/>
      <c r="FJ25" s="2355"/>
      <c r="FK25" s="2355"/>
      <c r="FL25" s="2355"/>
      <c r="FM25" s="2355"/>
      <c r="FN25" s="2355"/>
      <c r="FO25" s="2355"/>
      <c r="FP25" s="2355"/>
      <c r="FQ25" s="2355"/>
      <c r="FR25" s="2356"/>
    </row>
    <row r="26" spans="1:174" ht="12" customHeight="1" x14ac:dyDescent="0.2">
      <c r="A26" s="2293" t="s">
        <v>1082</v>
      </c>
      <c r="B26" s="2293"/>
      <c r="C26" s="2293"/>
      <c r="D26" s="2293"/>
      <c r="E26" s="2293"/>
      <c r="F26" s="2293"/>
      <c r="G26" s="2293"/>
      <c r="H26" s="2294"/>
      <c r="I26" s="2366" t="s">
        <v>1083</v>
      </c>
      <c r="J26" s="2367"/>
      <c r="K26" s="2367"/>
      <c r="L26" s="2367"/>
      <c r="M26" s="2367"/>
      <c r="N26" s="2367"/>
      <c r="O26" s="2367"/>
      <c r="P26" s="2367"/>
      <c r="Q26" s="2367"/>
      <c r="R26" s="2367"/>
      <c r="S26" s="2367"/>
      <c r="T26" s="2367"/>
      <c r="U26" s="2367"/>
      <c r="V26" s="2367"/>
      <c r="W26" s="2367"/>
      <c r="X26" s="2367"/>
      <c r="Y26" s="2367"/>
      <c r="Z26" s="2367"/>
      <c r="AA26" s="2367"/>
      <c r="AB26" s="2367"/>
      <c r="AC26" s="2367"/>
      <c r="AD26" s="2367"/>
      <c r="AE26" s="2367"/>
      <c r="AF26" s="2367"/>
      <c r="AG26" s="2367"/>
      <c r="AH26" s="2367"/>
      <c r="AI26" s="2367"/>
      <c r="AJ26" s="2367"/>
      <c r="AK26" s="2367"/>
      <c r="AL26" s="2367"/>
      <c r="AM26" s="2367"/>
      <c r="AN26" s="2367"/>
      <c r="AO26" s="2367"/>
      <c r="AP26" s="2367"/>
      <c r="AQ26" s="2367"/>
      <c r="AR26" s="2367"/>
      <c r="AS26" s="2367"/>
      <c r="AT26" s="2367"/>
      <c r="AU26" s="2367"/>
      <c r="AV26" s="2367"/>
      <c r="AW26" s="2367"/>
      <c r="AX26" s="2367"/>
      <c r="AY26" s="2367"/>
      <c r="AZ26" s="2367"/>
      <c r="BA26" s="2367"/>
      <c r="BB26" s="2367"/>
      <c r="BC26" s="2367"/>
      <c r="BD26" s="2367"/>
      <c r="BE26" s="2367"/>
      <c r="BF26" s="2367"/>
      <c r="BG26" s="2367"/>
      <c r="BH26" s="2367"/>
      <c r="BI26" s="2367"/>
      <c r="BJ26" s="2367"/>
      <c r="BK26" s="2367"/>
      <c r="BL26" s="2367"/>
      <c r="BM26" s="2367"/>
      <c r="BN26" s="2367"/>
      <c r="BO26" s="2367"/>
      <c r="BP26" s="2367"/>
      <c r="BQ26" s="2367"/>
      <c r="BR26" s="2367"/>
      <c r="BS26" s="2367"/>
      <c r="BT26" s="2367"/>
      <c r="BU26" s="2367"/>
      <c r="BV26" s="2367"/>
      <c r="BW26" s="2367"/>
      <c r="BX26" s="2367"/>
      <c r="BY26" s="2367"/>
      <c r="BZ26" s="2367"/>
      <c r="CA26" s="2367"/>
      <c r="CB26" s="2367"/>
      <c r="CC26" s="2367"/>
      <c r="CD26" s="2367"/>
      <c r="CE26" s="2367"/>
      <c r="CF26" s="2367"/>
      <c r="CG26" s="2367"/>
      <c r="CH26" s="2367"/>
      <c r="CI26" s="2367"/>
      <c r="CJ26" s="2367"/>
      <c r="CK26" s="2367"/>
      <c r="CL26" s="2367"/>
      <c r="CM26" s="2367"/>
      <c r="CN26" s="2297" t="s">
        <v>1084</v>
      </c>
      <c r="CO26" s="2293"/>
      <c r="CP26" s="2293"/>
      <c r="CQ26" s="2293"/>
      <c r="CR26" s="2293"/>
      <c r="CS26" s="2293"/>
      <c r="CT26" s="2293"/>
      <c r="CU26" s="2294"/>
      <c r="CV26" s="2292" t="s">
        <v>859</v>
      </c>
      <c r="CW26" s="2293"/>
      <c r="CX26" s="2293"/>
      <c r="CY26" s="2293"/>
      <c r="CZ26" s="2293"/>
      <c r="DA26" s="2293"/>
      <c r="DB26" s="2293"/>
      <c r="DC26" s="2293"/>
      <c r="DD26" s="2293"/>
      <c r="DE26" s="2294"/>
      <c r="DF26" s="2199"/>
      <c r="DG26" s="2199"/>
      <c r="DH26" s="2199"/>
      <c r="DI26" s="2199"/>
      <c r="DJ26" s="2199"/>
      <c r="DK26" s="2199"/>
      <c r="DL26" s="2199"/>
      <c r="DM26" s="2199"/>
      <c r="DN26" s="2199"/>
      <c r="DO26" s="2199"/>
      <c r="DP26" s="2199"/>
      <c r="DQ26" s="2199"/>
      <c r="DR26" s="2199"/>
      <c r="DS26" s="2354">
        <v>0</v>
      </c>
      <c r="DT26" s="2355"/>
      <c r="DU26" s="2355"/>
      <c r="DV26" s="2355"/>
      <c r="DW26" s="2355"/>
      <c r="DX26" s="2355"/>
      <c r="DY26" s="2355"/>
      <c r="DZ26" s="2355"/>
      <c r="EA26" s="2355"/>
      <c r="EB26" s="2355"/>
      <c r="EC26" s="2355"/>
      <c r="ED26" s="2355"/>
      <c r="EE26" s="2365"/>
      <c r="EF26" s="2354">
        <v>0</v>
      </c>
      <c r="EG26" s="2355"/>
      <c r="EH26" s="2355"/>
      <c r="EI26" s="2355"/>
      <c r="EJ26" s="2355"/>
      <c r="EK26" s="2355"/>
      <c r="EL26" s="2355"/>
      <c r="EM26" s="2355"/>
      <c r="EN26" s="2355"/>
      <c r="EO26" s="2355"/>
      <c r="EP26" s="2355"/>
      <c r="EQ26" s="2355"/>
      <c r="ER26" s="2365"/>
      <c r="ES26" s="2354">
        <v>0</v>
      </c>
      <c r="ET26" s="2355"/>
      <c r="EU26" s="2355"/>
      <c r="EV26" s="2355"/>
      <c r="EW26" s="2355"/>
      <c r="EX26" s="2355"/>
      <c r="EY26" s="2355"/>
      <c r="EZ26" s="2355"/>
      <c r="FA26" s="2355"/>
      <c r="FB26" s="2355"/>
      <c r="FC26" s="2355"/>
      <c r="FD26" s="2355"/>
      <c r="FE26" s="2365"/>
      <c r="FF26" s="2354"/>
      <c r="FG26" s="2355"/>
      <c r="FH26" s="2355"/>
      <c r="FI26" s="2355"/>
      <c r="FJ26" s="2355"/>
      <c r="FK26" s="2355"/>
      <c r="FL26" s="2355"/>
      <c r="FM26" s="2355"/>
      <c r="FN26" s="2355"/>
      <c r="FO26" s="2355"/>
      <c r="FP26" s="2355"/>
      <c r="FQ26" s="2355"/>
      <c r="FR26" s="2356"/>
    </row>
    <row r="27" spans="1:174" ht="12" customHeight="1" x14ac:dyDescent="0.2">
      <c r="A27" s="2293" t="s">
        <v>1077</v>
      </c>
      <c r="B27" s="2293"/>
      <c r="C27" s="2293"/>
      <c r="D27" s="2293"/>
      <c r="E27" s="2293"/>
      <c r="F27" s="2293"/>
      <c r="G27" s="2293"/>
      <c r="H27" s="2294"/>
      <c r="I27" s="2368" t="s">
        <v>1085</v>
      </c>
      <c r="J27" s="2369"/>
      <c r="K27" s="2369"/>
      <c r="L27" s="2369"/>
      <c r="M27" s="2369"/>
      <c r="N27" s="2369"/>
      <c r="O27" s="2369"/>
      <c r="P27" s="2369"/>
      <c r="Q27" s="2369"/>
      <c r="R27" s="2369"/>
      <c r="S27" s="2369"/>
      <c r="T27" s="2369"/>
      <c r="U27" s="2369"/>
      <c r="V27" s="2369"/>
      <c r="W27" s="2369"/>
      <c r="X27" s="2369"/>
      <c r="Y27" s="2369"/>
      <c r="Z27" s="2369"/>
      <c r="AA27" s="2369"/>
      <c r="AB27" s="2369"/>
      <c r="AC27" s="2369"/>
      <c r="AD27" s="2369"/>
      <c r="AE27" s="2369"/>
      <c r="AF27" s="2369"/>
      <c r="AG27" s="2369"/>
      <c r="AH27" s="2369"/>
      <c r="AI27" s="2369"/>
      <c r="AJ27" s="2369"/>
      <c r="AK27" s="2369"/>
      <c r="AL27" s="2369"/>
      <c r="AM27" s="2369"/>
      <c r="AN27" s="2369"/>
      <c r="AO27" s="2369"/>
      <c r="AP27" s="2369"/>
      <c r="AQ27" s="2369"/>
      <c r="AR27" s="2369"/>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c r="BP27" s="2369"/>
      <c r="BQ27" s="2369"/>
      <c r="BR27" s="2369"/>
      <c r="BS27" s="2369"/>
      <c r="BT27" s="2369"/>
      <c r="BU27" s="2369"/>
      <c r="BV27" s="2369"/>
      <c r="BW27" s="2369"/>
      <c r="BX27" s="2369"/>
      <c r="BY27" s="2369"/>
      <c r="BZ27" s="2369"/>
      <c r="CA27" s="2369"/>
      <c r="CB27" s="2369"/>
      <c r="CC27" s="2369"/>
      <c r="CD27" s="2369"/>
      <c r="CE27" s="2369"/>
      <c r="CF27" s="2369"/>
      <c r="CG27" s="2369"/>
      <c r="CH27" s="2369"/>
      <c r="CI27" s="2369"/>
      <c r="CJ27" s="2369"/>
      <c r="CK27" s="2369"/>
      <c r="CL27" s="2369"/>
      <c r="CM27" s="2369"/>
      <c r="CN27" s="2338" t="s">
        <v>1086</v>
      </c>
      <c r="CO27" s="2332"/>
      <c r="CP27" s="2332"/>
      <c r="CQ27" s="2332"/>
      <c r="CR27" s="2332"/>
      <c r="CS27" s="2332"/>
      <c r="CT27" s="2332"/>
      <c r="CU27" s="2333"/>
      <c r="CV27" s="2342" t="s">
        <v>859</v>
      </c>
      <c r="CW27" s="2332"/>
      <c r="CX27" s="2332"/>
      <c r="CY27" s="2332"/>
      <c r="CZ27" s="2332"/>
      <c r="DA27" s="2332"/>
      <c r="DB27" s="2332"/>
      <c r="DC27" s="2332"/>
      <c r="DD27" s="2332"/>
      <c r="DE27" s="2333"/>
      <c r="DF27" s="2196"/>
      <c r="DG27" s="2196"/>
      <c r="DH27" s="2196"/>
      <c r="DI27" s="2196"/>
      <c r="DJ27" s="2196"/>
      <c r="DK27" s="2196"/>
      <c r="DL27" s="2196"/>
      <c r="DM27" s="2196"/>
      <c r="DN27" s="2196"/>
      <c r="DO27" s="2196"/>
      <c r="DP27" s="2196"/>
      <c r="DQ27" s="2196"/>
      <c r="DR27" s="2196"/>
      <c r="DS27" s="2344">
        <v>1469464.12</v>
      </c>
      <c r="DT27" s="2345"/>
      <c r="DU27" s="2345"/>
      <c r="DV27" s="2345"/>
      <c r="DW27" s="2345"/>
      <c r="DX27" s="2345"/>
      <c r="DY27" s="2345"/>
      <c r="DZ27" s="2345"/>
      <c r="EA27" s="2345"/>
      <c r="EB27" s="2345"/>
      <c r="EC27" s="2345"/>
      <c r="ED27" s="2345"/>
      <c r="EE27" s="2346"/>
      <c r="EF27" s="2344">
        <v>1652525.67</v>
      </c>
      <c r="EG27" s="2345"/>
      <c r="EH27" s="2345"/>
      <c r="EI27" s="2345"/>
      <c r="EJ27" s="2345"/>
      <c r="EK27" s="2345"/>
      <c r="EL27" s="2345"/>
      <c r="EM27" s="2345"/>
      <c r="EN27" s="2345"/>
      <c r="EO27" s="2345"/>
      <c r="EP27" s="2345"/>
      <c r="EQ27" s="2345"/>
      <c r="ER27" s="2346"/>
      <c r="ES27" s="2344">
        <v>1721573.31</v>
      </c>
      <c r="ET27" s="2345"/>
      <c r="EU27" s="2345"/>
      <c r="EV27" s="2345"/>
      <c r="EW27" s="2345"/>
      <c r="EX27" s="2345"/>
      <c r="EY27" s="2345"/>
      <c r="EZ27" s="2345"/>
      <c r="FA27" s="2345"/>
      <c r="FB27" s="2345"/>
      <c r="FC27" s="2345"/>
      <c r="FD27" s="2345"/>
      <c r="FE27" s="2346"/>
      <c r="FF27" s="2344"/>
      <c r="FG27" s="2345"/>
      <c r="FH27" s="2345"/>
      <c r="FI27" s="2345"/>
      <c r="FJ27" s="2345"/>
      <c r="FK27" s="2345"/>
      <c r="FL27" s="2345"/>
      <c r="FM27" s="2345"/>
      <c r="FN27" s="2345"/>
      <c r="FO27" s="2345"/>
      <c r="FP27" s="2345"/>
      <c r="FQ27" s="2345"/>
      <c r="FR27" s="2370"/>
    </row>
    <row r="28" spans="1:174" ht="24" customHeight="1" x14ac:dyDescent="0.2">
      <c r="A28" s="2293" t="s">
        <v>1080</v>
      </c>
      <c r="B28" s="2293"/>
      <c r="C28" s="2293"/>
      <c r="D28" s="2293"/>
      <c r="E28" s="2293"/>
      <c r="F28" s="2293"/>
      <c r="G28" s="2293"/>
      <c r="H28" s="2294"/>
      <c r="I28" s="2366" t="s">
        <v>1062</v>
      </c>
      <c r="J28" s="2367"/>
      <c r="K28" s="2367"/>
      <c r="L28" s="2367"/>
      <c r="M28" s="2367"/>
      <c r="N28" s="2367"/>
      <c r="O28" s="2367"/>
      <c r="P28" s="2367"/>
      <c r="Q28" s="2367"/>
      <c r="R28" s="2367"/>
      <c r="S28" s="2367"/>
      <c r="T28" s="2367"/>
      <c r="U28" s="2367"/>
      <c r="V28" s="2367"/>
      <c r="W28" s="2367"/>
      <c r="X28" s="2367"/>
      <c r="Y28" s="2367"/>
      <c r="Z28" s="2367"/>
      <c r="AA28" s="2367"/>
      <c r="AB28" s="2367"/>
      <c r="AC28" s="2367"/>
      <c r="AD28" s="2367"/>
      <c r="AE28" s="2367"/>
      <c r="AF28" s="2367"/>
      <c r="AG28" s="2367"/>
      <c r="AH28" s="2367"/>
      <c r="AI28" s="2367"/>
      <c r="AJ28" s="2367"/>
      <c r="AK28" s="2367"/>
      <c r="AL28" s="2367"/>
      <c r="AM28" s="2367"/>
      <c r="AN28" s="2367"/>
      <c r="AO28" s="2367"/>
      <c r="AP28" s="2367"/>
      <c r="AQ28" s="2367"/>
      <c r="AR28" s="2367"/>
      <c r="AS28" s="2367"/>
      <c r="AT28" s="2367"/>
      <c r="AU28" s="2367"/>
      <c r="AV28" s="2367"/>
      <c r="AW28" s="2367"/>
      <c r="AX28" s="2367"/>
      <c r="AY28" s="2367"/>
      <c r="AZ28" s="2367"/>
      <c r="BA28" s="2367"/>
      <c r="BB28" s="2367"/>
      <c r="BC28" s="2367"/>
      <c r="BD28" s="2367"/>
      <c r="BE28" s="2367"/>
      <c r="BF28" s="2367"/>
      <c r="BG28" s="2367"/>
      <c r="BH28" s="2367"/>
      <c r="BI28" s="2367"/>
      <c r="BJ28" s="2367"/>
      <c r="BK28" s="2367"/>
      <c r="BL28" s="2367"/>
      <c r="BM28" s="2367"/>
      <c r="BN28" s="2367"/>
      <c r="BO28" s="2367"/>
      <c r="BP28" s="2367"/>
      <c r="BQ28" s="2367"/>
      <c r="BR28" s="2367"/>
      <c r="BS28" s="2367"/>
      <c r="BT28" s="2367"/>
      <c r="BU28" s="2367"/>
      <c r="BV28" s="2367"/>
      <c r="BW28" s="2367"/>
      <c r="BX28" s="2367"/>
      <c r="BY28" s="2367"/>
      <c r="BZ28" s="2367"/>
      <c r="CA28" s="2367"/>
      <c r="CB28" s="2367"/>
      <c r="CC28" s="2367"/>
      <c r="CD28" s="2367"/>
      <c r="CE28" s="2367"/>
      <c r="CF28" s="2367"/>
      <c r="CG28" s="2367"/>
      <c r="CH28" s="2367"/>
      <c r="CI28" s="2367"/>
      <c r="CJ28" s="2367"/>
      <c r="CK28" s="2367"/>
      <c r="CL28" s="2367"/>
      <c r="CM28" s="2367"/>
      <c r="CN28" s="2297" t="s">
        <v>1087</v>
      </c>
      <c r="CO28" s="2293"/>
      <c r="CP28" s="2293"/>
      <c r="CQ28" s="2293"/>
      <c r="CR28" s="2293"/>
      <c r="CS28" s="2293"/>
      <c r="CT28" s="2293"/>
      <c r="CU28" s="2294"/>
      <c r="CV28" s="2292" t="s">
        <v>859</v>
      </c>
      <c r="CW28" s="2293"/>
      <c r="CX28" s="2293"/>
      <c r="CY28" s="2293"/>
      <c r="CZ28" s="2293"/>
      <c r="DA28" s="2293"/>
      <c r="DB28" s="2293"/>
      <c r="DC28" s="2293"/>
      <c r="DD28" s="2293"/>
      <c r="DE28" s="2294"/>
      <c r="DF28" s="2199"/>
      <c r="DG28" s="2199"/>
      <c r="DH28" s="2199"/>
      <c r="DI28" s="2199"/>
      <c r="DJ28" s="2199"/>
      <c r="DK28" s="2199"/>
      <c r="DL28" s="2199"/>
      <c r="DM28" s="2199"/>
      <c r="DN28" s="2199"/>
      <c r="DO28" s="2199"/>
      <c r="DP28" s="2199"/>
      <c r="DQ28" s="2199"/>
      <c r="DR28" s="2199"/>
      <c r="DS28" s="2354">
        <f>DS27</f>
        <v>1469464.12</v>
      </c>
      <c r="DT28" s="2355"/>
      <c r="DU28" s="2355"/>
      <c r="DV28" s="2355"/>
      <c r="DW28" s="2355"/>
      <c r="DX28" s="2355"/>
      <c r="DY28" s="2355"/>
      <c r="DZ28" s="2355"/>
      <c r="EA28" s="2355"/>
      <c r="EB28" s="2355"/>
      <c r="EC28" s="2355"/>
      <c r="ED28" s="2355"/>
      <c r="EE28" s="2365"/>
      <c r="EF28" s="2354">
        <f>EF27</f>
        <v>1652525.67</v>
      </c>
      <c r="EG28" s="2355"/>
      <c r="EH28" s="2355"/>
      <c r="EI28" s="2355"/>
      <c r="EJ28" s="2355"/>
      <c r="EK28" s="2355"/>
      <c r="EL28" s="2355"/>
      <c r="EM28" s="2355"/>
      <c r="EN28" s="2355"/>
      <c r="EO28" s="2355"/>
      <c r="EP28" s="2355"/>
      <c r="EQ28" s="2355"/>
      <c r="ER28" s="2365"/>
      <c r="ES28" s="2354">
        <f>ES27</f>
        <v>1721573.31</v>
      </c>
      <c r="ET28" s="2355"/>
      <c r="EU28" s="2355"/>
      <c r="EV28" s="2355"/>
      <c r="EW28" s="2355"/>
      <c r="EX28" s="2355"/>
      <c r="EY28" s="2355"/>
      <c r="EZ28" s="2355"/>
      <c r="FA28" s="2355"/>
      <c r="FB28" s="2355"/>
      <c r="FC28" s="2355"/>
      <c r="FD28" s="2355"/>
      <c r="FE28" s="2365"/>
      <c r="FF28" s="2354"/>
      <c r="FG28" s="2355"/>
      <c r="FH28" s="2355"/>
      <c r="FI28" s="2355"/>
      <c r="FJ28" s="2355"/>
      <c r="FK28" s="2355"/>
      <c r="FL28" s="2355"/>
      <c r="FM28" s="2355"/>
      <c r="FN28" s="2355"/>
      <c r="FO28" s="2355"/>
      <c r="FP28" s="2355"/>
      <c r="FQ28" s="2355"/>
      <c r="FR28" s="2356"/>
    </row>
    <row r="29" spans="1:174" s="2195" customFormat="1" ht="12.75" customHeight="1" x14ac:dyDescent="0.2">
      <c r="A29" s="2199"/>
      <c r="B29" s="2199"/>
      <c r="C29" s="2199"/>
      <c r="D29" s="2199"/>
      <c r="E29" s="2199"/>
      <c r="F29" s="2199"/>
      <c r="G29" s="2199"/>
      <c r="H29" s="2200"/>
      <c r="I29" s="2295" t="s">
        <v>1755</v>
      </c>
      <c r="J29" s="2296"/>
      <c r="K29" s="2296"/>
      <c r="L29" s="2296"/>
      <c r="M29" s="2296"/>
      <c r="N29" s="2296"/>
      <c r="O29" s="2296"/>
      <c r="P29" s="2296"/>
      <c r="Q29" s="2296"/>
      <c r="R29" s="2296"/>
      <c r="S29" s="2296"/>
      <c r="T29" s="2296"/>
      <c r="U29" s="2296"/>
      <c r="V29" s="2296"/>
      <c r="W29" s="2296"/>
      <c r="X29" s="2296"/>
      <c r="Y29" s="2296"/>
      <c r="Z29" s="2296"/>
      <c r="AA29" s="2296"/>
      <c r="AB29" s="2296"/>
      <c r="AC29" s="2296"/>
      <c r="AD29" s="2296"/>
      <c r="AE29" s="2296"/>
      <c r="AF29" s="2296"/>
      <c r="AG29" s="2296"/>
      <c r="AH29" s="2296"/>
      <c r="AI29" s="2296"/>
      <c r="AJ29" s="2296"/>
      <c r="AK29" s="2296"/>
      <c r="AL29" s="2296"/>
      <c r="AM29" s="2296"/>
      <c r="AN29" s="2296"/>
      <c r="AO29" s="2296"/>
      <c r="AP29" s="2296"/>
      <c r="AQ29" s="2296"/>
      <c r="AR29" s="2296"/>
      <c r="AS29" s="2296"/>
      <c r="AT29" s="2296"/>
      <c r="AU29" s="2296"/>
      <c r="AV29" s="2296"/>
      <c r="AW29" s="2296"/>
      <c r="AX29" s="2296"/>
      <c r="AY29" s="2296"/>
      <c r="AZ29" s="2296"/>
      <c r="BA29" s="2296"/>
      <c r="BB29" s="2296"/>
      <c r="BC29" s="2296"/>
      <c r="BD29" s="2296"/>
      <c r="BE29" s="2296"/>
      <c r="BF29" s="2296"/>
      <c r="BG29" s="2296"/>
      <c r="BH29" s="2296"/>
      <c r="BI29" s="2296"/>
      <c r="BJ29" s="2296"/>
      <c r="BK29" s="2296"/>
      <c r="BL29" s="2296"/>
      <c r="BM29" s="2296"/>
      <c r="BN29" s="2296"/>
      <c r="BO29" s="2296"/>
      <c r="BP29" s="2296"/>
      <c r="BQ29" s="2296"/>
      <c r="BR29" s="2296"/>
      <c r="BS29" s="2296"/>
      <c r="BT29" s="2296"/>
      <c r="BU29" s="2296"/>
      <c r="BV29" s="2296"/>
      <c r="BW29" s="2296"/>
      <c r="BX29" s="2296"/>
      <c r="BY29" s="2296"/>
      <c r="BZ29" s="2296"/>
      <c r="CA29" s="2296"/>
      <c r="CB29" s="2296"/>
      <c r="CC29" s="2296"/>
      <c r="CD29" s="2296"/>
      <c r="CE29" s="2296"/>
      <c r="CF29" s="2296"/>
      <c r="CG29" s="2296"/>
      <c r="CH29" s="2296"/>
      <c r="CI29" s="2296"/>
      <c r="CJ29" s="2296"/>
      <c r="CK29" s="2296"/>
      <c r="CL29" s="2296"/>
      <c r="CM29" s="2296"/>
      <c r="CN29" s="2357" t="s">
        <v>1756</v>
      </c>
      <c r="CO29" s="2334"/>
      <c r="CP29" s="2334"/>
      <c r="CQ29" s="2334"/>
      <c r="CR29" s="2334"/>
      <c r="CS29" s="2334"/>
      <c r="CT29" s="2334"/>
      <c r="CU29" s="2335"/>
      <c r="CV29" s="2358" t="s">
        <v>859</v>
      </c>
      <c r="CW29" s="2334"/>
      <c r="CX29" s="2334"/>
      <c r="CY29" s="2334"/>
      <c r="CZ29" s="2334"/>
      <c r="DA29" s="2334"/>
      <c r="DB29" s="2334"/>
      <c r="DC29" s="2334"/>
      <c r="DD29" s="2334"/>
      <c r="DE29" s="2335"/>
      <c r="DF29" s="2197"/>
      <c r="DG29" s="2197"/>
      <c r="DH29" s="2197"/>
      <c r="DI29" s="2197"/>
      <c r="DJ29" s="2197"/>
      <c r="DK29" s="2197"/>
      <c r="DL29" s="2197"/>
      <c r="DM29" s="2197"/>
      <c r="DN29" s="2197"/>
      <c r="DO29" s="2197"/>
      <c r="DP29" s="2197"/>
      <c r="DQ29" s="2197"/>
      <c r="DR29" s="2197"/>
      <c r="DS29" s="2205"/>
      <c r="DT29" s="2206"/>
      <c r="DU29" s="2206"/>
      <c r="DV29" s="2206"/>
      <c r="DW29" s="2206"/>
      <c r="DX29" s="2206"/>
      <c r="DY29" s="2206"/>
      <c r="DZ29" s="2206"/>
      <c r="EA29" s="2206"/>
      <c r="EB29" s="2206"/>
      <c r="EC29" s="2206"/>
      <c r="ED29" s="2206"/>
      <c r="EE29" s="2207"/>
      <c r="EF29" s="2205"/>
      <c r="EG29" s="2206"/>
      <c r="EH29" s="2206"/>
      <c r="EI29" s="2206"/>
      <c r="EJ29" s="2206"/>
      <c r="EK29" s="2206"/>
      <c r="EL29" s="2206"/>
      <c r="EM29" s="2206"/>
      <c r="EN29" s="2206"/>
      <c r="EO29" s="2206"/>
      <c r="EP29" s="2206"/>
      <c r="EQ29" s="2206"/>
      <c r="ER29" s="2207"/>
      <c r="ES29" s="2205"/>
      <c r="ET29" s="2206"/>
      <c r="EU29" s="2206"/>
      <c r="EV29" s="2206"/>
      <c r="EW29" s="2206"/>
      <c r="EX29" s="2206"/>
      <c r="EY29" s="2206"/>
      <c r="EZ29" s="2206"/>
      <c r="FA29" s="2206"/>
      <c r="FB29" s="2206"/>
      <c r="FC29" s="2206"/>
      <c r="FD29" s="2206"/>
      <c r="FE29" s="2207"/>
      <c r="FF29" s="2205"/>
      <c r="FG29" s="2206"/>
      <c r="FH29" s="2206"/>
      <c r="FI29" s="2206"/>
      <c r="FJ29" s="2206"/>
      <c r="FK29" s="2206"/>
      <c r="FL29" s="2206"/>
      <c r="FM29" s="2206"/>
      <c r="FN29" s="2206"/>
      <c r="FO29" s="2206"/>
      <c r="FP29" s="2206"/>
      <c r="FQ29" s="2206"/>
      <c r="FR29" s="2213"/>
    </row>
    <row r="30" spans="1:174" ht="11.25" customHeight="1" x14ac:dyDescent="0.2">
      <c r="A30" s="2293" t="s">
        <v>1082</v>
      </c>
      <c r="B30" s="2293"/>
      <c r="C30" s="2293"/>
      <c r="D30" s="2293"/>
      <c r="E30" s="2293"/>
      <c r="F30" s="2293"/>
      <c r="G30" s="2293"/>
      <c r="H30" s="2294"/>
      <c r="I30" s="2366" t="s">
        <v>1088</v>
      </c>
      <c r="J30" s="2367"/>
      <c r="K30" s="2367"/>
      <c r="L30" s="2367"/>
      <c r="M30" s="2367"/>
      <c r="N30" s="2367"/>
      <c r="O30" s="2367"/>
      <c r="P30" s="2367"/>
      <c r="Q30" s="2367"/>
      <c r="R30" s="2367"/>
      <c r="S30" s="2367"/>
      <c r="T30" s="2367"/>
      <c r="U30" s="2367"/>
      <c r="V30" s="2367"/>
      <c r="W30" s="2367"/>
      <c r="X30" s="2367"/>
      <c r="Y30" s="2367"/>
      <c r="Z30" s="2367"/>
      <c r="AA30" s="2367"/>
      <c r="AB30" s="2367"/>
      <c r="AC30" s="2367"/>
      <c r="AD30" s="2367"/>
      <c r="AE30" s="2367"/>
      <c r="AF30" s="2367"/>
      <c r="AG30" s="2367"/>
      <c r="AH30" s="2367"/>
      <c r="AI30" s="2367"/>
      <c r="AJ30" s="2367"/>
      <c r="AK30" s="2367"/>
      <c r="AL30" s="2367"/>
      <c r="AM30" s="2367"/>
      <c r="AN30" s="2367"/>
      <c r="AO30" s="2367"/>
      <c r="AP30" s="2367"/>
      <c r="AQ30" s="2367"/>
      <c r="AR30" s="2367"/>
      <c r="AS30" s="2367"/>
      <c r="AT30" s="2367"/>
      <c r="AU30" s="2367"/>
      <c r="AV30" s="2367"/>
      <c r="AW30" s="2367"/>
      <c r="AX30" s="2367"/>
      <c r="AY30" s="2367"/>
      <c r="AZ30" s="2367"/>
      <c r="BA30" s="2367"/>
      <c r="BB30" s="2367"/>
      <c r="BC30" s="2367"/>
      <c r="BD30" s="2367"/>
      <c r="BE30" s="2367"/>
      <c r="BF30" s="2367"/>
      <c r="BG30" s="2367"/>
      <c r="BH30" s="2367"/>
      <c r="BI30" s="2367"/>
      <c r="BJ30" s="2367"/>
      <c r="BK30" s="2367"/>
      <c r="BL30" s="2367"/>
      <c r="BM30" s="2367"/>
      <c r="BN30" s="2367"/>
      <c r="BO30" s="2367"/>
      <c r="BP30" s="2367"/>
      <c r="BQ30" s="2367"/>
      <c r="BR30" s="2367"/>
      <c r="BS30" s="2367"/>
      <c r="BT30" s="2367"/>
      <c r="BU30" s="2367"/>
      <c r="BV30" s="2367"/>
      <c r="BW30" s="2367"/>
      <c r="BX30" s="2367"/>
      <c r="BY30" s="2367"/>
      <c r="BZ30" s="2367"/>
      <c r="CA30" s="2367"/>
      <c r="CB30" s="2367"/>
      <c r="CC30" s="2367"/>
      <c r="CD30" s="2367"/>
      <c r="CE30" s="2367"/>
      <c r="CF30" s="2367"/>
      <c r="CG30" s="2367"/>
      <c r="CH30" s="2367"/>
      <c r="CI30" s="2367"/>
      <c r="CJ30" s="2367"/>
      <c r="CK30" s="2367"/>
      <c r="CL30" s="2367"/>
      <c r="CM30" s="2367"/>
      <c r="CN30" s="2297" t="s">
        <v>1089</v>
      </c>
      <c r="CO30" s="2293"/>
      <c r="CP30" s="2293"/>
      <c r="CQ30" s="2293"/>
      <c r="CR30" s="2293"/>
      <c r="CS30" s="2293"/>
      <c r="CT30" s="2293"/>
      <c r="CU30" s="2294"/>
      <c r="CV30" s="2292" t="s">
        <v>859</v>
      </c>
      <c r="CW30" s="2293"/>
      <c r="CX30" s="2293"/>
      <c r="CY30" s="2293"/>
      <c r="CZ30" s="2293"/>
      <c r="DA30" s="2293"/>
      <c r="DB30" s="2293"/>
      <c r="DC30" s="2293"/>
      <c r="DD30" s="2293"/>
      <c r="DE30" s="2294"/>
      <c r="DF30" s="2199"/>
      <c r="DG30" s="2199"/>
      <c r="DH30" s="2199"/>
      <c r="DI30" s="2199"/>
      <c r="DJ30" s="2199"/>
      <c r="DK30" s="2199"/>
      <c r="DL30" s="2199"/>
      <c r="DM30" s="2199"/>
      <c r="DN30" s="2199"/>
      <c r="DO30" s="2199"/>
      <c r="DP30" s="2199"/>
      <c r="DQ30" s="2199"/>
      <c r="DR30" s="2199"/>
      <c r="DS30" s="2354"/>
      <c r="DT30" s="2355"/>
      <c r="DU30" s="2355"/>
      <c r="DV30" s="2355"/>
      <c r="DW30" s="2355"/>
      <c r="DX30" s="2355"/>
      <c r="DY30" s="2355"/>
      <c r="DZ30" s="2355"/>
      <c r="EA30" s="2355"/>
      <c r="EB30" s="2355"/>
      <c r="EC30" s="2355"/>
      <c r="ED30" s="2355"/>
      <c r="EE30" s="2365"/>
      <c r="EF30" s="2354"/>
      <c r="EG30" s="2355"/>
      <c r="EH30" s="2355"/>
      <c r="EI30" s="2355"/>
      <c r="EJ30" s="2355"/>
      <c r="EK30" s="2355"/>
      <c r="EL30" s="2355"/>
      <c r="EM30" s="2355"/>
      <c r="EN30" s="2355"/>
      <c r="EO30" s="2355"/>
      <c r="EP30" s="2355"/>
      <c r="EQ30" s="2355"/>
      <c r="ER30" s="2365"/>
      <c r="ES30" s="2354"/>
      <c r="ET30" s="2355"/>
      <c r="EU30" s="2355"/>
      <c r="EV30" s="2355"/>
      <c r="EW30" s="2355"/>
      <c r="EX30" s="2355"/>
      <c r="EY30" s="2355"/>
      <c r="EZ30" s="2355"/>
      <c r="FA30" s="2355"/>
      <c r="FB30" s="2355"/>
      <c r="FC30" s="2355"/>
      <c r="FD30" s="2355"/>
      <c r="FE30" s="2365"/>
      <c r="FF30" s="2354"/>
      <c r="FG30" s="2355"/>
      <c r="FH30" s="2355"/>
      <c r="FI30" s="2355"/>
      <c r="FJ30" s="2355"/>
      <c r="FK30" s="2355"/>
      <c r="FL30" s="2355"/>
      <c r="FM30" s="2355"/>
      <c r="FN30" s="2355"/>
      <c r="FO30" s="2355"/>
      <c r="FP30" s="2355"/>
      <c r="FQ30" s="2355"/>
      <c r="FR30" s="2356"/>
    </row>
    <row r="31" spans="1:174" ht="24" customHeight="1" x14ac:dyDescent="0.2">
      <c r="A31" s="2293" t="s">
        <v>1042</v>
      </c>
      <c r="B31" s="2293"/>
      <c r="C31" s="2293"/>
      <c r="D31" s="2293"/>
      <c r="E31" s="2293"/>
      <c r="F31" s="2293"/>
      <c r="G31" s="2293"/>
      <c r="H31" s="2294"/>
      <c r="I31" s="2298" t="s">
        <v>1090</v>
      </c>
      <c r="J31" s="2350"/>
      <c r="K31" s="2350"/>
      <c r="L31" s="2350"/>
      <c r="M31" s="2350"/>
      <c r="N31" s="2350"/>
      <c r="O31" s="2350"/>
      <c r="P31" s="2350"/>
      <c r="Q31" s="2350"/>
      <c r="R31" s="2350"/>
      <c r="S31" s="2350"/>
      <c r="T31" s="2350"/>
      <c r="U31" s="2350"/>
      <c r="V31" s="2350"/>
      <c r="W31" s="2350"/>
      <c r="X31" s="2350"/>
      <c r="Y31" s="2350"/>
      <c r="Z31" s="2350"/>
      <c r="AA31" s="2350"/>
      <c r="AB31" s="2350"/>
      <c r="AC31" s="2350"/>
      <c r="AD31" s="2350"/>
      <c r="AE31" s="2350"/>
      <c r="AF31" s="2350"/>
      <c r="AG31" s="2350"/>
      <c r="AH31" s="2350"/>
      <c r="AI31" s="2350"/>
      <c r="AJ31" s="2350"/>
      <c r="AK31" s="2350"/>
      <c r="AL31" s="2350"/>
      <c r="AM31" s="2350"/>
      <c r="AN31" s="2350"/>
      <c r="AO31" s="2350"/>
      <c r="AP31" s="2350"/>
      <c r="AQ31" s="2350"/>
      <c r="AR31" s="2350"/>
      <c r="AS31" s="2350"/>
      <c r="AT31" s="2350"/>
      <c r="AU31" s="2350"/>
      <c r="AV31" s="2350"/>
      <c r="AW31" s="2350"/>
      <c r="AX31" s="2350"/>
      <c r="AY31" s="2350"/>
      <c r="AZ31" s="2350"/>
      <c r="BA31" s="2350"/>
      <c r="BB31" s="2350"/>
      <c r="BC31" s="2350"/>
      <c r="BD31" s="2350"/>
      <c r="BE31" s="2350"/>
      <c r="BF31" s="2350"/>
      <c r="BG31" s="2350"/>
      <c r="BH31" s="2350"/>
      <c r="BI31" s="2350"/>
      <c r="BJ31" s="2350"/>
      <c r="BK31" s="2350"/>
      <c r="BL31" s="2350"/>
      <c r="BM31" s="2350"/>
      <c r="BN31" s="2350"/>
      <c r="BO31" s="2350"/>
      <c r="BP31" s="2350"/>
      <c r="BQ31" s="2350"/>
      <c r="BR31" s="2350"/>
      <c r="BS31" s="2350"/>
      <c r="BT31" s="2350"/>
      <c r="BU31" s="2350"/>
      <c r="BV31" s="2350"/>
      <c r="BW31" s="2350"/>
      <c r="BX31" s="2350"/>
      <c r="BY31" s="2350"/>
      <c r="BZ31" s="2350"/>
      <c r="CA31" s="2350"/>
      <c r="CB31" s="2350"/>
      <c r="CC31" s="2350"/>
      <c r="CD31" s="2350"/>
      <c r="CE31" s="2350"/>
      <c r="CF31" s="2350"/>
      <c r="CG31" s="2350"/>
      <c r="CH31" s="2350"/>
      <c r="CI31" s="2350"/>
      <c r="CJ31" s="2350"/>
      <c r="CK31" s="2350"/>
      <c r="CL31" s="2350"/>
      <c r="CM31" s="2350"/>
      <c r="CN31" s="2297" t="s">
        <v>1091</v>
      </c>
      <c r="CO31" s="2293"/>
      <c r="CP31" s="2293"/>
      <c r="CQ31" s="2293"/>
      <c r="CR31" s="2293"/>
      <c r="CS31" s="2293"/>
      <c r="CT31" s="2293"/>
      <c r="CU31" s="2294"/>
      <c r="CV31" s="2292" t="s">
        <v>859</v>
      </c>
      <c r="CW31" s="2293"/>
      <c r="CX31" s="2293"/>
      <c r="CY31" s="2293"/>
      <c r="CZ31" s="2293"/>
      <c r="DA31" s="2293"/>
      <c r="DB31" s="2293"/>
      <c r="DC31" s="2293"/>
      <c r="DD31" s="2293"/>
      <c r="DE31" s="2294"/>
      <c r="DF31" s="2199"/>
      <c r="DG31" s="2199"/>
      <c r="DH31" s="2199"/>
      <c r="DI31" s="2199"/>
      <c r="DJ31" s="2199"/>
      <c r="DK31" s="2199"/>
      <c r="DL31" s="2199"/>
      <c r="DM31" s="2199"/>
      <c r="DN31" s="2199"/>
      <c r="DO31" s="2199"/>
      <c r="DP31" s="2199"/>
      <c r="DQ31" s="2199"/>
      <c r="DR31" s="2199"/>
      <c r="DS31" s="2351">
        <f>DS14+17200+145000+77000+150000+560000+170000</f>
        <v>6555731.21</v>
      </c>
      <c r="DT31" s="2352"/>
      <c r="DU31" s="2352"/>
      <c r="DV31" s="2352"/>
      <c r="DW31" s="2352"/>
      <c r="DX31" s="2352"/>
      <c r="DY31" s="2352"/>
      <c r="DZ31" s="2352"/>
      <c r="EA31" s="2352"/>
      <c r="EB31" s="2352"/>
      <c r="EC31" s="2352"/>
      <c r="ED31" s="2352"/>
      <c r="EE31" s="2353"/>
      <c r="EF31" s="2351">
        <f>EF14+17200+145000+77000+150000+560000+170000</f>
        <v>6742325.6699999999</v>
      </c>
      <c r="EG31" s="2352"/>
      <c r="EH31" s="2352"/>
      <c r="EI31" s="2352"/>
      <c r="EJ31" s="2352"/>
      <c r="EK31" s="2352"/>
      <c r="EL31" s="2352"/>
      <c r="EM31" s="2352"/>
      <c r="EN31" s="2352"/>
      <c r="EO31" s="2352"/>
      <c r="EP31" s="2352"/>
      <c r="EQ31" s="2352"/>
      <c r="ER31" s="2353"/>
      <c r="ES31" s="2351">
        <f>ES14+17200+145000+77000+150000+560000+170000</f>
        <v>6852973.3099999996</v>
      </c>
      <c r="ET31" s="2352"/>
      <c r="EU31" s="2352"/>
      <c r="EV31" s="2352"/>
      <c r="EW31" s="2352"/>
      <c r="EX31" s="2352"/>
      <c r="EY31" s="2352"/>
      <c r="EZ31" s="2352"/>
      <c r="FA31" s="2352"/>
      <c r="FB31" s="2352"/>
      <c r="FC31" s="2352"/>
      <c r="FD31" s="2352"/>
      <c r="FE31" s="2353"/>
      <c r="FF31" s="2354"/>
      <c r="FG31" s="2355"/>
      <c r="FH31" s="2355"/>
      <c r="FI31" s="2355"/>
      <c r="FJ31" s="2355"/>
      <c r="FK31" s="2355"/>
      <c r="FL31" s="2355"/>
      <c r="FM31" s="2355"/>
      <c r="FN31" s="2355"/>
      <c r="FO31" s="2355"/>
      <c r="FP31" s="2355"/>
      <c r="FQ31" s="2355"/>
      <c r="FR31" s="2356"/>
    </row>
    <row r="32" spans="1:174" ht="11.25" customHeight="1" x14ac:dyDescent="0.2">
      <c r="A32" s="2332"/>
      <c r="B32" s="2332"/>
      <c r="C32" s="2332"/>
      <c r="D32" s="2332"/>
      <c r="E32" s="2332"/>
      <c r="F32" s="2332"/>
      <c r="G32" s="2332"/>
      <c r="H32" s="2333"/>
      <c r="I32" s="2336" t="s">
        <v>1092</v>
      </c>
      <c r="J32" s="2337"/>
      <c r="K32" s="2337"/>
      <c r="L32" s="2337"/>
      <c r="M32" s="2337"/>
      <c r="N32" s="2337"/>
      <c r="O32" s="2337"/>
      <c r="P32" s="2337"/>
      <c r="Q32" s="2337"/>
      <c r="R32" s="2337"/>
      <c r="S32" s="2337"/>
      <c r="T32" s="2337"/>
      <c r="U32" s="2337"/>
      <c r="V32" s="2337"/>
      <c r="W32" s="2337"/>
      <c r="X32" s="2337"/>
      <c r="Y32" s="2337"/>
      <c r="Z32" s="2337"/>
      <c r="AA32" s="2337"/>
      <c r="AB32" s="2337"/>
      <c r="AC32" s="2337"/>
      <c r="AD32" s="2337"/>
      <c r="AE32" s="2337"/>
      <c r="AF32" s="2337"/>
      <c r="AG32" s="2337"/>
      <c r="AH32" s="2337"/>
      <c r="AI32" s="2337"/>
      <c r="AJ32" s="2337"/>
      <c r="AK32" s="2337"/>
      <c r="AL32" s="2337"/>
      <c r="AM32" s="2337"/>
      <c r="AN32" s="2337"/>
      <c r="AO32" s="2337"/>
      <c r="AP32" s="2337"/>
      <c r="AQ32" s="2337"/>
      <c r="AR32" s="2337"/>
      <c r="AS32" s="2337"/>
      <c r="AT32" s="2337"/>
      <c r="AU32" s="2337"/>
      <c r="AV32" s="2337"/>
      <c r="AW32" s="2337"/>
      <c r="AX32" s="2337"/>
      <c r="AY32" s="2337"/>
      <c r="AZ32" s="2337"/>
      <c r="BA32" s="2337"/>
      <c r="BB32" s="2337"/>
      <c r="BC32" s="2337"/>
      <c r="BD32" s="2337"/>
      <c r="BE32" s="2337"/>
      <c r="BF32" s="2337"/>
      <c r="BG32" s="2337"/>
      <c r="BH32" s="2337"/>
      <c r="BI32" s="2337"/>
      <c r="BJ32" s="2337"/>
      <c r="BK32" s="2337"/>
      <c r="BL32" s="2337"/>
      <c r="BM32" s="2337"/>
      <c r="BN32" s="2337"/>
      <c r="BO32" s="2337"/>
      <c r="BP32" s="2337"/>
      <c r="BQ32" s="2337"/>
      <c r="BR32" s="2337"/>
      <c r="BS32" s="2337"/>
      <c r="BT32" s="2337"/>
      <c r="BU32" s="2337"/>
      <c r="BV32" s="2337"/>
      <c r="BW32" s="2337"/>
      <c r="BX32" s="2337"/>
      <c r="BY32" s="2337"/>
      <c r="BZ32" s="2337"/>
      <c r="CA32" s="2337"/>
      <c r="CB32" s="2337"/>
      <c r="CC32" s="2337"/>
      <c r="CD32" s="2337"/>
      <c r="CE32" s="2337"/>
      <c r="CF32" s="2337"/>
      <c r="CG32" s="2337"/>
      <c r="CH32" s="2337"/>
      <c r="CI32" s="2337"/>
      <c r="CJ32" s="2337"/>
      <c r="CK32" s="2337"/>
      <c r="CL32" s="2337"/>
      <c r="CM32" s="2337"/>
      <c r="CN32" s="2338" t="s">
        <v>1093</v>
      </c>
      <c r="CO32" s="2332"/>
      <c r="CP32" s="2332"/>
      <c r="CQ32" s="2332"/>
      <c r="CR32" s="2332"/>
      <c r="CS32" s="2332"/>
      <c r="CT32" s="2332"/>
      <c r="CU32" s="2333"/>
      <c r="CV32" s="2342"/>
      <c r="CW32" s="2332"/>
      <c r="CX32" s="2332"/>
      <c r="CY32" s="2332"/>
      <c r="CZ32" s="2332"/>
      <c r="DA32" s="2332"/>
      <c r="DB32" s="2332"/>
      <c r="DC32" s="2332"/>
      <c r="DD32" s="2332"/>
      <c r="DE32" s="2333"/>
      <c r="DF32" s="2196"/>
      <c r="DG32" s="2196"/>
      <c r="DH32" s="2196"/>
      <c r="DI32" s="2196"/>
      <c r="DJ32" s="2196"/>
      <c r="DK32" s="2196"/>
      <c r="DL32" s="2196"/>
      <c r="DM32" s="2196"/>
      <c r="DN32" s="2196"/>
      <c r="DO32" s="2196"/>
      <c r="DP32" s="2196"/>
      <c r="DQ32" s="2196"/>
      <c r="DR32" s="2196"/>
      <c r="DS32" s="2344">
        <f t="shared" ref="DS32" si="0">$DS$31</f>
        <v>6555731.21</v>
      </c>
      <c r="DT32" s="2345"/>
      <c r="DU32" s="2345"/>
      <c r="DV32" s="2345"/>
      <c r="DW32" s="2345"/>
      <c r="DX32" s="2345"/>
      <c r="DY32" s="2345"/>
      <c r="DZ32" s="2345"/>
      <c r="EA32" s="2345"/>
      <c r="EB32" s="2345"/>
      <c r="EC32" s="2345"/>
      <c r="ED32" s="2345"/>
      <c r="EE32" s="2346"/>
      <c r="EF32" s="2344">
        <f t="shared" ref="EF32" si="1">$EF$31</f>
        <v>6742325.6699999999</v>
      </c>
      <c r="EG32" s="2345"/>
      <c r="EH32" s="2345"/>
      <c r="EI32" s="2345"/>
      <c r="EJ32" s="2345"/>
      <c r="EK32" s="2345"/>
      <c r="EL32" s="2345"/>
      <c r="EM32" s="2345"/>
      <c r="EN32" s="2345"/>
      <c r="EO32" s="2345"/>
      <c r="EP32" s="2345"/>
      <c r="EQ32" s="2345"/>
      <c r="ER32" s="2346"/>
      <c r="ES32" s="2344">
        <f t="shared" ref="ES32" si="2">$ES$31</f>
        <v>6852973.3099999996</v>
      </c>
      <c r="ET32" s="2345"/>
      <c r="EU32" s="2345"/>
      <c r="EV32" s="2345"/>
      <c r="EW32" s="2345"/>
      <c r="EX32" s="2345"/>
      <c r="EY32" s="2345"/>
      <c r="EZ32" s="2345"/>
      <c r="FA32" s="2345"/>
      <c r="FB32" s="2345"/>
      <c r="FC32" s="2345"/>
      <c r="FD32" s="2345"/>
      <c r="FE32" s="2346"/>
      <c r="FF32" s="2321"/>
      <c r="FG32" s="2322"/>
      <c r="FH32" s="2322"/>
      <c r="FI32" s="2322"/>
      <c r="FJ32" s="2322"/>
      <c r="FK32" s="2322"/>
      <c r="FL32" s="2322"/>
      <c r="FM32" s="2322"/>
      <c r="FN32" s="2322"/>
      <c r="FO32" s="2322"/>
      <c r="FP32" s="2322"/>
      <c r="FQ32" s="2322"/>
      <c r="FR32" s="2323"/>
    </row>
    <row r="33" spans="1:174" x14ac:dyDescent="0.2">
      <c r="A33" s="2334"/>
      <c r="B33" s="2334"/>
      <c r="C33" s="2334"/>
      <c r="D33" s="2334"/>
      <c r="E33" s="2334"/>
      <c r="F33" s="2334"/>
      <c r="G33" s="2334"/>
      <c r="H33" s="2335"/>
      <c r="I33" s="2327"/>
      <c r="J33" s="2328"/>
      <c r="K33" s="2328"/>
      <c r="L33" s="2328"/>
      <c r="M33" s="2328"/>
      <c r="N33" s="2328"/>
      <c r="O33" s="2328"/>
      <c r="P33" s="2328"/>
      <c r="Q33" s="2328"/>
      <c r="R33" s="2328"/>
      <c r="S33" s="2328"/>
      <c r="T33" s="2328"/>
      <c r="U33" s="2328"/>
      <c r="V33" s="2328"/>
      <c r="W33" s="2328"/>
      <c r="X33" s="2328"/>
      <c r="Y33" s="2328"/>
      <c r="Z33" s="2328"/>
      <c r="AA33" s="2328"/>
      <c r="AB33" s="2328"/>
      <c r="AC33" s="2328"/>
      <c r="AD33" s="2328"/>
      <c r="AE33" s="2328"/>
      <c r="AF33" s="2328"/>
      <c r="AG33" s="2328"/>
      <c r="AH33" s="2328"/>
      <c r="AI33" s="2328"/>
      <c r="AJ33" s="2328"/>
      <c r="AK33" s="2328"/>
      <c r="AL33" s="2328"/>
      <c r="AM33" s="2328"/>
      <c r="AN33" s="2328"/>
      <c r="AO33" s="2328"/>
      <c r="AP33" s="2328"/>
      <c r="AQ33" s="2328"/>
      <c r="AR33" s="2328"/>
      <c r="AS33" s="2328"/>
      <c r="AT33" s="2328"/>
      <c r="AU33" s="2328"/>
      <c r="AV33" s="2328"/>
      <c r="AW33" s="2328"/>
      <c r="AX33" s="2328"/>
      <c r="AY33" s="2328"/>
      <c r="AZ33" s="2328"/>
      <c r="BA33" s="2328"/>
      <c r="BB33" s="2328"/>
      <c r="BC33" s="2328"/>
      <c r="BD33" s="2328"/>
      <c r="BE33" s="2328"/>
      <c r="BF33" s="2328"/>
      <c r="BG33" s="2328"/>
      <c r="BH33" s="2328"/>
      <c r="BI33" s="2328"/>
      <c r="BJ33" s="2328"/>
      <c r="BK33" s="2328"/>
      <c r="BL33" s="2328"/>
      <c r="BM33" s="2328"/>
      <c r="BN33" s="2328"/>
      <c r="BO33" s="2328"/>
      <c r="BP33" s="2328"/>
      <c r="BQ33" s="2328"/>
      <c r="BR33" s="2328"/>
      <c r="BS33" s="2328"/>
      <c r="BT33" s="2328"/>
      <c r="BU33" s="2328"/>
      <c r="BV33" s="2328"/>
      <c r="BW33" s="2328"/>
      <c r="BX33" s="2328"/>
      <c r="BY33" s="2328"/>
      <c r="BZ33" s="2328"/>
      <c r="CA33" s="2328"/>
      <c r="CB33" s="2328"/>
      <c r="CC33" s="2328"/>
      <c r="CD33" s="2328"/>
      <c r="CE33" s="2328"/>
      <c r="CF33" s="2328"/>
      <c r="CG33" s="2328"/>
      <c r="CH33" s="2328"/>
      <c r="CI33" s="2328"/>
      <c r="CJ33" s="2328"/>
      <c r="CK33" s="2328"/>
      <c r="CL33" s="2328"/>
      <c r="CM33" s="2328"/>
      <c r="CN33" s="2357"/>
      <c r="CO33" s="2334"/>
      <c r="CP33" s="2334"/>
      <c r="CQ33" s="2334"/>
      <c r="CR33" s="2334"/>
      <c r="CS33" s="2334"/>
      <c r="CT33" s="2334"/>
      <c r="CU33" s="2335"/>
      <c r="CV33" s="2358"/>
      <c r="CW33" s="2334"/>
      <c r="CX33" s="2334"/>
      <c r="CY33" s="2334"/>
      <c r="CZ33" s="2334"/>
      <c r="DA33" s="2334"/>
      <c r="DB33" s="2334"/>
      <c r="DC33" s="2334"/>
      <c r="DD33" s="2334"/>
      <c r="DE33" s="2335"/>
      <c r="DF33" s="2197"/>
      <c r="DG33" s="2197"/>
      <c r="DH33" s="2197"/>
      <c r="DI33" s="2197"/>
      <c r="DJ33" s="2197"/>
      <c r="DK33" s="2197"/>
      <c r="DL33" s="2197"/>
      <c r="DM33" s="2197"/>
      <c r="DN33" s="2197"/>
      <c r="DO33" s="2197"/>
      <c r="DP33" s="2197"/>
      <c r="DQ33" s="2197"/>
      <c r="DR33" s="2197"/>
      <c r="DS33" s="2359"/>
      <c r="DT33" s="2360"/>
      <c r="DU33" s="2360"/>
      <c r="DV33" s="2360"/>
      <c r="DW33" s="2360"/>
      <c r="DX33" s="2360"/>
      <c r="DY33" s="2360"/>
      <c r="DZ33" s="2360"/>
      <c r="EA33" s="2360"/>
      <c r="EB33" s="2360"/>
      <c r="EC33" s="2360"/>
      <c r="ED33" s="2360"/>
      <c r="EE33" s="2361"/>
      <c r="EF33" s="2359"/>
      <c r="EG33" s="2360"/>
      <c r="EH33" s="2360"/>
      <c r="EI33" s="2360"/>
      <c r="EJ33" s="2360"/>
      <c r="EK33" s="2360"/>
      <c r="EL33" s="2360"/>
      <c r="EM33" s="2360"/>
      <c r="EN33" s="2360"/>
      <c r="EO33" s="2360"/>
      <c r="EP33" s="2360"/>
      <c r="EQ33" s="2360"/>
      <c r="ER33" s="2361"/>
      <c r="ES33" s="2359"/>
      <c r="ET33" s="2360"/>
      <c r="EU33" s="2360"/>
      <c r="EV33" s="2360"/>
      <c r="EW33" s="2360"/>
      <c r="EX33" s="2360"/>
      <c r="EY33" s="2360"/>
      <c r="EZ33" s="2360"/>
      <c r="FA33" s="2360"/>
      <c r="FB33" s="2360"/>
      <c r="FC33" s="2360"/>
      <c r="FD33" s="2360"/>
      <c r="FE33" s="2361"/>
      <c r="FF33" s="2362"/>
      <c r="FG33" s="2363"/>
      <c r="FH33" s="2363"/>
      <c r="FI33" s="2363"/>
      <c r="FJ33" s="2363"/>
      <c r="FK33" s="2363"/>
      <c r="FL33" s="2363"/>
      <c r="FM33" s="2363"/>
      <c r="FN33" s="2363"/>
      <c r="FO33" s="2363"/>
      <c r="FP33" s="2363"/>
      <c r="FQ33" s="2363"/>
      <c r="FR33" s="2364"/>
    </row>
    <row r="34" spans="1:174" ht="24" customHeight="1" x14ac:dyDescent="0.2">
      <c r="A34" s="2293" t="s">
        <v>1043</v>
      </c>
      <c r="B34" s="2293"/>
      <c r="C34" s="2293"/>
      <c r="D34" s="2293"/>
      <c r="E34" s="2293"/>
      <c r="F34" s="2293"/>
      <c r="G34" s="2293"/>
      <c r="H34" s="2294"/>
      <c r="I34" s="2298" t="s">
        <v>1094</v>
      </c>
      <c r="J34" s="2350"/>
      <c r="K34" s="2350"/>
      <c r="L34" s="2350"/>
      <c r="M34" s="2350"/>
      <c r="N34" s="2350"/>
      <c r="O34" s="2350"/>
      <c r="P34" s="2350"/>
      <c r="Q34" s="2350"/>
      <c r="R34" s="2350"/>
      <c r="S34" s="2350"/>
      <c r="T34" s="2350"/>
      <c r="U34" s="2350"/>
      <c r="V34" s="2350"/>
      <c r="W34" s="2350"/>
      <c r="X34" s="2350"/>
      <c r="Y34" s="2350"/>
      <c r="Z34" s="2350"/>
      <c r="AA34" s="2350"/>
      <c r="AB34" s="2350"/>
      <c r="AC34" s="2350"/>
      <c r="AD34" s="2350"/>
      <c r="AE34" s="2350"/>
      <c r="AF34" s="2350"/>
      <c r="AG34" s="2350"/>
      <c r="AH34" s="2350"/>
      <c r="AI34" s="2350"/>
      <c r="AJ34" s="2350"/>
      <c r="AK34" s="2350"/>
      <c r="AL34" s="2350"/>
      <c r="AM34" s="2350"/>
      <c r="AN34" s="2350"/>
      <c r="AO34" s="2350"/>
      <c r="AP34" s="2350"/>
      <c r="AQ34" s="2350"/>
      <c r="AR34" s="2350"/>
      <c r="AS34" s="2350"/>
      <c r="AT34" s="2350"/>
      <c r="AU34" s="2350"/>
      <c r="AV34" s="2350"/>
      <c r="AW34" s="2350"/>
      <c r="AX34" s="2350"/>
      <c r="AY34" s="2350"/>
      <c r="AZ34" s="2350"/>
      <c r="BA34" s="2350"/>
      <c r="BB34" s="2350"/>
      <c r="BC34" s="2350"/>
      <c r="BD34" s="2350"/>
      <c r="BE34" s="2350"/>
      <c r="BF34" s="2350"/>
      <c r="BG34" s="2350"/>
      <c r="BH34" s="2350"/>
      <c r="BI34" s="2350"/>
      <c r="BJ34" s="2350"/>
      <c r="BK34" s="2350"/>
      <c r="BL34" s="2350"/>
      <c r="BM34" s="2350"/>
      <c r="BN34" s="2350"/>
      <c r="BO34" s="2350"/>
      <c r="BP34" s="2350"/>
      <c r="BQ34" s="2350"/>
      <c r="BR34" s="2350"/>
      <c r="BS34" s="2350"/>
      <c r="BT34" s="2350"/>
      <c r="BU34" s="2350"/>
      <c r="BV34" s="2350"/>
      <c r="BW34" s="2350"/>
      <c r="BX34" s="2350"/>
      <c r="BY34" s="2350"/>
      <c r="BZ34" s="2350"/>
      <c r="CA34" s="2350"/>
      <c r="CB34" s="2350"/>
      <c r="CC34" s="2350"/>
      <c r="CD34" s="2350"/>
      <c r="CE34" s="2350"/>
      <c r="CF34" s="2350"/>
      <c r="CG34" s="2350"/>
      <c r="CH34" s="2350"/>
      <c r="CI34" s="2350"/>
      <c r="CJ34" s="2350"/>
      <c r="CK34" s="2350"/>
      <c r="CL34" s="2350"/>
      <c r="CM34" s="2350"/>
      <c r="CN34" s="2297" t="s">
        <v>1095</v>
      </c>
      <c r="CO34" s="2293"/>
      <c r="CP34" s="2293"/>
      <c r="CQ34" s="2293"/>
      <c r="CR34" s="2293"/>
      <c r="CS34" s="2293"/>
      <c r="CT34" s="2293"/>
      <c r="CU34" s="2294"/>
      <c r="CV34" s="2292" t="s">
        <v>859</v>
      </c>
      <c r="CW34" s="2293"/>
      <c r="CX34" s="2293"/>
      <c r="CY34" s="2293"/>
      <c r="CZ34" s="2293"/>
      <c r="DA34" s="2293"/>
      <c r="DB34" s="2293"/>
      <c r="DC34" s="2293"/>
      <c r="DD34" s="2293"/>
      <c r="DE34" s="2294"/>
      <c r="DF34" s="2199"/>
      <c r="DG34" s="2199"/>
      <c r="DH34" s="2199"/>
      <c r="DI34" s="2199"/>
      <c r="DJ34" s="2199"/>
      <c r="DK34" s="2199"/>
      <c r="DL34" s="2199"/>
      <c r="DM34" s="2199"/>
      <c r="DN34" s="2199"/>
      <c r="DO34" s="2199"/>
      <c r="DP34" s="2199"/>
      <c r="DQ34" s="2199"/>
      <c r="DR34" s="2199"/>
      <c r="DS34" s="2351"/>
      <c r="DT34" s="2352"/>
      <c r="DU34" s="2352"/>
      <c r="DV34" s="2352"/>
      <c r="DW34" s="2352"/>
      <c r="DX34" s="2352"/>
      <c r="DY34" s="2352"/>
      <c r="DZ34" s="2352"/>
      <c r="EA34" s="2352"/>
      <c r="EB34" s="2352"/>
      <c r="EC34" s="2352"/>
      <c r="ED34" s="2352"/>
      <c r="EE34" s="2353"/>
      <c r="EF34" s="2351"/>
      <c r="EG34" s="2352"/>
      <c r="EH34" s="2352"/>
      <c r="EI34" s="2352"/>
      <c r="EJ34" s="2352"/>
      <c r="EK34" s="2352"/>
      <c r="EL34" s="2352"/>
      <c r="EM34" s="2352"/>
      <c r="EN34" s="2352"/>
      <c r="EO34" s="2352"/>
      <c r="EP34" s="2352"/>
      <c r="EQ34" s="2352"/>
      <c r="ER34" s="2353"/>
      <c r="ES34" s="2351"/>
      <c r="ET34" s="2352"/>
      <c r="EU34" s="2352"/>
      <c r="EV34" s="2352"/>
      <c r="EW34" s="2352"/>
      <c r="EX34" s="2352"/>
      <c r="EY34" s="2352"/>
      <c r="EZ34" s="2352"/>
      <c r="FA34" s="2352"/>
      <c r="FB34" s="2352"/>
      <c r="FC34" s="2352"/>
      <c r="FD34" s="2352"/>
      <c r="FE34" s="2353"/>
      <c r="FF34" s="2329"/>
      <c r="FG34" s="2330"/>
      <c r="FH34" s="2330"/>
      <c r="FI34" s="2330"/>
      <c r="FJ34" s="2330"/>
      <c r="FK34" s="2330"/>
      <c r="FL34" s="2330"/>
      <c r="FM34" s="2330"/>
      <c r="FN34" s="2330"/>
      <c r="FO34" s="2330"/>
      <c r="FP34" s="2330"/>
      <c r="FQ34" s="2330"/>
      <c r="FR34" s="2331"/>
    </row>
    <row r="35" spans="1:174" ht="11.25" customHeight="1" x14ac:dyDescent="0.2">
      <c r="A35" s="2332"/>
      <c r="B35" s="2332"/>
      <c r="C35" s="2332"/>
      <c r="D35" s="2332"/>
      <c r="E35" s="2332"/>
      <c r="F35" s="2332"/>
      <c r="G35" s="2332"/>
      <c r="H35" s="2333"/>
      <c r="I35" s="2336" t="s">
        <v>1092</v>
      </c>
      <c r="J35" s="2337"/>
      <c r="K35" s="2337"/>
      <c r="L35" s="2337"/>
      <c r="M35" s="2337"/>
      <c r="N35" s="2337"/>
      <c r="O35" s="2337"/>
      <c r="P35" s="2337"/>
      <c r="Q35" s="2337"/>
      <c r="R35" s="2337"/>
      <c r="S35" s="2337"/>
      <c r="T35" s="2337"/>
      <c r="U35" s="2337"/>
      <c r="V35" s="2337"/>
      <c r="W35" s="2337"/>
      <c r="X35" s="2337"/>
      <c r="Y35" s="2337"/>
      <c r="Z35" s="2337"/>
      <c r="AA35" s="2337"/>
      <c r="AB35" s="2337"/>
      <c r="AC35" s="2337"/>
      <c r="AD35" s="2337"/>
      <c r="AE35" s="2337"/>
      <c r="AF35" s="2337"/>
      <c r="AG35" s="2337"/>
      <c r="AH35" s="2337"/>
      <c r="AI35" s="2337"/>
      <c r="AJ35" s="2337"/>
      <c r="AK35" s="2337"/>
      <c r="AL35" s="2337"/>
      <c r="AM35" s="2337"/>
      <c r="AN35" s="2337"/>
      <c r="AO35" s="2337"/>
      <c r="AP35" s="2337"/>
      <c r="AQ35" s="2337"/>
      <c r="AR35" s="2337"/>
      <c r="AS35" s="2337"/>
      <c r="AT35" s="2337"/>
      <c r="AU35" s="2337"/>
      <c r="AV35" s="2337"/>
      <c r="AW35" s="2337"/>
      <c r="AX35" s="2337"/>
      <c r="AY35" s="2337"/>
      <c r="AZ35" s="2337"/>
      <c r="BA35" s="2337"/>
      <c r="BB35" s="2337"/>
      <c r="BC35" s="2337"/>
      <c r="BD35" s="2337"/>
      <c r="BE35" s="2337"/>
      <c r="BF35" s="2337"/>
      <c r="BG35" s="2337"/>
      <c r="BH35" s="2337"/>
      <c r="BI35" s="2337"/>
      <c r="BJ35" s="2337"/>
      <c r="BK35" s="2337"/>
      <c r="BL35" s="2337"/>
      <c r="BM35" s="2337"/>
      <c r="BN35" s="2337"/>
      <c r="BO35" s="2337"/>
      <c r="BP35" s="2337"/>
      <c r="BQ35" s="2337"/>
      <c r="BR35" s="2337"/>
      <c r="BS35" s="2337"/>
      <c r="BT35" s="2337"/>
      <c r="BU35" s="2337"/>
      <c r="BV35" s="2337"/>
      <c r="BW35" s="2337"/>
      <c r="BX35" s="2337"/>
      <c r="BY35" s="2337"/>
      <c r="BZ35" s="2337"/>
      <c r="CA35" s="2337"/>
      <c r="CB35" s="2337"/>
      <c r="CC35" s="2337"/>
      <c r="CD35" s="2337"/>
      <c r="CE35" s="2337"/>
      <c r="CF35" s="2337"/>
      <c r="CG35" s="2337"/>
      <c r="CH35" s="2337"/>
      <c r="CI35" s="2337"/>
      <c r="CJ35" s="2337"/>
      <c r="CK35" s="2337"/>
      <c r="CL35" s="2337"/>
      <c r="CM35" s="2337"/>
      <c r="CN35" s="2338" t="s">
        <v>1096</v>
      </c>
      <c r="CO35" s="2332"/>
      <c r="CP35" s="2332"/>
      <c r="CQ35" s="2332"/>
      <c r="CR35" s="2332"/>
      <c r="CS35" s="2332"/>
      <c r="CT35" s="2332"/>
      <c r="CU35" s="2333"/>
      <c r="CV35" s="2342"/>
      <c r="CW35" s="2332"/>
      <c r="CX35" s="2332"/>
      <c r="CY35" s="2332"/>
      <c r="CZ35" s="2332"/>
      <c r="DA35" s="2332"/>
      <c r="DB35" s="2332"/>
      <c r="DC35" s="2332"/>
      <c r="DD35" s="2332"/>
      <c r="DE35" s="2333"/>
      <c r="DF35" s="2196"/>
      <c r="DG35" s="2196"/>
      <c r="DH35" s="2196"/>
      <c r="DI35" s="2196"/>
      <c r="DJ35" s="2196"/>
      <c r="DK35" s="2196"/>
      <c r="DL35" s="2196"/>
      <c r="DM35" s="2196"/>
      <c r="DN35" s="2196"/>
      <c r="DO35" s="2196"/>
      <c r="DP35" s="2196"/>
      <c r="DQ35" s="2196"/>
      <c r="DR35" s="2196"/>
      <c r="DS35" s="2344"/>
      <c r="DT35" s="2345"/>
      <c r="DU35" s="2345"/>
      <c r="DV35" s="2345"/>
      <c r="DW35" s="2345"/>
      <c r="DX35" s="2345"/>
      <c r="DY35" s="2345"/>
      <c r="DZ35" s="2345"/>
      <c r="EA35" s="2345"/>
      <c r="EB35" s="2345"/>
      <c r="EC35" s="2345"/>
      <c r="ED35" s="2345"/>
      <c r="EE35" s="2346"/>
      <c r="EF35" s="2344"/>
      <c r="EG35" s="2345"/>
      <c r="EH35" s="2345"/>
      <c r="EI35" s="2345"/>
      <c r="EJ35" s="2345"/>
      <c r="EK35" s="2345"/>
      <c r="EL35" s="2345"/>
      <c r="EM35" s="2345"/>
      <c r="EN35" s="2345"/>
      <c r="EO35" s="2345"/>
      <c r="EP35" s="2345"/>
      <c r="EQ35" s="2345"/>
      <c r="ER35" s="2346"/>
      <c r="ES35" s="2344"/>
      <c r="ET35" s="2345"/>
      <c r="EU35" s="2345"/>
      <c r="EV35" s="2345"/>
      <c r="EW35" s="2345"/>
      <c r="EX35" s="2345"/>
      <c r="EY35" s="2345"/>
      <c r="EZ35" s="2345"/>
      <c r="FA35" s="2345"/>
      <c r="FB35" s="2345"/>
      <c r="FC35" s="2345"/>
      <c r="FD35" s="2345"/>
      <c r="FE35" s="2346"/>
      <c r="FF35" s="2321"/>
      <c r="FG35" s="2322"/>
      <c r="FH35" s="2322"/>
      <c r="FI35" s="2322"/>
      <c r="FJ35" s="2322"/>
      <c r="FK35" s="2322"/>
      <c r="FL35" s="2322"/>
      <c r="FM35" s="2322"/>
      <c r="FN35" s="2322"/>
      <c r="FO35" s="2322"/>
      <c r="FP35" s="2322"/>
      <c r="FQ35" s="2322"/>
      <c r="FR35" s="2323"/>
    </row>
    <row r="36" spans="1:174" ht="12" thickBot="1" x14ac:dyDescent="0.25">
      <c r="A36" s="2334"/>
      <c r="B36" s="2334"/>
      <c r="C36" s="2334"/>
      <c r="D36" s="2334"/>
      <c r="E36" s="2334"/>
      <c r="F36" s="2334"/>
      <c r="G36" s="2334"/>
      <c r="H36" s="2335"/>
      <c r="I36" s="2327"/>
      <c r="J36" s="2328"/>
      <c r="K36" s="2328"/>
      <c r="L36" s="2328"/>
      <c r="M36" s="2328"/>
      <c r="N36" s="2328"/>
      <c r="O36" s="2328"/>
      <c r="P36" s="2328"/>
      <c r="Q36" s="2328"/>
      <c r="R36" s="2328"/>
      <c r="S36" s="2328"/>
      <c r="T36" s="2328"/>
      <c r="U36" s="2328"/>
      <c r="V36" s="2328"/>
      <c r="W36" s="2328"/>
      <c r="X36" s="2328"/>
      <c r="Y36" s="2328"/>
      <c r="Z36" s="2328"/>
      <c r="AA36" s="2328"/>
      <c r="AB36" s="2328"/>
      <c r="AC36" s="2328"/>
      <c r="AD36" s="2328"/>
      <c r="AE36" s="2328"/>
      <c r="AF36" s="2328"/>
      <c r="AG36" s="2328"/>
      <c r="AH36" s="2328"/>
      <c r="AI36" s="2328"/>
      <c r="AJ36" s="2328"/>
      <c r="AK36" s="2328"/>
      <c r="AL36" s="2328"/>
      <c r="AM36" s="2328"/>
      <c r="AN36" s="2328"/>
      <c r="AO36" s="2328"/>
      <c r="AP36" s="2328"/>
      <c r="AQ36" s="2328"/>
      <c r="AR36" s="2328"/>
      <c r="AS36" s="2328"/>
      <c r="AT36" s="2328"/>
      <c r="AU36" s="2328"/>
      <c r="AV36" s="2328"/>
      <c r="AW36" s="2328"/>
      <c r="AX36" s="2328"/>
      <c r="AY36" s="2328"/>
      <c r="AZ36" s="2328"/>
      <c r="BA36" s="2328"/>
      <c r="BB36" s="2328"/>
      <c r="BC36" s="2328"/>
      <c r="BD36" s="2328"/>
      <c r="BE36" s="2328"/>
      <c r="BF36" s="2328"/>
      <c r="BG36" s="2328"/>
      <c r="BH36" s="2328"/>
      <c r="BI36" s="2328"/>
      <c r="BJ36" s="2328"/>
      <c r="BK36" s="2328"/>
      <c r="BL36" s="2328"/>
      <c r="BM36" s="2328"/>
      <c r="BN36" s="2328"/>
      <c r="BO36" s="2328"/>
      <c r="BP36" s="2328"/>
      <c r="BQ36" s="2328"/>
      <c r="BR36" s="2328"/>
      <c r="BS36" s="2328"/>
      <c r="BT36" s="2328"/>
      <c r="BU36" s="2328"/>
      <c r="BV36" s="2328"/>
      <c r="BW36" s="2328"/>
      <c r="BX36" s="2328"/>
      <c r="BY36" s="2328"/>
      <c r="BZ36" s="2328"/>
      <c r="CA36" s="2328"/>
      <c r="CB36" s="2328"/>
      <c r="CC36" s="2328"/>
      <c r="CD36" s="2328"/>
      <c r="CE36" s="2328"/>
      <c r="CF36" s="2328"/>
      <c r="CG36" s="2328"/>
      <c r="CH36" s="2328"/>
      <c r="CI36" s="2328"/>
      <c r="CJ36" s="2328"/>
      <c r="CK36" s="2328"/>
      <c r="CL36" s="2328"/>
      <c r="CM36" s="2328"/>
      <c r="CN36" s="2339"/>
      <c r="CO36" s="2340"/>
      <c r="CP36" s="2340"/>
      <c r="CQ36" s="2340"/>
      <c r="CR36" s="2340"/>
      <c r="CS36" s="2340"/>
      <c r="CT36" s="2340"/>
      <c r="CU36" s="2341"/>
      <c r="CV36" s="2343"/>
      <c r="CW36" s="2340"/>
      <c r="CX36" s="2340"/>
      <c r="CY36" s="2340"/>
      <c r="CZ36" s="2340"/>
      <c r="DA36" s="2340"/>
      <c r="DB36" s="2340"/>
      <c r="DC36" s="2340"/>
      <c r="DD36" s="2340"/>
      <c r="DE36" s="2341"/>
      <c r="DF36" s="2198"/>
      <c r="DG36" s="2198"/>
      <c r="DH36" s="2198"/>
      <c r="DI36" s="2198"/>
      <c r="DJ36" s="2198"/>
      <c r="DK36" s="2198"/>
      <c r="DL36" s="2198"/>
      <c r="DM36" s="2198"/>
      <c r="DN36" s="2198"/>
      <c r="DO36" s="2198"/>
      <c r="DP36" s="2198"/>
      <c r="DQ36" s="2198"/>
      <c r="DR36" s="2198"/>
      <c r="DS36" s="2347"/>
      <c r="DT36" s="2348"/>
      <c r="DU36" s="2348"/>
      <c r="DV36" s="2348"/>
      <c r="DW36" s="2348"/>
      <c r="DX36" s="2348"/>
      <c r="DY36" s="2348"/>
      <c r="DZ36" s="2348"/>
      <c r="EA36" s="2348"/>
      <c r="EB36" s="2348"/>
      <c r="EC36" s="2348"/>
      <c r="ED36" s="2348"/>
      <c r="EE36" s="2349"/>
      <c r="EF36" s="2347"/>
      <c r="EG36" s="2348"/>
      <c r="EH36" s="2348"/>
      <c r="EI36" s="2348"/>
      <c r="EJ36" s="2348"/>
      <c r="EK36" s="2348"/>
      <c r="EL36" s="2348"/>
      <c r="EM36" s="2348"/>
      <c r="EN36" s="2348"/>
      <c r="EO36" s="2348"/>
      <c r="EP36" s="2348"/>
      <c r="EQ36" s="2348"/>
      <c r="ER36" s="2349"/>
      <c r="ES36" s="2347"/>
      <c r="ET36" s="2348"/>
      <c r="EU36" s="2348"/>
      <c r="EV36" s="2348"/>
      <c r="EW36" s="2348"/>
      <c r="EX36" s="2348"/>
      <c r="EY36" s="2348"/>
      <c r="EZ36" s="2348"/>
      <c r="FA36" s="2348"/>
      <c r="FB36" s="2348"/>
      <c r="FC36" s="2348"/>
      <c r="FD36" s="2348"/>
      <c r="FE36" s="2349"/>
      <c r="FF36" s="2324"/>
      <c r="FG36" s="2325"/>
      <c r="FH36" s="2325"/>
      <c r="FI36" s="2325"/>
      <c r="FJ36" s="2325"/>
      <c r="FK36" s="2325"/>
      <c r="FL36" s="2325"/>
      <c r="FM36" s="2325"/>
      <c r="FN36" s="2325"/>
      <c r="FO36" s="2325"/>
      <c r="FP36" s="2325"/>
      <c r="FQ36" s="2325"/>
      <c r="FR36" s="2326"/>
    </row>
    <row r="38" spans="1:174" x14ac:dyDescent="0.2">
      <c r="I38" s="2087" t="s">
        <v>1097</v>
      </c>
    </row>
    <row r="39" spans="1:174" x14ac:dyDescent="0.2">
      <c r="I39" s="2087" t="s">
        <v>1098</v>
      </c>
      <c r="AQ39" s="2316" t="s">
        <v>14</v>
      </c>
      <c r="AR39" s="2316"/>
      <c r="AS39" s="2316"/>
      <c r="AT39" s="2316"/>
      <c r="AU39" s="2316"/>
      <c r="AV39" s="2316"/>
      <c r="AW39" s="2316"/>
      <c r="AX39" s="2316"/>
      <c r="AY39" s="2316"/>
      <c r="AZ39" s="2316"/>
      <c r="BA39" s="2316"/>
      <c r="BB39" s="2316"/>
      <c r="BC39" s="2316"/>
      <c r="BD39" s="2316"/>
      <c r="BE39" s="2316"/>
      <c r="BF39" s="2316"/>
      <c r="BG39" s="2316"/>
      <c r="BH39" s="2316"/>
      <c r="BK39" s="2316"/>
      <c r="BL39" s="2316"/>
      <c r="BM39" s="2316"/>
      <c r="BN39" s="2316"/>
      <c r="BO39" s="2316"/>
      <c r="BP39" s="2316"/>
      <c r="BQ39" s="2316"/>
      <c r="BR39" s="2316"/>
      <c r="BS39" s="2316"/>
      <c r="BT39" s="2316"/>
      <c r="BU39" s="2316"/>
      <c r="BV39" s="2316"/>
      <c r="BY39" s="2316" t="s">
        <v>1473</v>
      </c>
      <c r="BZ39" s="2316"/>
      <c r="CA39" s="2316"/>
      <c r="CB39" s="2316"/>
      <c r="CC39" s="2316"/>
      <c r="CD39" s="2316"/>
      <c r="CE39" s="2316"/>
      <c r="CF39" s="2316"/>
      <c r="CG39" s="2316"/>
      <c r="CH39" s="2316"/>
      <c r="CI39" s="2316"/>
      <c r="CJ39" s="2316"/>
      <c r="CK39" s="2316"/>
      <c r="CL39" s="2316"/>
      <c r="CM39" s="2316"/>
      <c r="CN39" s="2316"/>
      <c r="CO39" s="2316"/>
      <c r="CP39" s="2316"/>
      <c r="CQ39" s="2316"/>
      <c r="CR39" s="2316"/>
    </row>
    <row r="40" spans="1:174" s="621" customFormat="1" ht="8.25" x14ac:dyDescent="0.15">
      <c r="AQ40" s="2319" t="s">
        <v>1099</v>
      </c>
      <c r="AR40" s="2319"/>
      <c r="AS40" s="2319"/>
      <c r="AT40" s="2319"/>
      <c r="AU40" s="2319"/>
      <c r="AV40" s="2319"/>
      <c r="AW40" s="2319"/>
      <c r="AX40" s="2319"/>
      <c r="AY40" s="2319"/>
      <c r="AZ40" s="2319"/>
      <c r="BA40" s="2319"/>
      <c r="BB40" s="2319"/>
      <c r="BC40" s="2319"/>
      <c r="BD40" s="2319"/>
      <c r="BE40" s="2319"/>
      <c r="BF40" s="2319"/>
      <c r="BG40" s="2319"/>
      <c r="BH40" s="2319"/>
      <c r="BK40" s="2319" t="s">
        <v>217</v>
      </c>
      <c r="BL40" s="2319"/>
      <c r="BM40" s="2319"/>
      <c r="BN40" s="2319"/>
      <c r="BO40" s="2319"/>
      <c r="BP40" s="2319"/>
      <c r="BQ40" s="2319"/>
      <c r="BR40" s="2319"/>
      <c r="BS40" s="2319"/>
      <c r="BT40" s="2319"/>
      <c r="BU40" s="2319"/>
      <c r="BV40" s="2319"/>
      <c r="BY40" s="2319" t="s">
        <v>945</v>
      </c>
      <c r="BZ40" s="2319"/>
      <c r="CA40" s="2319"/>
      <c r="CB40" s="2319"/>
      <c r="CC40" s="2319"/>
      <c r="CD40" s="2319"/>
      <c r="CE40" s="2319"/>
      <c r="CF40" s="2319"/>
      <c r="CG40" s="2319"/>
      <c r="CH40" s="2319"/>
      <c r="CI40" s="2319"/>
      <c r="CJ40" s="2319"/>
      <c r="CK40" s="2319"/>
      <c r="CL40" s="2319"/>
      <c r="CM40" s="2319"/>
      <c r="CN40" s="2319"/>
      <c r="CO40" s="2319"/>
      <c r="CP40" s="2319"/>
      <c r="CQ40" s="2319"/>
      <c r="CR40" s="2319"/>
    </row>
    <row r="41" spans="1:174" s="621" customFormat="1" ht="3" customHeight="1" x14ac:dyDescent="0.15">
      <c r="AQ41" s="622"/>
      <c r="AR41" s="622"/>
      <c r="AS41" s="622"/>
      <c r="AT41" s="622"/>
      <c r="AU41" s="622"/>
      <c r="AV41" s="622"/>
      <c r="AW41" s="622"/>
      <c r="AX41" s="622"/>
      <c r="AY41" s="622"/>
      <c r="AZ41" s="622"/>
      <c r="BA41" s="622"/>
      <c r="BB41" s="622"/>
      <c r="BC41" s="622"/>
      <c r="BD41" s="622"/>
      <c r="BE41" s="622"/>
      <c r="BF41" s="622"/>
      <c r="BG41" s="622"/>
      <c r="BH41" s="622"/>
      <c r="BK41" s="622"/>
      <c r="BL41" s="622"/>
      <c r="BM41" s="622"/>
      <c r="BN41" s="622"/>
      <c r="BO41" s="622"/>
      <c r="BP41" s="622"/>
      <c r="BQ41" s="622"/>
      <c r="BR41" s="622"/>
      <c r="BS41" s="622"/>
      <c r="BT41" s="622"/>
      <c r="BU41" s="622"/>
      <c r="BV41" s="622"/>
      <c r="BY41" s="622"/>
      <c r="BZ41" s="622"/>
      <c r="CA41" s="622"/>
      <c r="CB41" s="622"/>
      <c r="CC41" s="622"/>
      <c r="CD41" s="622"/>
      <c r="CE41" s="622"/>
      <c r="CF41" s="622"/>
      <c r="CG41" s="622"/>
      <c r="CH41" s="622"/>
      <c r="CI41" s="622"/>
      <c r="CJ41" s="622"/>
      <c r="CK41" s="622"/>
      <c r="CL41" s="622"/>
      <c r="CM41" s="622"/>
      <c r="CN41" s="622"/>
      <c r="CO41" s="622"/>
      <c r="CP41" s="622"/>
      <c r="CQ41" s="622"/>
      <c r="CR41" s="622"/>
    </row>
    <row r="42" spans="1:174" x14ac:dyDescent="0.2">
      <c r="I42" s="2087" t="s">
        <v>886</v>
      </c>
      <c r="AM42" s="2316" t="s">
        <v>1671</v>
      </c>
      <c r="AN42" s="2316"/>
      <c r="AO42" s="2316"/>
      <c r="AP42" s="2316"/>
      <c r="AQ42" s="2316"/>
      <c r="AR42" s="2316"/>
      <c r="AS42" s="2316"/>
      <c r="AT42" s="2316"/>
      <c r="AU42" s="2316"/>
      <c r="AV42" s="2316"/>
      <c r="AW42" s="2316"/>
      <c r="AX42" s="2316"/>
      <c r="AY42" s="2316"/>
      <c r="AZ42" s="2316"/>
      <c r="BA42" s="2316"/>
      <c r="BB42" s="2316"/>
      <c r="BC42" s="2316"/>
      <c r="BD42" s="2316"/>
      <c r="BG42" s="2316" t="s">
        <v>1672</v>
      </c>
      <c r="BH42" s="2316"/>
      <c r="BI42" s="2316"/>
      <c r="BJ42" s="2316"/>
      <c r="BK42" s="2316"/>
      <c r="BL42" s="2316"/>
      <c r="BM42" s="2316"/>
      <c r="BN42" s="2316"/>
      <c r="BO42" s="2316"/>
      <c r="BP42" s="2316"/>
      <c r="BQ42" s="2316"/>
      <c r="BR42" s="2316"/>
      <c r="BS42" s="2316"/>
      <c r="BT42" s="2316"/>
      <c r="BU42" s="2316"/>
      <c r="BV42" s="2316"/>
      <c r="BW42" s="2316"/>
      <c r="BX42" s="2316"/>
      <c r="CA42" s="2312" t="s">
        <v>1673</v>
      </c>
      <c r="CB42" s="2312"/>
      <c r="CC42" s="2312"/>
      <c r="CD42" s="2312"/>
      <c r="CE42" s="2312"/>
      <c r="CF42" s="2312"/>
      <c r="CG42" s="2312"/>
      <c r="CH42" s="2312"/>
      <c r="CI42" s="2312"/>
      <c r="CJ42" s="2312"/>
      <c r="CK42" s="2312"/>
      <c r="CL42" s="2312"/>
      <c r="CM42" s="2312"/>
      <c r="CN42" s="2312"/>
      <c r="CO42" s="2312"/>
      <c r="CP42" s="2312"/>
      <c r="CQ42" s="2312"/>
      <c r="CR42" s="2312"/>
    </row>
    <row r="43" spans="1:174" s="621" customFormat="1" ht="8.25" x14ac:dyDescent="0.15">
      <c r="AM43" s="2319" t="s">
        <v>1099</v>
      </c>
      <c r="AN43" s="2319"/>
      <c r="AO43" s="2319"/>
      <c r="AP43" s="2319"/>
      <c r="AQ43" s="2319"/>
      <c r="AR43" s="2319"/>
      <c r="AS43" s="2319"/>
      <c r="AT43" s="2319"/>
      <c r="AU43" s="2319"/>
      <c r="AV43" s="2319"/>
      <c r="AW43" s="2319"/>
      <c r="AX43" s="2319"/>
      <c r="AY43" s="2319"/>
      <c r="AZ43" s="2319"/>
      <c r="BA43" s="2319"/>
      <c r="BB43" s="2319"/>
      <c r="BC43" s="2319"/>
      <c r="BD43" s="2319"/>
      <c r="BG43" s="2319" t="s">
        <v>1100</v>
      </c>
      <c r="BH43" s="2319"/>
      <c r="BI43" s="2319"/>
      <c r="BJ43" s="2319"/>
      <c r="BK43" s="2319"/>
      <c r="BL43" s="2319"/>
      <c r="BM43" s="2319"/>
      <c r="BN43" s="2319"/>
      <c r="BO43" s="2319"/>
      <c r="BP43" s="2319"/>
      <c r="BQ43" s="2319"/>
      <c r="BR43" s="2319"/>
      <c r="BS43" s="2319"/>
      <c r="BT43" s="2319"/>
      <c r="BU43" s="2319"/>
      <c r="BV43" s="2319"/>
      <c r="BW43" s="2319"/>
      <c r="BX43" s="2319"/>
      <c r="CA43" s="2319" t="s">
        <v>1101</v>
      </c>
      <c r="CB43" s="2319"/>
      <c r="CC43" s="2319"/>
      <c r="CD43" s="2319"/>
      <c r="CE43" s="2319"/>
      <c r="CF43" s="2319"/>
      <c r="CG43" s="2319"/>
      <c r="CH43" s="2319"/>
      <c r="CI43" s="2319"/>
      <c r="CJ43" s="2319"/>
      <c r="CK43" s="2319"/>
      <c r="CL43" s="2319"/>
      <c r="CM43" s="2319"/>
      <c r="CN43" s="2319"/>
      <c r="CO43" s="2319"/>
      <c r="CP43" s="2319"/>
      <c r="CQ43" s="2319"/>
      <c r="CR43" s="2319"/>
    </row>
    <row r="44" spans="1:174" s="621" customFormat="1" ht="3" customHeight="1" x14ac:dyDescent="0.15">
      <c r="AM44" s="622"/>
      <c r="AN44" s="622"/>
      <c r="AO44" s="622"/>
      <c r="AP44" s="622"/>
      <c r="AQ44" s="622"/>
      <c r="AR44" s="622"/>
      <c r="AS44" s="622"/>
      <c r="AT44" s="622"/>
      <c r="AU44" s="622"/>
      <c r="AV44" s="622"/>
      <c r="AW44" s="622"/>
      <c r="AX44" s="622"/>
      <c r="AY44" s="622"/>
      <c r="AZ44" s="622"/>
      <c r="BA44" s="622"/>
      <c r="BB44" s="622"/>
      <c r="BC44" s="622"/>
      <c r="BD44" s="622"/>
      <c r="BG44" s="622"/>
      <c r="BH44" s="622"/>
      <c r="BI44" s="622"/>
      <c r="BJ44" s="622"/>
      <c r="BK44" s="622"/>
      <c r="BL44" s="622"/>
      <c r="BM44" s="622"/>
      <c r="BN44" s="622"/>
      <c r="BO44" s="622"/>
      <c r="BP44" s="622"/>
      <c r="BQ44" s="622"/>
      <c r="BR44" s="622"/>
      <c r="BS44" s="622"/>
      <c r="BT44" s="622"/>
      <c r="BU44" s="622"/>
      <c r="BV44" s="622"/>
      <c r="BW44" s="622"/>
      <c r="BX44" s="622"/>
      <c r="CA44" s="622"/>
      <c r="CB44" s="622"/>
      <c r="CC44" s="622"/>
      <c r="CD44" s="622"/>
      <c r="CE44" s="622"/>
      <c r="CF44" s="622"/>
      <c r="CG44" s="622"/>
      <c r="CH44" s="622"/>
      <c r="CI44" s="622"/>
      <c r="CJ44" s="622"/>
      <c r="CK44" s="622"/>
      <c r="CL44" s="622"/>
      <c r="CM44" s="622"/>
      <c r="CN44" s="622"/>
      <c r="CO44" s="622"/>
      <c r="CP44" s="622"/>
      <c r="CQ44" s="622"/>
      <c r="CR44" s="622"/>
    </row>
    <row r="45" spans="1:174" x14ac:dyDescent="0.2">
      <c r="I45" s="2311" t="s">
        <v>1102</v>
      </c>
      <c r="J45" s="2311"/>
      <c r="K45" s="2312" t="s">
        <v>1728</v>
      </c>
      <c r="L45" s="2312"/>
      <c r="M45" s="2312"/>
      <c r="N45" s="2313" t="s">
        <v>1102</v>
      </c>
      <c r="O45" s="2313"/>
      <c r="Q45" s="2312" t="s">
        <v>1729</v>
      </c>
      <c r="R45" s="2312"/>
      <c r="S45" s="2312"/>
      <c r="T45" s="2312"/>
      <c r="U45" s="2312"/>
      <c r="V45" s="2312"/>
      <c r="W45" s="2312"/>
      <c r="X45" s="2312"/>
      <c r="Y45" s="2312"/>
      <c r="Z45" s="2312"/>
      <c r="AA45" s="2312"/>
      <c r="AB45" s="2312"/>
      <c r="AC45" s="2312"/>
      <c r="AD45" s="2312"/>
      <c r="AE45" s="2312"/>
      <c r="AF45" s="2311">
        <v>20</v>
      </c>
      <c r="AG45" s="2311"/>
      <c r="AH45" s="2311"/>
      <c r="AI45" s="2314" t="s">
        <v>1167</v>
      </c>
      <c r="AJ45" s="2314"/>
      <c r="AK45" s="2314"/>
      <c r="AL45" s="2087" t="s">
        <v>1039</v>
      </c>
    </row>
    <row r="46" spans="1:174" ht="12" thickBot="1" x14ac:dyDescent="0.25"/>
    <row r="47" spans="1:174" ht="3" customHeight="1" x14ac:dyDescent="0.2">
      <c r="A47" s="623"/>
      <c r="B47" s="623"/>
      <c r="C47" s="623"/>
      <c r="D47" s="623"/>
      <c r="E47" s="623"/>
      <c r="F47" s="623"/>
      <c r="G47" s="623"/>
      <c r="H47" s="623"/>
      <c r="I47" s="623"/>
      <c r="J47" s="623"/>
      <c r="K47" s="623"/>
      <c r="L47" s="623"/>
      <c r="M47" s="623"/>
      <c r="N47" s="623"/>
      <c r="O47" s="623"/>
      <c r="P47" s="623"/>
      <c r="Q47" s="623"/>
      <c r="R47" s="623"/>
      <c r="S47" s="623"/>
      <c r="T47" s="623"/>
      <c r="U47" s="623"/>
      <c r="V47" s="623"/>
      <c r="W47" s="623"/>
      <c r="X47" s="623"/>
      <c r="Y47" s="623"/>
      <c r="Z47" s="623"/>
      <c r="AA47" s="623"/>
      <c r="AB47" s="623"/>
      <c r="AC47" s="623"/>
      <c r="AD47" s="623"/>
      <c r="AE47" s="623"/>
      <c r="AF47" s="623"/>
      <c r="AG47" s="623"/>
      <c r="AH47" s="623"/>
      <c r="AI47" s="623"/>
      <c r="AJ47" s="623"/>
      <c r="AK47" s="623"/>
      <c r="AL47" s="623"/>
      <c r="AM47" s="623"/>
      <c r="AN47" s="623"/>
      <c r="AO47" s="623"/>
      <c r="AP47" s="623"/>
      <c r="AQ47" s="623"/>
      <c r="AR47" s="623"/>
      <c r="AS47" s="623"/>
      <c r="AT47" s="623"/>
      <c r="AU47" s="623"/>
      <c r="AV47" s="623"/>
      <c r="AW47" s="623"/>
      <c r="AX47" s="623"/>
      <c r="AY47" s="623"/>
      <c r="AZ47" s="623"/>
      <c r="BA47" s="623"/>
      <c r="BB47" s="623"/>
      <c r="BC47" s="623"/>
      <c r="BD47" s="623"/>
      <c r="BE47" s="623"/>
      <c r="BF47" s="623"/>
      <c r="BG47" s="623"/>
      <c r="BH47" s="623"/>
      <c r="BI47" s="623"/>
      <c r="BJ47" s="623"/>
      <c r="BK47" s="623"/>
      <c r="BL47" s="623"/>
      <c r="BM47" s="623"/>
      <c r="BN47" s="623"/>
      <c r="BO47" s="623"/>
      <c r="BP47" s="623"/>
      <c r="BQ47" s="623"/>
      <c r="BR47" s="623"/>
      <c r="BS47" s="623"/>
      <c r="BT47" s="623"/>
      <c r="BU47" s="623"/>
      <c r="BV47" s="623"/>
      <c r="BW47" s="623"/>
      <c r="BX47" s="623"/>
      <c r="BY47" s="623"/>
      <c r="BZ47" s="623"/>
      <c r="CA47" s="623"/>
      <c r="CB47" s="623"/>
      <c r="CC47" s="623"/>
      <c r="CD47" s="623"/>
      <c r="CE47" s="623"/>
      <c r="CF47" s="623"/>
      <c r="CG47" s="623"/>
      <c r="CH47" s="623"/>
      <c r="CI47" s="623"/>
      <c r="CJ47" s="623"/>
      <c r="CK47" s="623"/>
      <c r="CL47" s="623"/>
      <c r="CM47" s="624"/>
    </row>
    <row r="48" spans="1:174" x14ac:dyDescent="0.2">
      <c r="A48" s="625" t="s">
        <v>1103</v>
      </c>
      <c r="CM48" s="626"/>
    </row>
    <row r="49" spans="1:174" x14ac:dyDescent="0.2">
      <c r="A49" s="2315" t="s">
        <v>1690</v>
      </c>
      <c r="B49" s="2316"/>
      <c r="C49" s="2316"/>
      <c r="D49" s="2316"/>
      <c r="E49" s="2316"/>
      <c r="F49" s="2316"/>
      <c r="G49" s="2316"/>
      <c r="H49" s="2316"/>
      <c r="I49" s="2316"/>
      <c r="J49" s="2316"/>
      <c r="K49" s="2316"/>
      <c r="L49" s="2316"/>
      <c r="M49" s="2316"/>
      <c r="N49" s="2316"/>
      <c r="O49" s="2316"/>
      <c r="P49" s="2316"/>
      <c r="Q49" s="2316"/>
      <c r="R49" s="2316"/>
      <c r="S49" s="2316"/>
      <c r="T49" s="2316"/>
      <c r="U49" s="2316"/>
      <c r="V49" s="2316"/>
      <c r="W49" s="2316"/>
      <c r="X49" s="2316"/>
      <c r="Y49" s="2316"/>
      <c r="Z49" s="2316"/>
      <c r="AA49" s="2316"/>
      <c r="AB49" s="2316"/>
      <c r="AC49" s="2316"/>
      <c r="AD49" s="2316"/>
      <c r="AE49" s="2316"/>
      <c r="AF49" s="2316"/>
      <c r="AG49" s="2316"/>
      <c r="AH49" s="2316"/>
      <c r="AI49" s="2316"/>
      <c r="AJ49" s="2316"/>
      <c r="AK49" s="2316"/>
      <c r="AL49" s="2316"/>
      <c r="AM49" s="2316"/>
      <c r="AN49" s="2316"/>
      <c r="AO49" s="2316"/>
      <c r="AP49" s="2316"/>
      <c r="AQ49" s="2316"/>
      <c r="AR49" s="2316"/>
      <c r="AS49" s="2316"/>
      <c r="AT49" s="2316"/>
      <c r="AU49" s="2316"/>
      <c r="AV49" s="2316"/>
      <c r="AW49" s="2316"/>
      <c r="AX49" s="2316"/>
      <c r="AY49" s="2316"/>
      <c r="AZ49" s="2316"/>
      <c r="BA49" s="2316"/>
      <c r="BB49" s="2316"/>
      <c r="BC49" s="2316"/>
      <c r="BD49" s="2316"/>
      <c r="BE49" s="2316"/>
      <c r="BF49" s="2316"/>
      <c r="BG49" s="2316"/>
      <c r="BH49" s="2316"/>
      <c r="BI49" s="2316"/>
      <c r="BJ49" s="2316"/>
      <c r="BK49" s="2316"/>
      <c r="BL49" s="2316"/>
      <c r="BM49" s="2316"/>
      <c r="BN49" s="2316"/>
      <c r="BO49" s="2316"/>
      <c r="BP49" s="2316"/>
      <c r="BQ49" s="2316"/>
      <c r="BR49" s="2316"/>
      <c r="BS49" s="2316"/>
      <c r="BT49" s="2316"/>
      <c r="BU49" s="2316"/>
      <c r="BV49" s="2316"/>
      <c r="BW49" s="2316"/>
      <c r="BX49" s="2316"/>
      <c r="BY49" s="2316"/>
      <c r="BZ49" s="2316"/>
      <c r="CA49" s="2316"/>
      <c r="CB49" s="2316"/>
      <c r="CC49" s="2316"/>
      <c r="CD49" s="2316"/>
      <c r="CE49" s="2316"/>
      <c r="CF49" s="2316"/>
      <c r="CG49" s="2316"/>
      <c r="CH49" s="2316"/>
      <c r="CI49" s="2316"/>
      <c r="CJ49" s="2316"/>
      <c r="CK49" s="2316"/>
      <c r="CL49" s="2316"/>
      <c r="CM49" s="2317"/>
    </row>
    <row r="50" spans="1:174" s="621" customFormat="1" ht="8.25" x14ac:dyDescent="0.15">
      <c r="A50" s="2318" t="s">
        <v>1104</v>
      </c>
      <c r="B50" s="2319"/>
      <c r="C50" s="2319"/>
      <c r="D50" s="2319"/>
      <c r="E50" s="2319"/>
      <c r="F50" s="2319"/>
      <c r="G50" s="2319"/>
      <c r="H50" s="2319"/>
      <c r="I50" s="2319"/>
      <c r="J50" s="2319"/>
      <c r="K50" s="2319"/>
      <c r="L50" s="2319"/>
      <c r="M50" s="2319"/>
      <c r="N50" s="2319"/>
      <c r="O50" s="2319"/>
      <c r="P50" s="2319"/>
      <c r="Q50" s="2319"/>
      <c r="R50" s="2319"/>
      <c r="S50" s="2319"/>
      <c r="T50" s="2319"/>
      <c r="U50" s="2319"/>
      <c r="V50" s="2319"/>
      <c r="W50" s="2319"/>
      <c r="X50" s="2319"/>
      <c r="Y50" s="2319"/>
      <c r="Z50" s="2319"/>
      <c r="AA50" s="2319"/>
      <c r="AB50" s="2319"/>
      <c r="AC50" s="2319"/>
      <c r="AD50" s="2319"/>
      <c r="AE50" s="2319"/>
      <c r="AF50" s="2319"/>
      <c r="AG50" s="2319"/>
      <c r="AH50" s="2319"/>
      <c r="AI50" s="2319"/>
      <c r="AJ50" s="2319"/>
      <c r="AK50" s="2319"/>
      <c r="AL50" s="2319"/>
      <c r="AM50" s="2319"/>
      <c r="AN50" s="2319"/>
      <c r="AO50" s="2319"/>
      <c r="AP50" s="2319"/>
      <c r="AQ50" s="2319"/>
      <c r="AR50" s="2319"/>
      <c r="AS50" s="2319"/>
      <c r="AT50" s="2319"/>
      <c r="AU50" s="2319"/>
      <c r="AV50" s="2319"/>
      <c r="AW50" s="2319"/>
      <c r="AX50" s="2319"/>
      <c r="AY50" s="2319"/>
      <c r="AZ50" s="2319"/>
      <c r="BA50" s="2319"/>
      <c r="BB50" s="2319"/>
      <c r="BC50" s="2319"/>
      <c r="BD50" s="2319"/>
      <c r="BE50" s="2319"/>
      <c r="BF50" s="2319"/>
      <c r="BG50" s="2319"/>
      <c r="BH50" s="2319"/>
      <c r="BI50" s="2319"/>
      <c r="BJ50" s="2319"/>
      <c r="BK50" s="2319"/>
      <c r="BL50" s="2319"/>
      <c r="BM50" s="2319"/>
      <c r="BN50" s="2319"/>
      <c r="BO50" s="2319"/>
      <c r="BP50" s="2319"/>
      <c r="BQ50" s="2319"/>
      <c r="BR50" s="2319"/>
      <c r="BS50" s="2319"/>
      <c r="BT50" s="2319"/>
      <c r="BU50" s="2319"/>
      <c r="BV50" s="2319"/>
      <c r="BW50" s="2319"/>
      <c r="BX50" s="2319"/>
      <c r="BY50" s="2319"/>
      <c r="BZ50" s="2319"/>
      <c r="CA50" s="2319"/>
      <c r="CB50" s="2319"/>
      <c r="CC50" s="2319"/>
      <c r="CD50" s="2319"/>
      <c r="CE50" s="2319"/>
      <c r="CF50" s="2319"/>
      <c r="CG50" s="2319"/>
      <c r="CH50" s="2319"/>
      <c r="CI50" s="2319"/>
      <c r="CJ50" s="2319"/>
      <c r="CK50" s="2319"/>
      <c r="CL50" s="2319"/>
      <c r="CM50" s="2320"/>
    </row>
    <row r="51" spans="1:174" s="621" customFormat="1" ht="6" customHeight="1" x14ac:dyDescent="0.15">
      <c r="A51" s="627"/>
      <c r="B51" s="622"/>
      <c r="C51" s="622"/>
      <c r="D51" s="622"/>
      <c r="E51" s="622"/>
      <c r="F51" s="622"/>
      <c r="G51" s="622"/>
      <c r="H51" s="622"/>
      <c r="I51" s="622"/>
      <c r="J51" s="622"/>
      <c r="K51" s="622"/>
      <c r="L51" s="622"/>
      <c r="M51" s="622"/>
      <c r="N51" s="622"/>
      <c r="O51" s="622"/>
      <c r="P51" s="622"/>
      <c r="Q51" s="622"/>
      <c r="R51" s="622"/>
      <c r="S51" s="622"/>
      <c r="T51" s="622"/>
      <c r="U51" s="622"/>
      <c r="V51" s="622"/>
      <c r="W51" s="622"/>
      <c r="X51" s="622"/>
      <c r="Y51" s="622"/>
      <c r="Z51" s="622"/>
      <c r="AA51" s="622"/>
      <c r="AB51" s="622"/>
      <c r="AC51" s="622"/>
      <c r="AD51" s="622"/>
      <c r="AE51" s="622"/>
      <c r="AF51" s="622"/>
      <c r="AG51" s="622"/>
      <c r="AH51" s="622"/>
      <c r="AI51" s="622"/>
      <c r="AJ51" s="622"/>
      <c r="AK51" s="622"/>
      <c r="AL51" s="622"/>
      <c r="AM51" s="622"/>
      <c r="AN51" s="622"/>
      <c r="AO51" s="622"/>
      <c r="AP51" s="622"/>
      <c r="AQ51" s="622"/>
      <c r="AR51" s="622"/>
      <c r="AS51" s="622"/>
      <c r="AT51" s="622"/>
      <c r="AU51" s="622"/>
      <c r="AV51" s="622"/>
      <c r="AW51" s="622"/>
      <c r="AX51" s="622"/>
      <c r="AY51" s="622"/>
      <c r="AZ51" s="622"/>
      <c r="BA51" s="622"/>
      <c r="BB51" s="622"/>
      <c r="BC51" s="622"/>
      <c r="BD51" s="622"/>
      <c r="BE51" s="622"/>
      <c r="BF51" s="622"/>
      <c r="BG51" s="622"/>
      <c r="BH51" s="622"/>
      <c r="BI51" s="622"/>
      <c r="BJ51" s="622"/>
      <c r="BK51" s="622"/>
      <c r="BL51" s="622"/>
      <c r="BM51" s="622"/>
      <c r="BN51" s="622"/>
      <c r="BO51" s="622"/>
      <c r="BP51" s="622"/>
      <c r="BQ51" s="622"/>
      <c r="BR51" s="622"/>
      <c r="BS51" s="622"/>
      <c r="BT51" s="622"/>
      <c r="BU51" s="622"/>
      <c r="BV51" s="622"/>
      <c r="BW51" s="622"/>
      <c r="BX51" s="622"/>
      <c r="BY51" s="622"/>
      <c r="BZ51" s="622"/>
      <c r="CA51" s="622"/>
      <c r="CB51" s="622"/>
      <c r="CC51" s="622"/>
      <c r="CD51" s="622"/>
      <c r="CE51" s="622"/>
      <c r="CF51" s="622"/>
      <c r="CG51" s="622"/>
      <c r="CH51" s="622"/>
      <c r="CI51" s="622"/>
      <c r="CJ51" s="622"/>
      <c r="CK51" s="622"/>
      <c r="CL51" s="622"/>
      <c r="CM51" s="628"/>
    </row>
    <row r="52" spans="1:174" x14ac:dyDescent="0.2">
      <c r="A52" s="2315"/>
      <c r="B52" s="2316"/>
      <c r="C52" s="2316"/>
      <c r="D52" s="2316"/>
      <c r="E52" s="2316"/>
      <c r="F52" s="2316"/>
      <c r="G52" s="2316"/>
      <c r="H52" s="2316"/>
      <c r="I52" s="2316"/>
      <c r="J52" s="2316"/>
      <c r="K52" s="2316"/>
      <c r="L52" s="2316"/>
      <c r="M52" s="2316"/>
      <c r="N52" s="2316"/>
      <c r="O52" s="2316"/>
      <c r="P52" s="2316"/>
      <c r="Q52" s="2316"/>
      <c r="R52" s="2316"/>
      <c r="S52" s="2316"/>
      <c r="T52" s="2316"/>
      <c r="U52" s="2316"/>
      <c r="V52" s="2316"/>
      <c r="W52" s="2316"/>
      <c r="X52" s="2316"/>
      <c r="Y52" s="2316"/>
      <c r="AH52" s="2316" t="s">
        <v>788</v>
      </c>
      <c r="AI52" s="2316"/>
      <c r="AJ52" s="2316"/>
      <c r="AK52" s="2316"/>
      <c r="AL52" s="2316"/>
      <c r="AM52" s="2316"/>
      <c r="AN52" s="2316"/>
      <c r="AO52" s="2316"/>
      <c r="AP52" s="2316"/>
      <c r="AQ52" s="2316"/>
      <c r="AR52" s="2316"/>
      <c r="AS52" s="2316"/>
      <c r="AT52" s="2316"/>
      <c r="AU52" s="2316"/>
      <c r="AV52" s="2316"/>
      <c r="AW52" s="2316"/>
      <c r="AX52" s="2316"/>
      <c r="AY52" s="2316"/>
      <c r="AZ52" s="2316"/>
      <c r="BA52" s="2316"/>
      <c r="BB52" s="2316"/>
      <c r="BC52" s="2316"/>
      <c r="BD52" s="2316"/>
      <c r="BE52" s="2316"/>
      <c r="BF52" s="2316"/>
      <c r="BG52" s="2316"/>
      <c r="BH52" s="2316"/>
      <c r="BI52" s="2316"/>
      <c r="BJ52" s="2316"/>
      <c r="BK52" s="2316"/>
      <c r="BL52" s="2316"/>
      <c r="BM52" s="2316"/>
      <c r="BN52" s="2316"/>
      <c r="BO52" s="2316"/>
      <c r="BP52" s="2316"/>
      <c r="BQ52" s="2316"/>
      <c r="BR52" s="2316"/>
      <c r="BS52" s="2316"/>
      <c r="BT52" s="2316"/>
      <c r="BU52" s="2316"/>
      <c r="BV52" s="2316"/>
      <c r="BW52" s="2316"/>
      <c r="BX52" s="2316"/>
      <c r="BY52" s="2316"/>
      <c r="BZ52" s="2316"/>
      <c r="CA52" s="2316"/>
      <c r="CB52" s="2316"/>
      <c r="CC52" s="2316"/>
      <c r="CD52" s="2316"/>
      <c r="CE52" s="2316"/>
      <c r="CF52" s="2316"/>
      <c r="CG52" s="2316"/>
      <c r="CH52" s="2316"/>
      <c r="CI52" s="2316"/>
      <c r="CJ52" s="2316"/>
      <c r="CK52" s="2316"/>
      <c r="CL52" s="2316"/>
      <c r="CM52" s="2317"/>
    </row>
    <row r="53" spans="1:174" s="621" customFormat="1" ht="8.25" x14ac:dyDescent="0.15">
      <c r="A53" s="2318" t="s">
        <v>217</v>
      </c>
      <c r="B53" s="2319"/>
      <c r="C53" s="2319"/>
      <c r="D53" s="2319"/>
      <c r="E53" s="2319"/>
      <c r="F53" s="2319"/>
      <c r="G53" s="2319"/>
      <c r="H53" s="2319"/>
      <c r="I53" s="2319"/>
      <c r="J53" s="2319"/>
      <c r="K53" s="2319"/>
      <c r="L53" s="2319"/>
      <c r="M53" s="2319"/>
      <c r="N53" s="2319"/>
      <c r="O53" s="2319"/>
      <c r="P53" s="2319"/>
      <c r="Q53" s="2319"/>
      <c r="R53" s="2319"/>
      <c r="S53" s="2319"/>
      <c r="T53" s="2319"/>
      <c r="U53" s="2319"/>
      <c r="V53" s="2319"/>
      <c r="W53" s="2319"/>
      <c r="X53" s="2319"/>
      <c r="Y53" s="2319"/>
      <c r="AH53" s="2319" t="s">
        <v>945</v>
      </c>
      <c r="AI53" s="2319"/>
      <c r="AJ53" s="2319"/>
      <c r="AK53" s="2319"/>
      <c r="AL53" s="2319"/>
      <c r="AM53" s="2319"/>
      <c r="AN53" s="2319"/>
      <c r="AO53" s="2319"/>
      <c r="AP53" s="2319"/>
      <c r="AQ53" s="2319"/>
      <c r="AR53" s="2319"/>
      <c r="AS53" s="2319"/>
      <c r="AT53" s="2319"/>
      <c r="AU53" s="2319"/>
      <c r="AV53" s="2319"/>
      <c r="AW53" s="2319"/>
      <c r="AX53" s="2319"/>
      <c r="AY53" s="2319"/>
      <c r="AZ53" s="2319"/>
      <c r="BA53" s="2319"/>
      <c r="BB53" s="2319"/>
      <c r="BC53" s="2319"/>
      <c r="BD53" s="2319"/>
      <c r="BE53" s="2319"/>
      <c r="BF53" s="2319"/>
      <c r="BG53" s="2319"/>
      <c r="BH53" s="2319"/>
      <c r="BI53" s="2319"/>
      <c r="BJ53" s="2319"/>
      <c r="BK53" s="2319"/>
      <c r="BL53" s="2319"/>
      <c r="BM53" s="2319"/>
      <c r="BN53" s="2319"/>
      <c r="BO53" s="2319"/>
      <c r="BP53" s="2319"/>
      <c r="BQ53" s="2319"/>
      <c r="BR53" s="2319"/>
      <c r="BS53" s="2319"/>
      <c r="BT53" s="2319"/>
      <c r="BU53" s="2319"/>
      <c r="BV53" s="2319"/>
      <c r="BW53" s="2319"/>
      <c r="BX53" s="2319"/>
      <c r="BY53" s="2319"/>
      <c r="BZ53" s="2319"/>
      <c r="CA53" s="2319"/>
      <c r="CB53" s="2319"/>
      <c r="CC53" s="2319"/>
      <c r="CD53" s="2319"/>
      <c r="CE53" s="2319"/>
      <c r="CF53" s="2319"/>
      <c r="CG53" s="2319"/>
      <c r="CH53" s="2319"/>
      <c r="CI53" s="2319"/>
      <c r="CJ53" s="2319"/>
      <c r="CK53" s="2319"/>
      <c r="CL53" s="2319"/>
      <c r="CM53" s="2320"/>
    </row>
    <row r="54" spans="1:174" x14ac:dyDescent="0.2">
      <c r="A54" s="625"/>
      <c r="CM54" s="626"/>
    </row>
    <row r="55" spans="1:174" x14ac:dyDescent="0.2">
      <c r="A55" s="2310" t="s">
        <v>1102</v>
      </c>
      <c r="B55" s="2311"/>
      <c r="C55" s="2312" t="s">
        <v>1728</v>
      </c>
      <c r="D55" s="2312"/>
      <c r="E55" s="2312"/>
      <c r="F55" s="2313" t="s">
        <v>1102</v>
      </c>
      <c r="G55" s="2313"/>
      <c r="I55" s="2312" t="s">
        <v>1729</v>
      </c>
      <c r="J55" s="2312"/>
      <c r="K55" s="2312"/>
      <c r="L55" s="2312"/>
      <c r="M55" s="2312"/>
      <c r="N55" s="2312"/>
      <c r="O55" s="2312"/>
      <c r="P55" s="2312"/>
      <c r="Q55" s="2312"/>
      <c r="R55" s="2312"/>
      <c r="S55" s="2312"/>
      <c r="T55" s="2312"/>
      <c r="U55" s="2312"/>
      <c r="V55" s="2312"/>
      <c r="W55" s="2312"/>
      <c r="X55" s="2311">
        <v>20</v>
      </c>
      <c r="Y55" s="2311"/>
      <c r="Z55" s="2311"/>
      <c r="AA55" s="2314" t="s">
        <v>1167</v>
      </c>
      <c r="AB55" s="2314"/>
      <c r="AC55" s="2314"/>
      <c r="AD55" s="2087" t="s">
        <v>1039</v>
      </c>
      <c r="CM55" s="626"/>
    </row>
    <row r="56" spans="1:174" ht="3" customHeight="1" thickBot="1" x14ac:dyDescent="0.25">
      <c r="A56" s="629"/>
      <c r="B56" s="630"/>
      <c r="C56" s="630"/>
      <c r="D56" s="630"/>
      <c r="E56" s="630"/>
      <c r="F56" s="630"/>
      <c r="G56" s="630"/>
      <c r="H56" s="630"/>
      <c r="I56" s="630"/>
      <c r="J56" s="630"/>
      <c r="K56" s="630"/>
      <c r="L56" s="630"/>
      <c r="M56" s="630"/>
      <c r="N56" s="630"/>
      <c r="O56" s="630"/>
      <c r="P56" s="630"/>
      <c r="Q56" s="630"/>
      <c r="R56" s="630"/>
      <c r="S56" s="630"/>
      <c r="T56" s="630"/>
      <c r="U56" s="630"/>
      <c r="V56" s="630"/>
      <c r="W56" s="630"/>
      <c r="X56" s="630"/>
      <c r="Y56" s="630"/>
      <c r="Z56" s="630"/>
      <c r="AA56" s="630"/>
      <c r="AB56" s="630"/>
      <c r="AC56" s="630"/>
      <c r="AD56" s="630"/>
      <c r="AE56" s="630"/>
      <c r="AF56" s="630"/>
      <c r="AG56" s="630"/>
      <c r="AH56" s="630"/>
      <c r="AI56" s="630"/>
      <c r="AJ56" s="630"/>
      <c r="AK56" s="630"/>
      <c r="AL56" s="630"/>
      <c r="AM56" s="630"/>
      <c r="AN56" s="630"/>
      <c r="AO56" s="630"/>
      <c r="AP56" s="630"/>
      <c r="AQ56" s="630"/>
      <c r="AR56" s="630"/>
      <c r="AS56" s="630"/>
      <c r="AT56" s="630"/>
      <c r="AU56" s="630"/>
      <c r="AV56" s="630"/>
      <c r="AW56" s="630"/>
      <c r="AX56" s="630"/>
      <c r="AY56" s="630"/>
      <c r="AZ56" s="630"/>
      <c r="BA56" s="630"/>
      <c r="BB56" s="630"/>
      <c r="BC56" s="630"/>
      <c r="BD56" s="630"/>
      <c r="BE56" s="630"/>
      <c r="BF56" s="630"/>
      <c r="BG56" s="630"/>
      <c r="BH56" s="630"/>
      <c r="BI56" s="630"/>
      <c r="BJ56" s="630"/>
      <c r="BK56" s="630"/>
      <c r="BL56" s="630"/>
      <c r="BM56" s="630"/>
      <c r="BN56" s="630"/>
      <c r="BO56" s="630"/>
      <c r="BP56" s="630"/>
      <c r="BQ56" s="630"/>
      <c r="BR56" s="630"/>
      <c r="BS56" s="630"/>
      <c r="BT56" s="630"/>
      <c r="BU56" s="630"/>
      <c r="BV56" s="630"/>
      <c r="BW56" s="630"/>
      <c r="BX56" s="630"/>
      <c r="BY56" s="630"/>
      <c r="BZ56" s="630"/>
      <c r="CA56" s="630"/>
      <c r="CB56" s="630"/>
      <c r="CC56" s="630"/>
      <c r="CD56" s="630"/>
      <c r="CE56" s="630"/>
      <c r="CF56" s="630"/>
      <c r="CG56" s="630"/>
      <c r="CH56" s="630"/>
      <c r="CI56" s="630"/>
      <c r="CJ56" s="630"/>
      <c r="CK56" s="630"/>
      <c r="CL56" s="630"/>
      <c r="CM56" s="631"/>
    </row>
    <row r="57" spans="1:174" x14ac:dyDescent="0.2">
      <c r="A57" s="632"/>
      <c r="B57" s="632"/>
      <c r="C57" s="632"/>
      <c r="D57" s="632"/>
      <c r="E57" s="632"/>
      <c r="F57" s="632"/>
      <c r="G57" s="632"/>
      <c r="H57" s="632"/>
      <c r="I57" s="632"/>
      <c r="J57" s="632"/>
      <c r="K57" s="632"/>
      <c r="L57" s="632"/>
      <c r="M57" s="632"/>
      <c r="N57" s="632"/>
      <c r="O57" s="632"/>
      <c r="P57" s="632"/>
      <c r="Q57" s="632"/>
      <c r="R57" s="632"/>
      <c r="S57" s="632"/>
      <c r="T57" s="632"/>
      <c r="U57" s="632"/>
      <c r="V57" s="632"/>
      <c r="W57" s="632"/>
      <c r="X57" s="632"/>
      <c r="Y57" s="632"/>
    </row>
    <row r="58" spans="1:174" s="2086" customFormat="1" ht="13.5" customHeight="1" x14ac:dyDescent="0.2">
      <c r="A58" s="2304" t="s">
        <v>1105</v>
      </c>
      <c r="B58" s="2305"/>
      <c r="C58" s="2305"/>
      <c r="D58" s="2305"/>
      <c r="E58" s="2305"/>
      <c r="F58" s="2305"/>
      <c r="G58" s="2305"/>
      <c r="H58" s="2305"/>
      <c r="I58" s="2305"/>
      <c r="J58" s="2305"/>
      <c r="K58" s="2305"/>
      <c r="L58" s="2305"/>
      <c r="M58" s="2305"/>
      <c r="N58" s="2305"/>
      <c r="O58" s="2305"/>
      <c r="P58" s="2305"/>
      <c r="Q58" s="2305"/>
      <c r="R58" s="2305"/>
      <c r="S58" s="2305"/>
      <c r="T58" s="2305"/>
      <c r="U58" s="2305"/>
      <c r="V58" s="2305"/>
      <c r="W58" s="2305"/>
      <c r="X58" s="2305"/>
      <c r="Y58" s="2305"/>
      <c r="Z58" s="2305"/>
      <c r="AA58" s="2305"/>
      <c r="AB58" s="2305"/>
      <c r="AC58" s="2305"/>
      <c r="AD58" s="2305"/>
      <c r="AE58" s="2305"/>
      <c r="AF58" s="2305"/>
      <c r="AG58" s="2305"/>
      <c r="AH58" s="2305"/>
      <c r="AI58" s="2305"/>
      <c r="AJ58" s="2305"/>
      <c r="AK58" s="2305"/>
      <c r="AL58" s="2305"/>
      <c r="AM58" s="2305"/>
      <c r="AN58" s="2305"/>
      <c r="AO58" s="2305"/>
      <c r="AP58" s="2305"/>
      <c r="AQ58" s="2305"/>
      <c r="AR58" s="2305"/>
      <c r="AS58" s="2305"/>
      <c r="AT58" s="2305"/>
      <c r="AU58" s="2305"/>
      <c r="AV58" s="2305"/>
      <c r="AW58" s="2305"/>
      <c r="AX58" s="2305"/>
      <c r="AY58" s="2305"/>
      <c r="AZ58" s="2305"/>
      <c r="BA58" s="2305"/>
      <c r="BB58" s="2305"/>
      <c r="BC58" s="2305"/>
      <c r="BD58" s="2305"/>
      <c r="BE58" s="2305"/>
      <c r="BF58" s="2305"/>
      <c r="BG58" s="2305"/>
      <c r="BH58" s="2305"/>
      <c r="BI58" s="2305"/>
      <c r="BJ58" s="2305"/>
      <c r="BK58" s="2305"/>
      <c r="BL58" s="2305"/>
      <c r="BM58" s="2305"/>
      <c r="BN58" s="2305"/>
      <c r="BO58" s="2305"/>
      <c r="BP58" s="2305"/>
      <c r="BQ58" s="2305"/>
      <c r="BR58" s="2305"/>
      <c r="BS58" s="2305"/>
      <c r="BT58" s="2305"/>
      <c r="BU58" s="2305"/>
      <c r="BV58" s="2305"/>
      <c r="BW58" s="2305"/>
      <c r="BX58" s="2305"/>
      <c r="BY58" s="2305"/>
      <c r="BZ58" s="2305"/>
      <c r="CA58" s="2305"/>
      <c r="CB58" s="2305"/>
      <c r="CC58" s="2305"/>
      <c r="CD58" s="2305"/>
      <c r="CE58" s="2305"/>
      <c r="CF58" s="2305"/>
      <c r="CG58" s="2305"/>
      <c r="CH58" s="2305"/>
      <c r="CI58" s="2305"/>
      <c r="CJ58" s="2305"/>
      <c r="CK58" s="2305"/>
      <c r="CL58" s="2305"/>
      <c r="CM58" s="2305"/>
      <c r="CN58" s="2305"/>
      <c r="CO58" s="2305"/>
      <c r="CP58" s="2305"/>
      <c r="CQ58" s="2305"/>
      <c r="CR58" s="2305"/>
      <c r="CS58" s="2305"/>
      <c r="CT58" s="2305"/>
      <c r="CU58" s="2305"/>
      <c r="CV58" s="2305"/>
      <c r="CW58" s="2305"/>
      <c r="CX58" s="2305"/>
      <c r="CY58" s="2305"/>
      <c r="CZ58" s="2305"/>
      <c r="DA58" s="2305"/>
      <c r="DB58" s="2305"/>
      <c r="DC58" s="2305"/>
      <c r="DD58" s="2305"/>
      <c r="DE58" s="2305"/>
      <c r="DF58" s="2305"/>
      <c r="DG58" s="2305"/>
      <c r="DH58" s="2305"/>
      <c r="DI58" s="2305"/>
      <c r="DJ58" s="2305"/>
      <c r="DK58" s="2305"/>
      <c r="DL58" s="2305"/>
      <c r="DM58" s="2305"/>
      <c r="DN58" s="2305"/>
      <c r="DO58" s="2305"/>
      <c r="DP58" s="2305"/>
      <c r="DQ58" s="2305"/>
      <c r="DR58" s="2305"/>
      <c r="DS58" s="2305"/>
      <c r="DT58" s="2305"/>
      <c r="DU58" s="2305"/>
      <c r="DV58" s="2305"/>
      <c r="DW58" s="2305"/>
      <c r="DX58" s="2305"/>
      <c r="DY58" s="2305"/>
      <c r="DZ58" s="2305"/>
      <c r="EA58" s="2305"/>
      <c r="EB58" s="2305"/>
      <c r="EC58" s="2305"/>
      <c r="ED58" s="2305"/>
      <c r="EE58" s="2305"/>
      <c r="EF58" s="2305"/>
      <c r="EG58" s="2305"/>
      <c r="EH58" s="2305"/>
      <c r="EI58" s="2305"/>
      <c r="EJ58" s="2305"/>
      <c r="EK58" s="2305"/>
      <c r="EL58" s="2305"/>
      <c r="EM58" s="2305"/>
      <c r="EN58" s="2305"/>
      <c r="EO58" s="2305"/>
      <c r="EP58" s="2305"/>
      <c r="EQ58" s="2305"/>
      <c r="ER58" s="2305"/>
      <c r="ES58" s="2305"/>
      <c r="ET58" s="2305"/>
      <c r="EU58" s="2305"/>
      <c r="EV58" s="2305"/>
      <c r="EW58" s="2305"/>
      <c r="EX58" s="2305"/>
      <c r="EY58" s="2305"/>
      <c r="EZ58" s="2305"/>
      <c r="FA58" s="2305"/>
      <c r="FB58" s="2305"/>
      <c r="FC58" s="2305"/>
      <c r="FD58" s="2305"/>
      <c r="FE58" s="2305"/>
      <c r="FF58" s="2305"/>
      <c r="FG58" s="2305"/>
      <c r="FH58" s="2305"/>
      <c r="FI58" s="2305"/>
      <c r="FJ58" s="2305"/>
      <c r="FK58" s="2305"/>
      <c r="FL58" s="2305"/>
      <c r="FM58" s="2305"/>
      <c r="FN58" s="2305"/>
      <c r="FO58" s="2305"/>
      <c r="FP58" s="2305"/>
      <c r="FQ58" s="2305"/>
      <c r="FR58" s="2305"/>
    </row>
    <row r="59" spans="1:174" s="2086" customFormat="1" ht="40.5" customHeight="1" x14ac:dyDescent="0.2">
      <c r="A59" s="2306" t="s">
        <v>1758</v>
      </c>
      <c r="B59" s="2306"/>
      <c r="C59" s="2306"/>
      <c r="D59" s="2306"/>
      <c r="E59" s="2306"/>
      <c r="F59" s="2306"/>
      <c r="G59" s="2306"/>
      <c r="H59" s="2306"/>
      <c r="I59" s="2306"/>
      <c r="J59" s="2306"/>
      <c r="K59" s="2306"/>
      <c r="L59" s="2306"/>
      <c r="M59" s="2306"/>
      <c r="N59" s="2306"/>
      <c r="O59" s="2306"/>
      <c r="P59" s="2306"/>
      <c r="Q59" s="2306"/>
      <c r="R59" s="2306"/>
      <c r="S59" s="2306"/>
      <c r="T59" s="2306"/>
      <c r="U59" s="2306"/>
      <c r="V59" s="2306"/>
      <c r="W59" s="2306"/>
      <c r="X59" s="2306"/>
      <c r="Y59" s="2306"/>
      <c r="Z59" s="2306"/>
      <c r="AA59" s="2306"/>
      <c r="AB59" s="2306"/>
      <c r="AC59" s="2306"/>
      <c r="AD59" s="2306"/>
      <c r="AE59" s="2306"/>
      <c r="AF59" s="2306"/>
      <c r="AG59" s="2306"/>
      <c r="AH59" s="2306"/>
      <c r="AI59" s="2306"/>
      <c r="AJ59" s="2306"/>
      <c r="AK59" s="2306"/>
      <c r="AL59" s="2306"/>
      <c r="AM59" s="2306"/>
      <c r="AN59" s="2306"/>
      <c r="AO59" s="2306"/>
      <c r="AP59" s="2306"/>
      <c r="AQ59" s="2306"/>
      <c r="AR59" s="2306"/>
      <c r="AS59" s="2306"/>
      <c r="AT59" s="2306"/>
      <c r="AU59" s="2306"/>
      <c r="AV59" s="2306"/>
      <c r="AW59" s="2306"/>
      <c r="AX59" s="2306"/>
      <c r="AY59" s="2306"/>
      <c r="AZ59" s="2306"/>
      <c r="BA59" s="2306"/>
      <c r="BB59" s="2306"/>
      <c r="BC59" s="2306"/>
      <c r="BD59" s="2306"/>
      <c r="BE59" s="2306"/>
      <c r="BF59" s="2306"/>
      <c r="BG59" s="2306"/>
      <c r="BH59" s="2306"/>
      <c r="BI59" s="2306"/>
      <c r="BJ59" s="2306"/>
      <c r="BK59" s="2306"/>
      <c r="BL59" s="2306"/>
      <c r="BM59" s="2306"/>
      <c r="BN59" s="2306"/>
      <c r="BO59" s="2306"/>
      <c r="BP59" s="2306"/>
      <c r="BQ59" s="2306"/>
      <c r="BR59" s="2306"/>
      <c r="BS59" s="2306"/>
      <c r="BT59" s="2306"/>
      <c r="BU59" s="2306"/>
      <c r="BV59" s="2306"/>
      <c r="BW59" s="2306"/>
      <c r="BX59" s="2306"/>
      <c r="BY59" s="2306"/>
      <c r="BZ59" s="2306"/>
      <c r="CA59" s="2306"/>
      <c r="CB59" s="2306"/>
      <c r="CC59" s="2306"/>
      <c r="CD59" s="2306"/>
      <c r="CE59" s="2306"/>
      <c r="CF59" s="2306"/>
      <c r="CG59" s="2306"/>
      <c r="CH59" s="2306"/>
      <c r="CI59" s="2306"/>
      <c r="CJ59" s="2306"/>
      <c r="CK59" s="2306"/>
      <c r="CL59" s="2306"/>
      <c r="CM59" s="2306"/>
      <c r="CN59" s="2306"/>
      <c r="CO59" s="2306"/>
      <c r="CP59" s="2306"/>
      <c r="CQ59" s="2306"/>
      <c r="CR59" s="2306"/>
      <c r="CS59" s="2306"/>
      <c r="CT59" s="2306"/>
      <c r="CU59" s="2306"/>
      <c r="CV59" s="2306"/>
      <c r="CW59" s="2306"/>
      <c r="CX59" s="2306"/>
      <c r="CY59" s="2306"/>
      <c r="CZ59" s="2306"/>
      <c r="DA59" s="2306"/>
      <c r="DB59" s="2306"/>
      <c r="DC59" s="2306"/>
      <c r="DD59" s="2306"/>
      <c r="DE59" s="2306"/>
      <c r="DF59" s="2306"/>
      <c r="DG59" s="2306"/>
      <c r="DH59" s="2306"/>
      <c r="DI59" s="2306"/>
      <c r="DJ59" s="2306"/>
      <c r="DK59" s="2306"/>
      <c r="DL59" s="2306"/>
      <c r="DM59" s="2306"/>
      <c r="DN59" s="2306"/>
      <c r="DO59" s="2306"/>
      <c r="DP59" s="2306"/>
      <c r="DQ59" s="2306"/>
      <c r="DR59" s="2306"/>
      <c r="DS59" s="2306"/>
      <c r="DT59" s="2306"/>
      <c r="DU59" s="2306"/>
      <c r="DV59" s="2306"/>
      <c r="DW59" s="2306"/>
      <c r="DX59" s="2306"/>
      <c r="DY59" s="2306"/>
      <c r="DZ59" s="2306"/>
      <c r="EA59" s="2306"/>
      <c r="EB59" s="2306"/>
      <c r="EC59" s="2306"/>
      <c r="ED59" s="2306"/>
      <c r="EE59" s="2306"/>
      <c r="EF59" s="2306"/>
      <c r="EG59" s="2306"/>
      <c r="EH59" s="2306"/>
      <c r="EI59" s="2306"/>
      <c r="EJ59" s="2306"/>
      <c r="EK59" s="2306"/>
      <c r="EL59" s="2306"/>
      <c r="EM59" s="2306"/>
      <c r="EN59" s="2306"/>
      <c r="EO59" s="2306"/>
      <c r="EP59" s="2306"/>
      <c r="EQ59" s="2306"/>
      <c r="ER59" s="2306"/>
      <c r="ES59" s="2306"/>
      <c r="ET59" s="2306"/>
      <c r="EU59" s="2306"/>
      <c r="EV59" s="2306"/>
      <c r="EW59" s="2306"/>
      <c r="EX59" s="2306"/>
      <c r="EY59" s="2306"/>
      <c r="EZ59" s="2306"/>
      <c r="FA59" s="2306"/>
      <c r="FB59" s="2306"/>
      <c r="FC59" s="2306"/>
      <c r="FD59" s="2306"/>
      <c r="FE59" s="2306"/>
      <c r="FF59" s="2306"/>
      <c r="FG59" s="2306"/>
      <c r="FH59" s="2306"/>
      <c r="FI59" s="2306"/>
      <c r="FJ59" s="2306"/>
      <c r="FK59" s="2306"/>
      <c r="FL59" s="2306"/>
      <c r="FM59" s="2306"/>
      <c r="FN59" s="2306"/>
      <c r="FO59" s="2306"/>
      <c r="FP59" s="2306"/>
      <c r="FQ59" s="2306"/>
      <c r="FR59" s="2306"/>
    </row>
    <row r="60" spans="1:174" s="2194" customFormat="1" ht="51.75" customHeight="1" x14ac:dyDescent="0.2">
      <c r="A60" s="2306" t="s">
        <v>1759</v>
      </c>
      <c r="B60" s="2306"/>
      <c r="C60" s="2306"/>
      <c r="D60" s="2306"/>
      <c r="E60" s="2306"/>
      <c r="F60" s="2306"/>
      <c r="G60" s="2306"/>
      <c r="H60" s="2306"/>
      <c r="I60" s="2306"/>
      <c r="J60" s="2306"/>
      <c r="K60" s="2306"/>
      <c r="L60" s="2306"/>
      <c r="M60" s="2306"/>
      <c r="N60" s="2306"/>
      <c r="O60" s="2306"/>
      <c r="P60" s="2306"/>
      <c r="Q60" s="2306"/>
      <c r="R60" s="2306"/>
      <c r="S60" s="2306"/>
      <c r="T60" s="2306"/>
      <c r="U60" s="2306"/>
      <c r="V60" s="2306"/>
      <c r="W60" s="2306"/>
      <c r="X60" s="2306"/>
      <c r="Y60" s="2306"/>
      <c r="Z60" s="2306"/>
      <c r="AA60" s="2306"/>
      <c r="AB60" s="2306"/>
      <c r="AC60" s="2306"/>
      <c r="AD60" s="2306"/>
      <c r="AE60" s="2306"/>
      <c r="AF60" s="2306"/>
      <c r="AG60" s="2306"/>
      <c r="AH60" s="2306"/>
      <c r="AI60" s="2306"/>
      <c r="AJ60" s="2306"/>
      <c r="AK60" s="2306"/>
      <c r="AL60" s="2306"/>
      <c r="AM60" s="2306"/>
      <c r="AN60" s="2306"/>
      <c r="AO60" s="2306"/>
      <c r="AP60" s="2306"/>
      <c r="AQ60" s="2306"/>
      <c r="AR60" s="2306"/>
      <c r="AS60" s="2306"/>
      <c r="AT60" s="2306"/>
      <c r="AU60" s="2306"/>
      <c r="AV60" s="2306"/>
      <c r="AW60" s="2306"/>
      <c r="AX60" s="2306"/>
      <c r="AY60" s="2306"/>
      <c r="AZ60" s="2306"/>
      <c r="BA60" s="2306"/>
      <c r="BB60" s="2306"/>
      <c r="BC60" s="2306"/>
      <c r="BD60" s="2306"/>
      <c r="BE60" s="2306"/>
      <c r="BF60" s="2306"/>
      <c r="BG60" s="2306"/>
      <c r="BH60" s="2306"/>
      <c r="BI60" s="2306"/>
      <c r="BJ60" s="2306"/>
      <c r="BK60" s="2306"/>
      <c r="BL60" s="2306"/>
      <c r="BM60" s="2306"/>
      <c r="BN60" s="2306"/>
      <c r="BO60" s="2306"/>
      <c r="BP60" s="2306"/>
      <c r="BQ60" s="2306"/>
      <c r="BR60" s="2306"/>
      <c r="BS60" s="2306"/>
      <c r="BT60" s="2306"/>
      <c r="BU60" s="2306"/>
      <c r="BV60" s="2306"/>
      <c r="BW60" s="2306"/>
      <c r="BX60" s="2306"/>
      <c r="BY60" s="2306"/>
      <c r="BZ60" s="2306"/>
      <c r="CA60" s="2306"/>
      <c r="CB60" s="2306"/>
      <c r="CC60" s="2306"/>
      <c r="CD60" s="2306"/>
      <c r="CE60" s="2306"/>
      <c r="CF60" s="2306"/>
      <c r="CG60" s="2306"/>
      <c r="CH60" s="2306"/>
      <c r="CI60" s="2306"/>
      <c r="CJ60" s="2306"/>
      <c r="CK60" s="2306"/>
      <c r="CL60" s="2306"/>
      <c r="CM60" s="2306"/>
      <c r="CN60" s="2306"/>
      <c r="CO60" s="2306"/>
      <c r="CP60" s="2306"/>
      <c r="CQ60" s="2306"/>
      <c r="CR60" s="2306"/>
      <c r="CS60" s="2306"/>
      <c r="CT60" s="2306"/>
      <c r="CU60" s="2306"/>
      <c r="CV60" s="2306"/>
      <c r="CW60" s="2306"/>
      <c r="CX60" s="2306"/>
      <c r="CY60" s="2306"/>
      <c r="CZ60" s="2306"/>
      <c r="DA60" s="2306"/>
      <c r="DB60" s="2306"/>
      <c r="DC60" s="2306"/>
      <c r="DD60" s="2306"/>
      <c r="DE60" s="2306"/>
      <c r="DF60" s="2306"/>
      <c r="DG60" s="2306"/>
      <c r="DH60" s="2306"/>
      <c r="DI60" s="2306"/>
      <c r="DJ60" s="2306"/>
      <c r="DK60" s="2306"/>
      <c r="DL60" s="2306"/>
      <c r="DM60" s="2306"/>
      <c r="DN60" s="2306"/>
      <c r="DO60" s="2306"/>
      <c r="DP60" s="2306"/>
      <c r="DQ60" s="2306"/>
      <c r="DR60" s="2306"/>
      <c r="DS60" s="2306"/>
      <c r="DT60" s="2306"/>
      <c r="DU60" s="2306"/>
      <c r="DV60" s="2306"/>
      <c r="DW60" s="2306"/>
      <c r="DX60" s="2306"/>
      <c r="DY60" s="2306"/>
      <c r="DZ60" s="2306"/>
      <c r="EA60" s="2306"/>
      <c r="EB60" s="2306"/>
      <c r="EC60" s="2306"/>
      <c r="ED60" s="2306"/>
      <c r="EE60" s="2306"/>
      <c r="EF60" s="2306"/>
      <c r="EG60" s="2306"/>
      <c r="EH60" s="2306"/>
      <c r="EI60" s="2306"/>
      <c r="EJ60" s="2306"/>
      <c r="EK60" s="2306"/>
      <c r="EL60" s="2306"/>
      <c r="EM60" s="2306"/>
      <c r="EN60" s="2306"/>
      <c r="EO60" s="2306"/>
      <c r="EP60" s="2306"/>
      <c r="EQ60" s="2306"/>
      <c r="ER60" s="2306"/>
      <c r="ES60" s="2306"/>
      <c r="ET60" s="2306"/>
      <c r="EU60" s="2306"/>
      <c r="EV60" s="2306"/>
      <c r="EW60" s="2306"/>
      <c r="EX60" s="2306"/>
      <c r="EY60" s="2306"/>
      <c r="EZ60" s="2306"/>
      <c r="FA60" s="2306"/>
      <c r="FB60" s="2306"/>
      <c r="FC60" s="2306"/>
      <c r="FD60" s="2306"/>
      <c r="FE60" s="2306"/>
      <c r="FF60" s="2306"/>
      <c r="FG60" s="2306"/>
      <c r="FH60" s="2306"/>
      <c r="FI60" s="2306"/>
      <c r="FJ60" s="2306"/>
      <c r="FK60" s="2306"/>
      <c r="FL60" s="2306"/>
      <c r="FM60" s="2306"/>
      <c r="FN60" s="2306"/>
      <c r="FO60" s="2306"/>
      <c r="FP60" s="2306"/>
      <c r="FQ60" s="2306"/>
      <c r="FR60" s="2306"/>
    </row>
    <row r="61" spans="1:174" s="2086" customFormat="1" ht="12.75" customHeight="1" x14ac:dyDescent="0.2">
      <c r="A61" s="2307" t="s">
        <v>1106</v>
      </c>
      <c r="B61" s="2308"/>
      <c r="C61" s="2308"/>
      <c r="D61" s="2308"/>
      <c r="E61" s="2308"/>
      <c r="F61" s="2308"/>
      <c r="G61" s="2308"/>
      <c r="H61" s="2308"/>
      <c r="I61" s="2308"/>
      <c r="J61" s="2308"/>
      <c r="K61" s="2308"/>
      <c r="L61" s="2308"/>
      <c r="M61" s="2308"/>
      <c r="N61" s="2308"/>
      <c r="O61" s="2308"/>
      <c r="P61" s="2308"/>
      <c r="Q61" s="2308"/>
      <c r="R61" s="2308"/>
      <c r="S61" s="2308"/>
      <c r="T61" s="2308"/>
      <c r="U61" s="2308"/>
      <c r="V61" s="2308"/>
      <c r="W61" s="2308"/>
      <c r="X61" s="2308"/>
      <c r="Y61" s="2308"/>
      <c r="Z61" s="2308"/>
      <c r="AA61" s="2308"/>
      <c r="AB61" s="2308"/>
      <c r="AC61" s="2308"/>
      <c r="AD61" s="2308"/>
      <c r="AE61" s="2308"/>
      <c r="AF61" s="2308"/>
      <c r="AG61" s="2308"/>
      <c r="AH61" s="2308"/>
      <c r="AI61" s="2308"/>
      <c r="AJ61" s="2308"/>
      <c r="AK61" s="2308"/>
      <c r="AL61" s="2308"/>
      <c r="AM61" s="2308"/>
      <c r="AN61" s="2308"/>
      <c r="AO61" s="2308"/>
      <c r="AP61" s="2308"/>
      <c r="AQ61" s="2308"/>
      <c r="AR61" s="2308"/>
      <c r="AS61" s="2308"/>
      <c r="AT61" s="2308"/>
      <c r="AU61" s="2308"/>
      <c r="AV61" s="2308"/>
      <c r="AW61" s="2308"/>
      <c r="AX61" s="2308"/>
      <c r="AY61" s="2308"/>
      <c r="AZ61" s="2308"/>
      <c r="BA61" s="2308"/>
      <c r="BB61" s="2308"/>
      <c r="BC61" s="2308"/>
      <c r="BD61" s="2308"/>
      <c r="BE61" s="2308"/>
      <c r="BF61" s="2308"/>
      <c r="BG61" s="2308"/>
      <c r="BH61" s="2308"/>
      <c r="BI61" s="2308"/>
      <c r="BJ61" s="2308"/>
      <c r="BK61" s="2308"/>
      <c r="BL61" s="2308"/>
      <c r="BM61" s="2308"/>
      <c r="BN61" s="2308"/>
      <c r="BO61" s="2308"/>
      <c r="BP61" s="2308"/>
      <c r="BQ61" s="2308"/>
      <c r="BR61" s="2308"/>
      <c r="BS61" s="2308"/>
      <c r="BT61" s="2308"/>
      <c r="BU61" s="2308"/>
      <c r="BV61" s="2308"/>
      <c r="BW61" s="2308"/>
      <c r="BX61" s="2308"/>
      <c r="BY61" s="2308"/>
      <c r="BZ61" s="2308"/>
      <c r="CA61" s="2308"/>
      <c r="CB61" s="2308"/>
      <c r="CC61" s="2308"/>
      <c r="CD61" s="2308"/>
      <c r="CE61" s="2308"/>
      <c r="CF61" s="2308"/>
      <c r="CG61" s="2308"/>
      <c r="CH61" s="2308"/>
      <c r="CI61" s="2308"/>
      <c r="CJ61" s="2308"/>
      <c r="CK61" s="2308"/>
      <c r="CL61" s="2308"/>
      <c r="CM61" s="2308"/>
      <c r="CN61" s="2308"/>
      <c r="CO61" s="2308"/>
      <c r="CP61" s="2308"/>
      <c r="CQ61" s="2308"/>
      <c r="CR61" s="2308"/>
      <c r="CS61" s="2308"/>
      <c r="CT61" s="2308"/>
      <c r="CU61" s="2308"/>
      <c r="CV61" s="2308"/>
      <c r="CW61" s="2308"/>
      <c r="CX61" s="2308"/>
      <c r="CY61" s="2308"/>
      <c r="CZ61" s="2308"/>
      <c r="DA61" s="2308"/>
      <c r="DB61" s="2308"/>
      <c r="DC61" s="2308"/>
      <c r="DD61" s="2308"/>
      <c r="DE61" s="2308"/>
      <c r="DF61" s="2308"/>
      <c r="DG61" s="2308"/>
      <c r="DH61" s="2308"/>
      <c r="DI61" s="2308"/>
      <c r="DJ61" s="2308"/>
      <c r="DK61" s="2308"/>
      <c r="DL61" s="2308"/>
      <c r="DM61" s="2308"/>
      <c r="DN61" s="2308"/>
      <c r="DO61" s="2308"/>
      <c r="DP61" s="2308"/>
      <c r="DQ61" s="2308"/>
      <c r="DR61" s="2308"/>
      <c r="DS61" s="2308"/>
      <c r="DT61" s="2308"/>
      <c r="DU61" s="2308"/>
      <c r="DV61" s="2308"/>
      <c r="DW61" s="2308"/>
      <c r="DX61" s="2308"/>
      <c r="DY61" s="2308"/>
      <c r="DZ61" s="2308"/>
      <c r="EA61" s="2308"/>
      <c r="EB61" s="2308"/>
      <c r="EC61" s="2308"/>
      <c r="ED61" s="2308"/>
      <c r="EE61" s="2308"/>
      <c r="EF61" s="2308"/>
      <c r="EG61" s="2308"/>
      <c r="EH61" s="2308"/>
      <c r="EI61" s="2308"/>
      <c r="EJ61" s="2308"/>
      <c r="EK61" s="2308"/>
      <c r="EL61" s="2308"/>
      <c r="EM61" s="2308"/>
      <c r="EN61" s="2308"/>
      <c r="EO61" s="2308"/>
      <c r="EP61" s="2308"/>
      <c r="EQ61" s="2308"/>
      <c r="ER61" s="2308"/>
      <c r="ES61" s="2308"/>
      <c r="ET61" s="2308"/>
      <c r="EU61" s="2308"/>
      <c r="EV61" s="2308"/>
      <c r="EW61" s="2308"/>
      <c r="EX61" s="2308"/>
      <c r="EY61" s="2308"/>
      <c r="EZ61" s="2308"/>
      <c r="FA61" s="2308"/>
      <c r="FB61" s="2308"/>
      <c r="FC61" s="2308"/>
      <c r="FD61" s="2308"/>
      <c r="FE61" s="2308"/>
      <c r="FF61" s="2308"/>
      <c r="FG61" s="2308"/>
      <c r="FH61" s="2308"/>
      <c r="FI61" s="2308"/>
      <c r="FJ61" s="2308"/>
      <c r="FK61" s="2308"/>
      <c r="FL61" s="2308"/>
      <c r="FM61" s="2308"/>
      <c r="FN61" s="2308"/>
      <c r="FO61" s="2308"/>
      <c r="FP61" s="2308"/>
      <c r="FQ61" s="2308"/>
      <c r="FR61" s="2308"/>
    </row>
    <row r="62" spans="1:174" s="2086" customFormat="1" ht="11.25" customHeight="1" x14ac:dyDescent="0.2">
      <c r="A62" s="2086" t="s">
        <v>1107</v>
      </c>
      <c r="DF62" s="2194"/>
      <c r="DG62" s="2194"/>
      <c r="DH62" s="2194"/>
      <c r="DI62" s="2194"/>
      <c r="DJ62" s="2194"/>
      <c r="DK62" s="2194"/>
      <c r="DL62" s="2194"/>
      <c r="DM62" s="2194"/>
      <c r="DN62" s="2194"/>
      <c r="DO62" s="2194"/>
      <c r="DP62" s="2194"/>
      <c r="DQ62" s="2194"/>
      <c r="DR62" s="2194"/>
    </row>
    <row r="63" spans="1:174" s="2086" customFormat="1" ht="11.25" customHeight="1" x14ac:dyDescent="0.2">
      <c r="A63" s="2086" t="s">
        <v>1108</v>
      </c>
      <c r="DF63" s="2194"/>
      <c r="DG63" s="2194"/>
      <c r="DH63" s="2194"/>
      <c r="DI63" s="2194"/>
      <c r="DJ63" s="2194"/>
      <c r="DK63" s="2194"/>
      <c r="DL63" s="2194"/>
      <c r="DM63" s="2194"/>
      <c r="DN63" s="2194"/>
      <c r="DO63" s="2194"/>
      <c r="DP63" s="2194"/>
      <c r="DQ63" s="2194"/>
      <c r="DR63" s="2194"/>
    </row>
    <row r="64" spans="1:174" s="2086" customFormat="1" ht="11.25" customHeight="1" x14ac:dyDescent="0.2">
      <c r="A64" s="2086" t="s">
        <v>1109</v>
      </c>
      <c r="DF64" s="2194"/>
      <c r="DG64" s="2194"/>
      <c r="DH64" s="2194"/>
      <c r="DI64" s="2194"/>
      <c r="DJ64" s="2194"/>
      <c r="DK64" s="2194"/>
      <c r="DL64" s="2194"/>
      <c r="DM64" s="2194"/>
      <c r="DN64" s="2194"/>
      <c r="DO64" s="2194"/>
      <c r="DP64" s="2194"/>
      <c r="DQ64" s="2194"/>
      <c r="DR64" s="2194"/>
    </row>
    <row r="65" spans="1:174" s="2086" customFormat="1" ht="20.25" customHeight="1" x14ac:dyDescent="0.2">
      <c r="A65" s="2309" t="s">
        <v>1110</v>
      </c>
      <c r="B65" s="2309"/>
      <c r="C65" s="2309"/>
      <c r="D65" s="2309"/>
      <c r="E65" s="2309"/>
      <c r="F65" s="2309"/>
      <c r="G65" s="2309"/>
      <c r="H65" s="2309"/>
      <c r="I65" s="2309"/>
      <c r="J65" s="2309"/>
      <c r="K65" s="2309"/>
      <c r="L65" s="2309"/>
      <c r="M65" s="2309"/>
      <c r="N65" s="2309"/>
      <c r="O65" s="2309"/>
      <c r="P65" s="2309"/>
      <c r="Q65" s="2309"/>
      <c r="R65" s="2309"/>
      <c r="S65" s="2309"/>
      <c r="T65" s="2309"/>
      <c r="U65" s="2309"/>
      <c r="V65" s="2309"/>
      <c r="W65" s="2309"/>
      <c r="X65" s="2309"/>
      <c r="Y65" s="2309"/>
      <c r="Z65" s="2309"/>
      <c r="AA65" s="2309"/>
      <c r="AB65" s="2309"/>
      <c r="AC65" s="2309"/>
      <c r="AD65" s="2309"/>
      <c r="AE65" s="2309"/>
      <c r="AF65" s="2309"/>
      <c r="AG65" s="2309"/>
      <c r="AH65" s="2309"/>
      <c r="AI65" s="2309"/>
      <c r="AJ65" s="2309"/>
      <c r="AK65" s="2309"/>
      <c r="AL65" s="2309"/>
      <c r="AM65" s="2309"/>
      <c r="AN65" s="2309"/>
      <c r="AO65" s="2309"/>
      <c r="AP65" s="2309"/>
      <c r="AQ65" s="2309"/>
      <c r="AR65" s="2309"/>
      <c r="AS65" s="2309"/>
      <c r="AT65" s="2309"/>
      <c r="AU65" s="2309"/>
      <c r="AV65" s="2309"/>
      <c r="AW65" s="2309"/>
      <c r="AX65" s="2309"/>
      <c r="AY65" s="2309"/>
      <c r="AZ65" s="2309"/>
      <c r="BA65" s="2309"/>
      <c r="BB65" s="2309"/>
      <c r="BC65" s="2309"/>
      <c r="BD65" s="2309"/>
      <c r="BE65" s="2309"/>
      <c r="BF65" s="2309"/>
      <c r="BG65" s="2309"/>
      <c r="BH65" s="2309"/>
      <c r="BI65" s="2309"/>
      <c r="BJ65" s="2309"/>
      <c r="BK65" s="2309"/>
      <c r="BL65" s="2309"/>
      <c r="BM65" s="2309"/>
      <c r="BN65" s="2309"/>
      <c r="BO65" s="2309"/>
      <c r="BP65" s="2309"/>
      <c r="BQ65" s="2309"/>
      <c r="BR65" s="2309"/>
      <c r="BS65" s="2309"/>
      <c r="BT65" s="2309"/>
      <c r="BU65" s="2309"/>
      <c r="BV65" s="2309"/>
      <c r="BW65" s="2309"/>
      <c r="BX65" s="2309"/>
      <c r="BY65" s="2309"/>
      <c r="BZ65" s="2309"/>
      <c r="CA65" s="2309"/>
      <c r="CB65" s="2309"/>
      <c r="CC65" s="2309"/>
      <c r="CD65" s="2309"/>
      <c r="CE65" s="2309"/>
      <c r="CF65" s="2309"/>
      <c r="CG65" s="2309"/>
      <c r="CH65" s="2309"/>
      <c r="CI65" s="2309"/>
      <c r="CJ65" s="2309"/>
      <c r="CK65" s="2309"/>
      <c r="CL65" s="2309"/>
      <c r="CM65" s="2309"/>
      <c r="CN65" s="2309"/>
      <c r="CO65" s="2309"/>
      <c r="CP65" s="2309"/>
      <c r="CQ65" s="2309"/>
      <c r="CR65" s="2309"/>
      <c r="CS65" s="2309"/>
      <c r="CT65" s="2309"/>
      <c r="CU65" s="2309"/>
      <c r="CV65" s="2309"/>
      <c r="CW65" s="2309"/>
      <c r="CX65" s="2309"/>
      <c r="CY65" s="2309"/>
      <c r="CZ65" s="2309"/>
      <c r="DA65" s="2309"/>
      <c r="DB65" s="2309"/>
      <c r="DC65" s="2309"/>
      <c r="DD65" s="2309"/>
      <c r="DE65" s="2309"/>
      <c r="DF65" s="2309"/>
      <c r="DG65" s="2309"/>
      <c r="DH65" s="2309"/>
      <c r="DI65" s="2309"/>
      <c r="DJ65" s="2309"/>
      <c r="DK65" s="2309"/>
      <c r="DL65" s="2309"/>
      <c r="DM65" s="2309"/>
      <c r="DN65" s="2309"/>
      <c r="DO65" s="2309"/>
      <c r="DP65" s="2309"/>
      <c r="DQ65" s="2309"/>
      <c r="DR65" s="2309"/>
      <c r="DS65" s="2309"/>
      <c r="DT65" s="2309"/>
      <c r="DU65" s="2309"/>
      <c r="DV65" s="2309"/>
      <c r="DW65" s="2309"/>
      <c r="DX65" s="2309"/>
      <c r="DY65" s="2309"/>
      <c r="DZ65" s="2309"/>
      <c r="EA65" s="2309"/>
      <c r="EB65" s="2309"/>
      <c r="EC65" s="2309"/>
      <c r="ED65" s="2309"/>
      <c r="EE65" s="2309"/>
      <c r="EF65" s="2309"/>
      <c r="EG65" s="2309"/>
      <c r="EH65" s="2309"/>
      <c r="EI65" s="2309"/>
      <c r="EJ65" s="2309"/>
      <c r="EK65" s="2309"/>
      <c r="EL65" s="2309"/>
      <c r="EM65" s="2309"/>
      <c r="EN65" s="2309"/>
      <c r="EO65" s="2309"/>
      <c r="EP65" s="2309"/>
      <c r="EQ65" s="2309"/>
      <c r="ER65" s="2309"/>
      <c r="ES65" s="2309"/>
      <c r="ET65" s="2309"/>
      <c r="EU65" s="2309"/>
      <c r="EV65" s="2309"/>
      <c r="EW65" s="2309"/>
      <c r="EX65" s="2309"/>
      <c r="EY65" s="2309"/>
      <c r="EZ65" s="2309"/>
      <c r="FA65" s="2309"/>
      <c r="FB65" s="2309"/>
      <c r="FC65" s="2309"/>
      <c r="FD65" s="2309"/>
      <c r="FE65" s="2309"/>
      <c r="FF65" s="2309"/>
      <c r="FG65" s="2309"/>
      <c r="FH65" s="2309"/>
      <c r="FI65" s="2309"/>
      <c r="FJ65" s="2309"/>
      <c r="FK65" s="2309"/>
      <c r="FL65" s="2309"/>
      <c r="FM65" s="2309"/>
      <c r="FN65" s="2309"/>
      <c r="FO65" s="2309"/>
      <c r="FP65" s="2309"/>
      <c r="FQ65" s="2309"/>
      <c r="FR65" s="2309"/>
    </row>
    <row r="66" spans="1:174" ht="3" customHeight="1" x14ac:dyDescent="0.2"/>
  </sheetData>
  <mergeCells count="264">
    <mergeCell ref="EL4:EN4"/>
    <mergeCell ref="EO4:ER4"/>
    <mergeCell ref="ES4:EX4"/>
    <mergeCell ref="EY4:FA4"/>
    <mergeCell ref="FB4:FE4"/>
    <mergeCell ref="FF4:FR5"/>
    <mergeCell ref="B1:FQ1"/>
    <mergeCell ref="A3:H5"/>
    <mergeCell ref="I3:CM5"/>
    <mergeCell ref="CN3:CU5"/>
    <mergeCell ref="CV3:DE5"/>
    <mergeCell ref="DS3:FR3"/>
    <mergeCell ref="DS4:DX4"/>
    <mergeCell ref="DY4:EA4"/>
    <mergeCell ref="EB4:EE4"/>
    <mergeCell ref="EF4:EK4"/>
    <mergeCell ref="DS5:EE5"/>
    <mergeCell ref="EF5:ER5"/>
    <mergeCell ref="ES5:FE5"/>
    <mergeCell ref="DF3:DR5"/>
    <mergeCell ref="A6:H6"/>
    <mergeCell ref="I6:CM6"/>
    <mergeCell ref="CN6:CU6"/>
    <mergeCell ref="CV6:DE6"/>
    <mergeCell ref="DS6:EE6"/>
    <mergeCell ref="EF6:ER6"/>
    <mergeCell ref="ES6:FE6"/>
    <mergeCell ref="FF6:FR6"/>
    <mergeCell ref="A7:H7"/>
    <mergeCell ref="I7:CM7"/>
    <mergeCell ref="CN7:CU7"/>
    <mergeCell ref="CV7:DE7"/>
    <mergeCell ref="DS7:EE7"/>
    <mergeCell ref="EF7:ER7"/>
    <mergeCell ref="ES7:FE7"/>
    <mergeCell ref="FF7:FR7"/>
    <mergeCell ref="DF6:DR6"/>
    <mergeCell ref="FS7:GB7"/>
    <mergeCell ref="A8:H8"/>
    <mergeCell ref="I8:CM8"/>
    <mergeCell ref="CN8:CU8"/>
    <mergeCell ref="CV8:DE8"/>
    <mergeCell ref="DS8:EE8"/>
    <mergeCell ref="EF8:ER8"/>
    <mergeCell ref="ES8:FE8"/>
    <mergeCell ref="FF8:FR8"/>
    <mergeCell ref="ES9:FE9"/>
    <mergeCell ref="FF9:FR9"/>
    <mergeCell ref="A10:H10"/>
    <mergeCell ref="I10:CM10"/>
    <mergeCell ref="CN10:CU10"/>
    <mergeCell ref="CV10:DE10"/>
    <mergeCell ref="DS10:EE10"/>
    <mergeCell ref="EF10:ER10"/>
    <mergeCell ref="ES10:FE10"/>
    <mergeCell ref="FF10:FR10"/>
    <mergeCell ref="A9:H9"/>
    <mergeCell ref="I9:CM9"/>
    <mergeCell ref="CN9:CU9"/>
    <mergeCell ref="CV9:DE9"/>
    <mergeCell ref="DS9:EE9"/>
    <mergeCell ref="EF9:ER9"/>
    <mergeCell ref="ES14:FE14"/>
    <mergeCell ref="FF14:FR14"/>
    <mergeCell ref="A15:H15"/>
    <mergeCell ref="I15:CM15"/>
    <mergeCell ref="CN15:CU15"/>
    <mergeCell ref="CV15:DE15"/>
    <mergeCell ref="DS15:EE15"/>
    <mergeCell ref="EF15:ER15"/>
    <mergeCell ref="ES15:FE15"/>
    <mergeCell ref="FF15:FR15"/>
    <mergeCell ref="A14:H14"/>
    <mergeCell ref="I14:CM14"/>
    <mergeCell ref="CN14:CU14"/>
    <mergeCell ref="CV14:DE14"/>
    <mergeCell ref="DS14:EE14"/>
    <mergeCell ref="EF14:ER14"/>
    <mergeCell ref="ES16:FE16"/>
    <mergeCell ref="FF16:FR16"/>
    <mergeCell ref="A17:H17"/>
    <mergeCell ref="I17:CM17"/>
    <mergeCell ref="CN17:CU17"/>
    <mergeCell ref="CV17:DE17"/>
    <mergeCell ref="DS17:EE17"/>
    <mergeCell ref="EF17:ER17"/>
    <mergeCell ref="ES17:FE17"/>
    <mergeCell ref="FF17:FR17"/>
    <mergeCell ref="A16:H16"/>
    <mergeCell ref="I16:CM16"/>
    <mergeCell ref="CN16:CU16"/>
    <mergeCell ref="CV16:DE16"/>
    <mergeCell ref="DS16:EE16"/>
    <mergeCell ref="EF16:ER16"/>
    <mergeCell ref="ES18:FE18"/>
    <mergeCell ref="FF18:FR18"/>
    <mergeCell ref="A19:H19"/>
    <mergeCell ref="I19:CM19"/>
    <mergeCell ref="CN19:CU19"/>
    <mergeCell ref="CV19:DE19"/>
    <mergeCell ref="DS19:EE19"/>
    <mergeCell ref="EF19:ER19"/>
    <mergeCell ref="ES19:FE19"/>
    <mergeCell ref="FF19:FR19"/>
    <mergeCell ref="A18:H18"/>
    <mergeCell ref="I18:CM18"/>
    <mergeCell ref="CN18:CU18"/>
    <mergeCell ref="CV18:DE18"/>
    <mergeCell ref="DS18:EE18"/>
    <mergeCell ref="EF18:ER18"/>
    <mergeCell ref="ES21:FE21"/>
    <mergeCell ref="FF21:FR21"/>
    <mergeCell ref="A22:H22"/>
    <mergeCell ref="I22:CM22"/>
    <mergeCell ref="CN22:CU22"/>
    <mergeCell ref="CV22:DE22"/>
    <mergeCell ref="DS22:EE22"/>
    <mergeCell ref="EF22:ER22"/>
    <mergeCell ref="ES22:FE22"/>
    <mergeCell ref="FF22:FR22"/>
    <mergeCell ref="A21:H21"/>
    <mergeCell ref="I21:CM21"/>
    <mergeCell ref="CN21:CU21"/>
    <mergeCell ref="CV21:DE21"/>
    <mergeCell ref="DS21:EE21"/>
    <mergeCell ref="EF21:ER21"/>
    <mergeCell ref="ES24:FE24"/>
    <mergeCell ref="FF24:FR24"/>
    <mergeCell ref="A25:H25"/>
    <mergeCell ref="I25:CM25"/>
    <mergeCell ref="CN25:CU25"/>
    <mergeCell ref="CV25:DE25"/>
    <mergeCell ref="DS25:EE25"/>
    <mergeCell ref="EF25:ER25"/>
    <mergeCell ref="ES25:FE25"/>
    <mergeCell ref="FF25:FR25"/>
    <mergeCell ref="A24:H24"/>
    <mergeCell ref="I24:CM24"/>
    <mergeCell ref="CN24:CU24"/>
    <mergeCell ref="CV24:DE24"/>
    <mergeCell ref="DS24:EE24"/>
    <mergeCell ref="EF24:ER24"/>
    <mergeCell ref="ES26:FE26"/>
    <mergeCell ref="FF26:FR26"/>
    <mergeCell ref="A27:H27"/>
    <mergeCell ref="I27:CM27"/>
    <mergeCell ref="CN27:CU27"/>
    <mergeCell ref="CV27:DE27"/>
    <mergeCell ref="DS27:EE27"/>
    <mergeCell ref="EF27:ER27"/>
    <mergeCell ref="ES27:FE27"/>
    <mergeCell ref="FF27:FR27"/>
    <mergeCell ref="A26:H26"/>
    <mergeCell ref="I26:CM26"/>
    <mergeCell ref="CN26:CU26"/>
    <mergeCell ref="CV26:DE26"/>
    <mergeCell ref="DS26:EE26"/>
    <mergeCell ref="EF26:ER26"/>
    <mergeCell ref="ES28:FE28"/>
    <mergeCell ref="FF28:FR28"/>
    <mergeCell ref="A30:H30"/>
    <mergeCell ref="I30:CM30"/>
    <mergeCell ref="CN30:CU30"/>
    <mergeCell ref="CV30:DE30"/>
    <mergeCell ref="DS30:EE30"/>
    <mergeCell ref="EF30:ER30"/>
    <mergeCell ref="ES30:FE30"/>
    <mergeCell ref="FF30:FR30"/>
    <mergeCell ref="A28:H28"/>
    <mergeCell ref="I28:CM28"/>
    <mergeCell ref="CN28:CU28"/>
    <mergeCell ref="CV28:DE28"/>
    <mergeCell ref="DS28:EE28"/>
    <mergeCell ref="EF28:ER28"/>
    <mergeCell ref="I29:CM29"/>
    <mergeCell ref="CN29:CU29"/>
    <mergeCell ref="CV29:DE29"/>
    <mergeCell ref="I33:CM33"/>
    <mergeCell ref="A34:H34"/>
    <mergeCell ref="I34:CM34"/>
    <mergeCell ref="CN34:CU34"/>
    <mergeCell ref="CV34:DE34"/>
    <mergeCell ref="DS34:EE34"/>
    <mergeCell ref="ES31:FE31"/>
    <mergeCell ref="FF31:FR31"/>
    <mergeCell ref="A32:H33"/>
    <mergeCell ref="I32:CM32"/>
    <mergeCell ref="CN32:CU33"/>
    <mergeCell ref="CV32:DE33"/>
    <mergeCell ref="DS32:EE33"/>
    <mergeCell ref="EF32:ER33"/>
    <mergeCell ref="ES32:FE33"/>
    <mergeCell ref="FF32:FR33"/>
    <mergeCell ref="A31:H31"/>
    <mergeCell ref="I31:CM31"/>
    <mergeCell ref="CN31:CU31"/>
    <mergeCell ref="CV31:DE31"/>
    <mergeCell ref="DS31:EE31"/>
    <mergeCell ref="EF31:ER31"/>
    <mergeCell ref="EF34:ER34"/>
    <mergeCell ref="ES34:FE34"/>
    <mergeCell ref="FF34:FR34"/>
    <mergeCell ref="A35:H36"/>
    <mergeCell ref="I35:CM35"/>
    <mergeCell ref="CN35:CU36"/>
    <mergeCell ref="CV35:DE36"/>
    <mergeCell ref="DS35:EE36"/>
    <mergeCell ref="EF35:ER36"/>
    <mergeCell ref="ES35:FE36"/>
    <mergeCell ref="AM42:BD42"/>
    <mergeCell ref="BG42:BX42"/>
    <mergeCell ref="CA42:CR42"/>
    <mergeCell ref="AM43:BD43"/>
    <mergeCell ref="BG43:BX43"/>
    <mergeCell ref="CA43:CR43"/>
    <mergeCell ref="FF35:FR36"/>
    <mergeCell ref="I36:CM36"/>
    <mergeCell ref="AQ39:BH39"/>
    <mergeCell ref="BK39:BV39"/>
    <mergeCell ref="BY39:CR39"/>
    <mergeCell ref="AQ40:BH40"/>
    <mergeCell ref="BK40:BV40"/>
    <mergeCell ref="BY40:CR40"/>
    <mergeCell ref="A49:CM49"/>
    <mergeCell ref="A50:CM50"/>
    <mergeCell ref="A52:Y52"/>
    <mergeCell ref="AH52:CM52"/>
    <mergeCell ref="A53:Y53"/>
    <mergeCell ref="AH53:CM53"/>
    <mergeCell ref="I45:J45"/>
    <mergeCell ref="K45:M45"/>
    <mergeCell ref="N45:O45"/>
    <mergeCell ref="Q45:AE45"/>
    <mergeCell ref="AF45:AH45"/>
    <mergeCell ref="AI45:AK45"/>
    <mergeCell ref="A58:FR58"/>
    <mergeCell ref="A59:FR59"/>
    <mergeCell ref="A61:FR61"/>
    <mergeCell ref="A65:FR65"/>
    <mergeCell ref="A55:B55"/>
    <mergeCell ref="C55:E55"/>
    <mergeCell ref="F55:G55"/>
    <mergeCell ref="I55:W55"/>
    <mergeCell ref="X55:Z55"/>
    <mergeCell ref="AA55:AC55"/>
    <mergeCell ref="A60:FR60"/>
    <mergeCell ref="DF11:DR11"/>
    <mergeCell ref="DF13:DR13"/>
    <mergeCell ref="A20:H20"/>
    <mergeCell ref="I20:CM20"/>
    <mergeCell ref="CN20:CU20"/>
    <mergeCell ref="CV20:DE20"/>
    <mergeCell ref="I23:CM23"/>
    <mergeCell ref="CN23:CU23"/>
    <mergeCell ref="CV23:DE23"/>
    <mergeCell ref="A11:H11"/>
    <mergeCell ref="I11:CM11"/>
    <mergeCell ref="CN11:CU11"/>
    <mergeCell ref="I12:CM12"/>
    <mergeCell ref="CN12:CU12"/>
    <mergeCell ref="A13:H13"/>
    <mergeCell ref="CN13:CU13"/>
    <mergeCell ref="CV11:DE11"/>
    <mergeCell ref="CV13:DE13"/>
  </mergeCells>
  <pageMargins left="0.19685039370078741" right="0.11811023622047245" top="0.39370078740157483" bottom="0.11811023622047245" header="0.19685039370078741" footer="0.19685039370078741"/>
  <pageSetup paperSize="9" scale="65" orientation="portrait"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FFFF00"/>
    <pageSetUpPr fitToPage="1"/>
  </sheetPr>
  <dimension ref="A1:AS57"/>
  <sheetViews>
    <sheetView view="pageBreakPreview" zoomScale="80" zoomScaleNormal="80" zoomScaleSheetLayoutView="80" workbookViewId="0">
      <pane xSplit="3" ySplit="8" topLeftCell="V9" activePane="bottomRight" state="frozen"/>
      <selection activeCell="M26" sqref="M26"/>
      <selection pane="topRight" activeCell="M26" sqref="M26"/>
      <selection pane="bottomLeft" activeCell="M26" sqref="M26"/>
      <selection pane="bottomRight" activeCell="M26" sqref="M26:N26"/>
    </sheetView>
  </sheetViews>
  <sheetFormatPr defaultRowHeight="12.75" x14ac:dyDescent="0.2"/>
  <cols>
    <col min="1" max="1" width="6.83203125" style="33" customWidth="1"/>
    <col min="2" max="2" width="30.83203125" style="22" customWidth="1"/>
    <col min="3" max="3" width="13.83203125" style="22" customWidth="1"/>
    <col min="4" max="4" width="12.83203125" style="22" customWidth="1"/>
    <col min="5" max="5" width="13" style="22" customWidth="1"/>
    <col min="6" max="6" width="14.6640625" style="22" customWidth="1"/>
    <col min="7" max="7" width="12.33203125" style="22" customWidth="1"/>
    <col min="8" max="8" width="13.33203125" style="22" customWidth="1"/>
    <col min="9" max="9" width="15.83203125" style="22" customWidth="1"/>
    <col min="10" max="11" width="13.83203125" style="22" customWidth="1"/>
    <col min="12" max="12" width="13.33203125" style="22" customWidth="1"/>
    <col min="13" max="13" width="12.83203125" style="22" customWidth="1"/>
    <col min="14" max="14" width="11.5" style="22" customWidth="1"/>
    <col min="15" max="15" width="14.83203125" style="22" customWidth="1"/>
    <col min="16" max="16" width="15.33203125" style="22" customWidth="1"/>
    <col min="17" max="17" width="14.83203125" style="22" customWidth="1"/>
    <col min="18" max="18" width="13.6640625" style="22" customWidth="1"/>
    <col min="19" max="19" width="15.33203125" style="22" customWidth="1"/>
    <col min="20" max="20" width="12.33203125" style="22" customWidth="1"/>
    <col min="21" max="21" width="11.6640625" style="22" customWidth="1"/>
    <col min="22" max="22" width="13" style="22" customWidth="1"/>
    <col min="23" max="23" width="12.6640625" style="22" customWidth="1"/>
    <col min="24" max="24" width="13.33203125" style="22" customWidth="1"/>
    <col min="25" max="25" width="12.83203125" style="22" customWidth="1"/>
    <col min="26" max="26" width="13" style="22" customWidth="1"/>
    <col min="27" max="27" width="12.33203125" style="22" customWidth="1"/>
    <col min="28" max="28" width="11.33203125" style="22" customWidth="1"/>
    <col min="29" max="29" width="9.6640625" style="22" customWidth="1"/>
    <col min="30" max="30" width="11" style="22" customWidth="1"/>
    <col min="31" max="31" width="9.33203125" style="22" customWidth="1"/>
    <col min="32" max="32" width="9.83203125" style="22" customWidth="1"/>
    <col min="33" max="33" width="14" style="22" customWidth="1"/>
    <col min="34" max="34" width="12.33203125" style="22" customWidth="1"/>
    <col min="35" max="35" width="11.1640625" style="34" customWidth="1"/>
    <col min="36" max="36" width="9.33203125" style="22"/>
    <col min="37" max="37" width="12.6640625" style="22" customWidth="1"/>
    <col min="38" max="38" width="11.6640625" style="22" hidden="1" customWidth="1"/>
    <col min="39" max="39" width="13.6640625" style="22" hidden="1" customWidth="1"/>
    <col min="40" max="42" width="9.33203125" style="22"/>
    <col min="43" max="43" width="14" style="22" bestFit="1" customWidth="1"/>
    <col min="44" max="16384" width="9.33203125" style="22"/>
  </cols>
  <sheetData>
    <row r="1" spans="1:45" ht="12.75" customHeight="1" x14ac:dyDescent="0.2">
      <c r="AE1" s="2263"/>
      <c r="AF1" s="2263"/>
      <c r="AG1" s="2263"/>
      <c r="AH1" s="2263"/>
    </row>
    <row r="2" spans="1:45" ht="24" customHeight="1" x14ac:dyDescent="0.2">
      <c r="A2" s="2253" t="s">
        <v>157</v>
      </c>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36"/>
    </row>
    <row r="3" spans="1:45" ht="24.75" customHeight="1" x14ac:dyDescent="0.2">
      <c r="A3" s="2254"/>
      <c r="B3" s="2254"/>
      <c r="C3" s="2254"/>
      <c r="D3" s="2254"/>
      <c r="E3" s="2254"/>
      <c r="F3" s="2254"/>
      <c r="G3" s="2254"/>
      <c r="H3" s="2254"/>
      <c r="I3" s="2254"/>
      <c r="J3" s="2254"/>
      <c r="K3" s="2254"/>
      <c r="L3" s="2254"/>
      <c r="M3" s="2254"/>
      <c r="N3" s="2254"/>
      <c r="O3" s="2254"/>
      <c r="P3" s="2254"/>
      <c r="Q3" s="2254"/>
      <c r="R3" s="2254"/>
      <c r="S3" s="2254"/>
      <c r="T3" s="2254"/>
      <c r="U3" s="2254"/>
      <c r="V3" s="2254"/>
      <c r="W3" s="2254"/>
      <c r="X3" s="2254"/>
      <c r="Y3" s="2254"/>
      <c r="Z3" s="2254"/>
      <c r="AA3" s="2254"/>
      <c r="AB3" s="2254"/>
      <c r="AC3" s="2254"/>
      <c r="AD3" s="2254"/>
      <c r="AE3" s="2254"/>
      <c r="AF3" s="2254"/>
      <c r="AG3" s="2254"/>
      <c r="AH3" s="2254"/>
      <c r="AI3" s="283"/>
    </row>
    <row r="4" spans="1:45" x14ac:dyDescent="0.2">
      <c r="L4" s="38">
        <v>0.34311000000000003</v>
      </c>
    </row>
    <row r="5" spans="1:45" ht="38.25" customHeight="1" x14ac:dyDescent="0.2">
      <c r="A5" s="2266" t="s">
        <v>78</v>
      </c>
      <c r="B5" s="2266" t="s">
        <v>77</v>
      </c>
      <c r="C5" s="2242" t="s">
        <v>0</v>
      </c>
      <c r="D5" s="2242" t="s">
        <v>3</v>
      </c>
      <c r="E5" s="2242"/>
      <c r="F5" s="2242"/>
      <c r="G5" s="2242"/>
      <c r="H5" s="2242"/>
      <c r="I5" s="2242"/>
      <c r="J5" s="2242"/>
      <c r="K5" s="2242"/>
      <c r="L5" s="2242"/>
      <c r="M5" s="2242"/>
      <c r="N5" s="2242"/>
      <c r="O5" s="2242"/>
      <c r="P5" s="2242"/>
      <c r="Q5" s="2242"/>
      <c r="R5" s="2242"/>
      <c r="S5" s="2242"/>
      <c r="T5" s="2242"/>
      <c r="U5" s="2242"/>
      <c r="V5" s="2242"/>
      <c r="W5" s="2242"/>
      <c r="X5" s="2242" t="s">
        <v>4</v>
      </c>
      <c r="Y5" s="2242"/>
      <c r="Z5" s="2242"/>
      <c r="AA5" s="2242"/>
      <c r="AB5" s="2242"/>
      <c r="AC5" s="2242"/>
      <c r="AD5" s="2242"/>
      <c r="AE5" s="2242"/>
      <c r="AF5" s="2242"/>
      <c r="AG5" s="2242"/>
      <c r="AH5" s="2242"/>
    </row>
    <row r="6" spans="1:45" ht="60" customHeight="1" x14ac:dyDescent="0.2">
      <c r="A6" s="2266"/>
      <c r="B6" s="2266"/>
      <c r="C6" s="2242"/>
      <c r="D6" s="2245" t="s">
        <v>68</v>
      </c>
      <c r="E6" s="2245" t="s">
        <v>69</v>
      </c>
      <c r="F6" s="2245" t="s">
        <v>89</v>
      </c>
      <c r="G6" s="2245" t="s">
        <v>1</v>
      </c>
      <c r="H6" s="2245" t="s">
        <v>2</v>
      </c>
      <c r="I6" s="2245" t="s">
        <v>70</v>
      </c>
      <c r="J6" s="2245" t="s">
        <v>61</v>
      </c>
      <c r="K6" s="2245" t="s">
        <v>27</v>
      </c>
      <c r="L6" s="2924" t="s">
        <v>65</v>
      </c>
      <c r="M6" s="2924" t="s">
        <v>86</v>
      </c>
      <c r="N6" s="2925" t="s">
        <v>91</v>
      </c>
      <c r="O6" s="2925"/>
      <c r="P6" s="2925" t="s">
        <v>88</v>
      </c>
      <c r="Q6" s="2924" t="s">
        <v>82</v>
      </c>
      <c r="R6" s="2245" t="s">
        <v>83</v>
      </c>
      <c r="S6" s="2924" t="s">
        <v>87</v>
      </c>
      <c r="T6" s="2245" t="s">
        <v>84</v>
      </c>
      <c r="U6" s="2245" t="s">
        <v>9</v>
      </c>
      <c r="V6" s="2245" t="s">
        <v>7</v>
      </c>
      <c r="W6" s="2245" t="s">
        <v>85</v>
      </c>
      <c r="X6" s="2242" t="s">
        <v>10</v>
      </c>
      <c r="Y6" s="2242"/>
      <c r="Z6" s="2242"/>
      <c r="AA6" s="2242" t="s">
        <v>11</v>
      </c>
      <c r="AB6" s="2242"/>
      <c r="AC6" s="2242"/>
      <c r="AD6" s="2242" t="s">
        <v>12</v>
      </c>
      <c r="AE6" s="2242"/>
      <c r="AF6" s="2242"/>
      <c r="AG6" s="2242" t="s">
        <v>13</v>
      </c>
      <c r="AH6" s="2242" t="s">
        <v>73</v>
      </c>
    </row>
    <row r="7" spans="1:45" ht="107.25" customHeight="1" x14ac:dyDescent="0.2">
      <c r="A7" s="2266"/>
      <c r="B7" s="2266"/>
      <c r="C7" s="2242"/>
      <c r="D7" s="2245"/>
      <c r="E7" s="2245"/>
      <c r="F7" s="2245"/>
      <c r="G7" s="2245"/>
      <c r="H7" s="2245"/>
      <c r="I7" s="2245"/>
      <c r="J7" s="2245"/>
      <c r="K7" s="2245"/>
      <c r="L7" s="2924" t="s">
        <v>66</v>
      </c>
      <c r="M7" s="2924"/>
      <c r="N7" s="288" t="s">
        <v>80</v>
      </c>
      <c r="O7" s="288" t="s">
        <v>81</v>
      </c>
      <c r="P7" s="2925"/>
      <c r="Q7" s="2924"/>
      <c r="R7" s="2245"/>
      <c r="S7" s="2924" t="s">
        <v>67</v>
      </c>
      <c r="T7" s="2245"/>
      <c r="U7" s="2245"/>
      <c r="V7" s="2245"/>
      <c r="W7" s="2245"/>
      <c r="X7" s="280" t="s">
        <v>5</v>
      </c>
      <c r="Y7" s="280" t="s">
        <v>6</v>
      </c>
      <c r="Z7" s="280" t="s">
        <v>74</v>
      </c>
      <c r="AA7" s="280" t="s">
        <v>5</v>
      </c>
      <c r="AB7" s="280" t="s">
        <v>6</v>
      </c>
      <c r="AC7" s="280" t="s">
        <v>75</v>
      </c>
      <c r="AD7" s="280" t="s">
        <v>5</v>
      </c>
      <c r="AE7" s="280" t="s">
        <v>6</v>
      </c>
      <c r="AF7" s="280" t="s">
        <v>76</v>
      </c>
      <c r="AG7" s="2242"/>
      <c r="AH7" s="2242"/>
      <c r="AK7" s="22" t="s">
        <v>64</v>
      </c>
      <c r="AL7" s="22" t="s">
        <v>62</v>
      </c>
      <c r="AM7" s="165" t="s">
        <v>71</v>
      </c>
    </row>
    <row r="8" spans="1:45" x14ac:dyDescent="0.2">
      <c r="A8" s="278">
        <v>1</v>
      </c>
      <c r="B8" s="278">
        <v>2</v>
      </c>
      <c r="C8" s="278">
        <v>3</v>
      </c>
      <c r="D8" s="278">
        <v>4</v>
      </c>
      <c r="E8" s="278">
        <v>5</v>
      </c>
      <c r="F8" s="278">
        <v>6</v>
      </c>
      <c r="G8" s="278">
        <v>7</v>
      </c>
      <c r="H8" s="278">
        <v>8</v>
      </c>
      <c r="I8" s="278">
        <v>9</v>
      </c>
      <c r="J8" s="278">
        <v>10</v>
      </c>
      <c r="K8" s="278">
        <v>11</v>
      </c>
      <c r="L8" s="278">
        <v>12</v>
      </c>
      <c r="M8" s="278">
        <v>13</v>
      </c>
      <c r="N8" s="278">
        <v>14</v>
      </c>
      <c r="O8" s="278">
        <v>15</v>
      </c>
      <c r="P8" s="278">
        <v>16</v>
      </c>
      <c r="Q8" s="278">
        <v>17</v>
      </c>
      <c r="R8" s="278">
        <v>18</v>
      </c>
      <c r="S8" s="278">
        <v>19</v>
      </c>
      <c r="T8" s="278">
        <v>20</v>
      </c>
      <c r="U8" s="278">
        <v>21</v>
      </c>
      <c r="V8" s="278">
        <v>22</v>
      </c>
      <c r="W8" s="278">
        <v>23</v>
      </c>
      <c r="X8" s="278">
        <v>24</v>
      </c>
      <c r="Y8" s="278">
        <v>25</v>
      </c>
      <c r="Z8" s="278">
        <v>26</v>
      </c>
      <c r="AA8" s="278">
        <v>27</v>
      </c>
      <c r="AB8" s="278">
        <v>28</v>
      </c>
      <c r="AC8" s="278">
        <v>29</v>
      </c>
      <c r="AD8" s="278">
        <v>30</v>
      </c>
      <c r="AE8" s="278">
        <v>31</v>
      </c>
      <c r="AF8" s="278">
        <v>32</v>
      </c>
      <c r="AG8" s="278">
        <v>33</v>
      </c>
      <c r="AH8" s="278">
        <v>34</v>
      </c>
      <c r="AN8" s="43" t="s">
        <v>116</v>
      </c>
      <c r="AO8" s="43" t="s">
        <v>117</v>
      </c>
      <c r="AP8" s="43" t="s">
        <v>118</v>
      </c>
      <c r="AQ8" s="43" t="s">
        <v>119</v>
      </c>
    </row>
    <row r="9" spans="1:45" ht="16.5" customHeight="1" x14ac:dyDescent="0.2">
      <c r="A9" s="278">
        <v>1</v>
      </c>
      <c r="B9" s="166" t="s">
        <v>14</v>
      </c>
      <c r="C9" s="167">
        <v>1</v>
      </c>
      <c r="D9" s="168">
        <v>22.876999999999999</v>
      </c>
      <c r="E9" s="169">
        <f>C9*D9</f>
        <v>22.88</v>
      </c>
      <c r="F9" s="170">
        <f>E9*12</f>
        <v>274.60000000000002</v>
      </c>
      <c r="G9" s="154"/>
      <c r="H9" s="154"/>
      <c r="I9" s="154"/>
      <c r="J9" s="154"/>
      <c r="K9" s="154">
        <f>F9*0.4</f>
        <v>109.8</v>
      </c>
      <c r="L9" s="154">
        <f>F9*$L$4</f>
        <v>94.2</v>
      </c>
      <c r="M9" s="154">
        <f>F9+G9+H9+I9+J9+K9+L9</f>
        <v>478.6</v>
      </c>
      <c r="N9" s="171">
        <v>0.47</v>
      </c>
      <c r="O9" s="154">
        <f>M9*N9</f>
        <v>224.9</v>
      </c>
      <c r="P9" s="154">
        <f>M9+O9</f>
        <v>703.5</v>
      </c>
      <c r="Q9" s="154">
        <f>P9*0.8</f>
        <v>562.79999999999995</v>
      </c>
      <c r="R9" s="154">
        <f>P9*0.8</f>
        <v>562.79999999999995</v>
      </c>
      <c r="S9" s="154">
        <f>(P9+Q9+R9)*0.032</f>
        <v>58.5</v>
      </c>
      <c r="T9" s="154">
        <f>P9+Q9+R9+S9</f>
        <v>1887.6</v>
      </c>
      <c r="U9" s="2920">
        <v>1</v>
      </c>
      <c r="V9" s="155">
        <f t="shared" ref="V9:V21" si="0">T9*$U$9</f>
        <v>1887.6</v>
      </c>
      <c r="W9" s="155">
        <f>AQ9</f>
        <v>451.9</v>
      </c>
      <c r="X9" s="278"/>
      <c r="Y9" s="24">
        <v>30</v>
      </c>
      <c r="Z9" s="48">
        <f t="shared" ref="Z9:Z22" si="1">X9*Y9</f>
        <v>0</v>
      </c>
      <c r="AA9" s="278"/>
      <c r="AB9" s="24">
        <v>15</v>
      </c>
      <c r="AC9" s="48">
        <f t="shared" ref="AC9:AC22" si="2">AA9*AB9</f>
        <v>0</v>
      </c>
      <c r="AD9" s="278"/>
      <c r="AE9" s="24">
        <v>30</v>
      </c>
      <c r="AF9" s="48">
        <f t="shared" ref="AF9:AF22" si="3">AD9*AE9</f>
        <v>0</v>
      </c>
      <c r="AG9" s="48">
        <f t="shared" ref="AG9:AG22" si="4">(Z9+AC9+AF9)*1%*30</f>
        <v>0</v>
      </c>
      <c r="AH9" s="48">
        <f t="shared" ref="AH9:AH22" si="5">Z9+AC9+AF9+AG9</f>
        <v>0</v>
      </c>
      <c r="AI9" s="34">
        <f t="shared" ref="AI9:AI22" si="6">V9/12/C9*1000</f>
        <v>157300</v>
      </c>
      <c r="AJ9" s="34"/>
      <c r="AK9" s="34">
        <f t="shared" ref="AK9:AK22" si="7">V9/C9</f>
        <v>1887.6</v>
      </c>
      <c r="AL9" s="34">
        <f>((979*0.302)+((AK9-979)*0.182))</f>
        <v>461</v>
      </c>
      <c r="AM9" s="51">
        <f>AL9/AK9</f>
        <v>0.24399999999999999</v>
      </c>
      <c r="AN9" s="116">
        <f>1150*0.22*C9+(V9-1150*C9)*0.1</f>
        <v>326.8</v>
      </c>
      <c r="AO9" s="116">
        <f>865*0.029*C9</f>
        <v>25.1</v>
      </c>
      <c r="AP9" s="116">
        <f>AK9*0.053</f>
        <v>100</v>
      </c>
      <c r="AQ9" s="116">
        <f>SUM(AN9:AP9)</f>
        <v>451.9</v>
      </c>
      <c r="AS9" s="51">
        <f t="shared" ref="AS9:AS22" si="8">D9*1.5</f>
        <v>34.316000000000003</v>
      </c>
    </row>
    <row r="10" spans="1:45" ht="15" x14ac:dyDescent="0.2">
      <c r="A10" s="278">
        <v>2</v>
      </c>
      <c r="B10" s="166" t="s">
        <v>125</v>
      </c>
      <c r="C10" s="167">
        <v>2</v>
      </c>
      <c r="D10" s="168">
        <v>16.013999999999999</v>
      </c>
      <c r="E10" s="169">
        <f>C10*D10</f>
        <v>32.03</v>
      </c>
      <c r="F10" s="170">
        <f t="shared" ref="F10:F22" si="9">E10*12</f>
        <v>384.4</v>
      </c>
      <c r="G10" s="154"/>
      <c r="H10" s="154"/>
      <c r="I10" s="154">
        <f>D10*0.25*12</f>
        <v>48</v>
      </c>
      <c r="J10" s="154"/>
      <c r="K10" s="154">
        <f>D10*0.25*12+D10*0.4*12+D10*0.05*4</f>
        <v>128.1</v>
      </c>
      <c r="L10" s="154">
        <f t="shared" ref="L10:L21" si="10">F10*$L$4</f>
        <v>131.9</v>
      </c>
      <c r="M10" s="154">
        <f t="shared" ref="M10:M22" si="11">F10+G10+H10+I10+J10+K10+L10</f>
        <v>692.4</v>
      </c>
      <c r="N10" s="171">
        <v>0.47</v>
      </c>
      <c r="O10" s="154">
        <f t="shared" ref="O10:O22" si="12">M10*N10</f>
        <v>325.39999999999998</v>
      </c>
      <c r="P10" s="154">
        <f t="shared" ref="P10:P22" si="13">M10+O10</f>
        <v>1017.8</v>
      </c>
      <c r="Q10" s="154">
        <f t="shared" ref="Q10:Q22" si="14">P10*0.8</f>
        <v>814.2</v>
      </c>
      <c r="R10" s="154">
        <f t="shared" ref="R10:R22" si="15">P10*0.8</f>
        <v>814.2</v>
      </c>
      <c r="S10" s="154">
        <f t="shared" ref="S10:S22" si="16">(P10+Q10+R10)*0.032</f>
        <v>84.7</v>
      </c>
      <c r="T10" s="154">
        <f t="shared" ref="T10:T22" si="17">P10+Q10+R10+S10</f>
        <v>2730.9</v>
      </c>
      <c r="U10" s="2921"/>
      <c r="V10" s="155">
        <f t="shared" si="0"/>
        <v>2730.9</v>
      </c>
      <c r="W10" s="155">
        <f>AQ10</f>
        <v>744</v>
      </c>
      <c r="X10" s="278"/>
      <c r="Y10" s="24">
        <v>30</v>
      </c>
      <c r="Z10" s="48">
        <f t="shared" si="1"/>
        <v>0</v>
      </c>
      <c r="AA10" s="278">
        <v>1</v>
      </c>
      <c r="AB10" s="24">
        <v>15</v>
      </c>
      <c r="AC10" s="48">
        <f t="shared" si="2"/>
        <v>15</v>
      </c>
      <c r="AD10" s="278"/>
      <c r="AE10" s="24">
        <v>30</v>
      </c>
      <c r="AF10" s="48">
        <f t="shared" si="3"/>
        <v>0</v>
      </c>
      <c r="AG10" s="48">
        <f t="shared" si="4"/>
        <v>4.5</v>
      </c>
      <c r="AH10" s="48">
        <f t="shared" si="5"/>
        <v>19.5</v>
      </c>
      <c r="AI10" s="34">
        <f t="shared" si="6"/>
        <v>113787.5</v>
      </c>
      <c r="AJ10" s="34"/>
      <c r="AK10" s="34">
        <f t="shared" si="7"/>
        <v>1365.5</v>
      </c>
      <c r="AL10" s="34">
        <f t="shared" ref="AL10:AL22" si="18">((979*0.302)+((AK10-979)*0.182))</f>
        <v>366</v>
      </c>
      <c r="AM10" s="51">
        <f>AL10/AK10</f>
        <v>0.26800000000000002</v>
      </c>
      <c r="AN10" s="116">
        <f>1150*0.22*C10+(V10-1150*C10)*0.1</f>
        <v>549.1</v>
      </c>
      <c r="AO10" s="116">
        <f>865*0.029*C10</f>
        <v>50.2</v>
      </c>
      <c r="AP10" s="116">
        <f>AK10*0.053*2</f>
        <v>144.69999999999999</v>
      </c>
      <c r="AQ10" s="116">
        <f>SUM(AN10:AP10)</f>
        <v>744</v>
      </c>
      <c r="AS10" s="51">
        <f t="shared" si="8"/>
        <v>24.021000000000001</v>
      </c>
    </row>
    <row r="11" spans="1:45" ht="15" x14ac:dyDescent="0.2">
      <c r="A11" s="278">
        <v>3</v>
      </c>
      <c r="B11" s="106" t="s">
        <v>33</v>
      </c>
      <c r="C11" s="172">
        <v>1</v>
      </c>
      <c r="D11" s="173">
        <v>8.4730000000000008</v>
      </c>
      <c r="E11" s="171">
        <f t="shared" ref="E11:E22" si="19">C11*D11</f>
        <v>8.4700000000000006</v>
      </c>
      <c r="F11" s="154">
        <f t="shared" si="9"/>
        <v>101.6</v>
      </c>
      <c r="G11" s="154"/>
      <c r="H11" s="154"/>
      <c r="I11" s="154"/>
      <c r="J11" s="154"/>
      <c r="K11" s="154">
        <f>D11*0.2*5</f>
        <v>8.5</v>
      </c>
      <c r="L11" s="154">
        <f t="shared" si="10"/>
        <v>34.9</v>
      </c>
      <c r="M11" s="154">
        <f t="shared" si="11"/>
        <v>145</v>
      </c>
      <c r="N11" s="171">
        <v>0.41</v>
      </c>
      <c r="O11" s="154">
        <f t="shared" si="12"/>
        <v>59.5</v>
      </c>
      <c r="P11" s="154">
        <f t="shared" si="13"/>
        <v>204.5</v>
      </c>
      <c r="Q11" s="154">
        <f t="shared" si="14"/>
        <v>163.6</v>
      </c>
      <c r="R11" s="154">
        <f t="shared" si="15"/>
        <v>163.6</v>
      </c>
      <c r="S11" s="154">
        <f t="shared" si="16"/>
        <v>17</v>
      </c>
      <c r="T11" s="154">
        <f t="shared" si="17"/>
        <v>548.70000000000005</v>
      </c>
      <c r="U11" s="2921"/>
      <c r="V11" s="155">
        <f t="shared" si="0"/>
        <v>548.70000000000005</v>
      </c>
      <c r="W11" s="155">
        <f>V11*0.302</f>
        <v>165.7</v>
      </c>
      <c r="X11" s="162"/>
      <c r="Y11" s="163">
        <v>30</v>
      </c>
      <c r="Z11" s="164">
        <f t="shared" si="1"/>
        <v>0</v>
      </c>
      <c r="AA11" s="162"/>
      <c r="AB11" s="163">
        <v>15</v>
      </c>
      <c r="AC11" s="164">
        <f t="shared" si="2"/>
        <v>0</v>
      </c>
      <c r="AD11" s="162"/>
      <c r="AE11" s="163">
        <v>30</v>
      </c>
      <c r="AF11" s="164">
        <f t="shared" si="3"/>
        <v>0</v>
      </c>
      <c r="AG11" s="164">
        <f t="shared" si="4"/>
        <v>0</v>
      </c>
      <c r="AH11" s="164">
        <f t="shared" si="5"/>
        <v>0</v>
      </c>
      <c r="AI11" s="34">
        <f t="shared" si="6"/>
        <v>45725</v>
      </c>
      <c r="AJ11" s="34"/>
      <c r="AK11" s="34">
        <f t="shared" si="7"/>
        <v>548.70000000000005</v>
      </c>
      <c r="AL11" s="34">
        <f t="shared" si="18"/>
        <v>217.3</v>
      </c>
      <c r="AM11" s="51">
        <v>0.30199999999999999</v>
      </c>
      <c r="AO11" s="116"/>
      <c r="AP11" s="116"/>
      <c r="AQ11" s="116"/>
      <c r="AS11" s="51">
        <f t="shared" si="8"/>
        <v>12.71</v>
      </c>
    </row>
    <row r="12" spans="1:45" ht="15" x14ac:dyDescent="0.2">
      <c r="A12" s="278">
        <v>4</v>
      </c>
      <c r="B12" s="106" t="s">
        <v>105</v>
      </c>
      <c r="C12" s="172">
        <v>2</v>
      </c>
      <c r="D12" s="173">
        <v>8.4730000000000008</v>
      </c>
      <c r="E12" s="171">
        <f t="shared" si="19"/>
        <v>16.95</v>
      </c>
      <c r="F12" s="154">
        <f t="shared" si="9"/>
        <v>203.4</v>
      </c>
      <c r="G12" s="154"/>
      <c r="H12" s="154"/>
      <c r="I12" s="154"/>
      <c r="J12" s="154"/>
      <c r="K12" s="154">
        <f>F12*0.35</f>
        <v>71.2</v>
      </c>
      <c r="L12" s="154">
        <f t="shared" si="10"/>
        <v>69.8</v>
      </c>
      <c r="M12" s="154">
        <f t="shared" si="11"/>
        <v>344.4</v>
      </c>
      <c r="N12" s="171">
        <v>0.41</v>
      </c>
      <c r="O12" s="154">
        <f t="shared" si="12"/>
        <v>141.19999999999999</v>
      </c>
      <c r="P12" s="154">
        <f t="shared" si="13"/>
        <v>485.6</v>
      </c>
      <c r="Q12" s="154">
        <f t="shared" si="14"/>
        <v>388.5</v>
      </c>
      <c r="R12" s="154">
        <f t="shared" si="15"/>
        <v>388.5</v>
      </c>
      <c r="S12" s="154">
        <f t="shared" si="16"/>
        <v>40.4</v>
      </c>
      <c r="T12" s="154">
        <f t="shared" si="17"/>
        <v>1303</v>
      </c>
      <c r="U12" s="2921"/>
      <c r="V12" s="155">
        <f t="shared" si="0"/>
        <v>1303</v>
      </c>
      <c r="W12" s="155">
        <f t="shared" ref="W12:W22" si="20">V12*0.302</f>
        <v>393.5</v>
      </c>
      <c r="X12" s="162">
        <v>2</v>
      </c>
      <c r="Y12" s="163">
        <v>30</v>
      </c>
      <c r="Z12" s="164">
        <f t="shared" si="1"/>
        <v>60</v>
      </c>
      <c r="AA12" s="162"/>
      <c r="AB12" s="163">
        <v>15</v>
      </c>
      <c r="AC12" s="164">
        <f t="shared" si="2"/>
        <v>0</v>
      </c>
      <c r="AD12" s="162"/>
      <c r="AE12" s="163">
        <v>30</v>
      </c>
      <c r="AF12" s="164">
        <f t="shared" si="3"/>
        <v>0</v>
      </c>
      <c r="AG12" s="164">
        <f t="shared" si="4"/>
        <v>18</v>
      </c>
      <c r="AH12" s="164">
        <f t="shared" si="5"/>
        <v>78</v>
      </c>
      <c r="AI12" s="34">
        <f t="shared" si="6"/>
        <v>54291.7</v>
      </c>
      <c r="AJ12" s="34"/>
      <c r="AK12" s="34">
        <f t="shared" si="7"/>
        <v>651.5</v>
      </c>
      <c r="AL12" s="34">
        <f t="shared" si="18"/>
        <v>236.1</v>
      </c>
      <c r="AM12" s="51">
        <v>0.30199999999999999</v>
      </c>
      <c r="AQ12" s="116"/>
      <c r="AS12" s="51">
        <f t="shared" si="8"/>
        <v>12.71</v>
      </c>
    </row>
    <row r="13" spans="1:45" ht="15" x14ac:dyDescent="0.2">
      <c r="A13" s="278">
        <v>5</v>
      </c>
      <c r="B13" s="166" t="s">
        <v>15</v>
      </c>
      <c r="C13" s="174">
        <v>6</v>
      </c>
      <c r="D13" s="175">
        <v>11.061999999999999</v>
      </c>
      <c r="E13" s="171">
        <f t="shared" si="19"/>
        <v>66.37</v>
      </c>
      <c r="F13" s="154">
        <f t="shared" si="9"/>
        <v>796.4</v>
      </c>
      <c r="G13" s="154"/>
      <c r="H13" s="154"/>
      <c r="I13" s="154"/>
      <c r="J13" s="154"/>
      <c r="K13" s="154">
        <f>D13*0.2*12+D13*0.3*12+D13*0.35*12+D13*0.4*3*12</f>
        <v>272.10000000000002</v>
      </c>
      <c r="L13" s="154">
        <f t="shared" si="10"/>
        <v>273.3</v>
      </c>
      <c r="M13" s="154">
        <f t="shared" si="11"/>
        <v>1341.8</v>
      </c>
      <c r="N13" s="171">
        <v>0.43</v>
      </c>
      <c r="O13" s="154">
        <f t="shared" si="12"/>
        <v>577</v>
      </c>
      <c r="P13" s="154">
        <f t="shared" si="13"/>
        <v>1918.8</v>
      </c>
      <c r="Q13" s="154">
        <f t="shared" si="14"/>
        <v>1535</v>
      </c>
      <c r="R13" s="154">
        <f t="shared" si="15"/>
        <v>1535</v>
      </c>
      <c r="S13" s="154">
        <f t="shared" si="16"/>
        <v>159.6</v>
      </c>
      <c r="T13" s="154">
        <f t="shared" si="17"/>
        <v>5148.3999999999996</v>
      </c>
      <c r="U13" s="2921"/>
      <c r="V13" s="155">
        <f t="shared" si="0"/>
        <v>5148.3999999999996</v>
      </c>
      <c r="W13" s="155">
        <f t="shared" si="20"/>
        <v>1554.8</v>
      </c>
      <c r="X13" s="162">
        <v>5</v>
      </c>
      <c r="Y13" s="163">
        <v>30</v>
      </c>
      <c r="Z13" s="164">
        <f t="shared" si="1"/>
        <v>150</v>
      </c>
      <c r="AA13" s="162">
        <v>2</v>
      </c>
      <c r="AB13" s="163">
        <v>15</v>
      </c>
      <c r="AC13" s="164">
        <f t="shared" si="2"/>
        <v>30</v>
      </c>
      <c r="AD13" s="162"/>
      <c r="AE13" s="163">
        <v>30</v>
      </c>
      <c r="AF13" s="164">
        <f t="shared" si="3"/>
        <v>0</v>
      </c>
      <c r="AG13" s="164">
        <f t="shared" si="4"/>
        <v>54</v>
      </c>
      <c r="AH13" s="164">
        <f t="shared" si="5"/>
        <v>234</v>
      </c>
      <c r="AI13" s="34">
        <f t="shared" si="6"/>
        <v>71505.600000000006</v>
      </c>
      <c r="AJ13" s="34"/>
      <c r="AK13" s="34">
        <f t="shared" si="7"/>
        <v>858.1</v>
      </c>
      <c r="AL13" s="34">
        <f t="shared" si="18"/>
        <v>273.7</v>
      </c>
      <c r="AM13" s="51">
        <v>0.30199999999999999</v>
      </c>
      <c r="AO13" s="116"/>
      <c r="AP13" s="116"/>
      <c r="AQ13" s="116"/>
      <c r="AS13" s="51">
        <f t="shared" si="8"/>
        <v>16.593</v>
      </c>
    </row>
    <row r="14" spans="1:45" x14ac:dyDescent="0.2">
      <c r="A14" s="278">
        <v>6</v>
      </c>
      <c r="B14" s="166" t="s">
        <v>16</v>
      </c>
      <c r="C14" s="174">
        <v>17</v>
      </c>
      <c r="D14" s="175">
        <v>11.061999999999999</v>
      </c>
      <c r="E14" s="171">
        <f t="shared" si="19"/>
        <v>188.05</v>
      </c>
      <c r="F14" s="154">
        <f t="shared" si="9"/>
        <v>2256.6</v>
      </c>
      <c r="G14" s="154"/>
      <c r="H14" s="154"/>
      <c r="I14" s="154"/>
      <c r="J14" s="154"/>
      <c r="K14" s="154">
        <f>D14*0.3*12+D14*0.4*12</f>
        <v>92.9</v>
      </c>
      <c r="L14" s="154">
        <f t="shared" si="10"/>
        <v>774.3</v>
      </c>
      <c r="M14" s="154">
        <f t="shared" si="11"/>
        <v>3123.8</v>
      </c>
      <c r="N14" s="171">
        <v>0.43</v>
      </c>
      <c r="O14" s="154">
        <f t="shared" si="12"/>
        <v>1343.2</v>
      </c>
      <c r="P14" s="154">
        <f t="shared" si="13"/>
        <v>4467</v>
      </c>
      <c r="Q14" s="154">
        <f t="shared" si="14"/>
        <v>3573.6</v>
      </c>
      <c r="R14" s="154">
        <f t="shared" si="15"/>
        <v>3573.6</v>
      </c>
      <c r="S14" s="154">
        <f t="shared" si="16"/>
        <v>371.7</v>
      </c>
      <c r="T14" s="154">
        <f t="shared" si="17"/>
        <v>11985.9</v>
      </c>
      <c r="U14" s="2921"/>
      <c r="V14" s="155">
        <f t="shared" si="0"/>
        <v>11985.9</v>
      </c>
      <c r="W14" s="155">
        <f t="shared" si="20"/>
        <v>3619.7</v>
      </c>
      <c r="X14" s="162">
        <v>10</v>
      </c>
      <c r="Y14" s="163">
        <v>30</v>
      </c>
      <c r="Z14" s="164">
        <f t="shared" si="1"/>
        <v>300</v>
      </c>
      <c r="AA14" s="162">
        <v>3</v>
      </c>
      <c r="AB14" s="163">
        <v>15</v>
      </c>
      <c r="AC14" s="164">
        <f t="shared" si="2"/>
        <v>45</v>
      </c>
      <c r="AD14" s="162">
        <v>3</v>
      </c>
      <c r="AE14" s="163">
        <v>30</v>
      </c>
      <c r="AF14" s="164">
        <f t="shared" si="3"/>
        <v>90</v>
      </c>
      <c r="AG14" s="164">
        <f t="shared" si="4"/>
        <v>130.5</v>
      </c>
      <c r="AH14" s="164">
        <f t="shared" si="5"/>
        <v>565.5</v>
      </c>
      <c r="AI14" s="34">
        <f t="shared" si="6"/>
        <v>58754.400000000001</v>
      </c>
      <c r="AJ14" s="34"/>
      <c r="AK14" s="34">
        <f t="shared" si="7"/>
        <v>705.1</v>
      </c>
      <c r="AL14" s="34">
        <f t="shared" si="18"/>
        <v>245.8</v>
      </c>
      <c r="AM14" s="51">
        <v>0.30199999999999999</v>
      </c>
      <c r="AS14" s="51">
        <f t="shared" si="8"/>
        <v>16.593</v>
      </c>
    </row>
    <row r="15" spans="1:45" ht="15" x14ac:dyDescent="0.2">
      <c r="A15" s="278">
        <v>7</v>
      </c>
      <c r="B15" s="176" t="s">
        <v>36</v>
      </c>
      <c r="C15" s="167">
        <f>69.5-0.5</f>
        <v>69</v>
      </c>
      <c r="D15" s="177">
        <v>8.4730000000000008</v>
      </c>
      <c r="E15" s="171">
        <f>C15*D15</f>
        <v>584.64</v>
      </c>
      <c r="F15" s="154">
        <f t="shared" si="9"/>
        <v>7015.7</v>
      </c>
      <c r="G15" s="154"/>
      <c r="H15" s="154"/>
      <c r="I15" s="154"/>
      <c r="J15" s="154">
        <f>D15*5.05*12</f>
        <v>513.5</v>
      </c>
      <c r="K15" s="154">
        <f>D15*0.2*12+D15*0.05*4+D15*0.25*8+D15*0.05*16+D15*0.3*11+D15*0.05*31+D15*0.35*12+D15*0.4*12*12</f>
        <v>610.5</v>
      </c>
      <c r="L15" s="154">
        <f t="shared" si="10"/>
        <v>2407.1999999999998</v>
      </c>
      <c r="M15" s="154">
        <f t="shared" si="11"/>
        <v>10546.9</v>
      </c>
      <c r="N15" s="171">
        <v>0.41</v>
      </c>
      <c r="O15" s="154">
        <f t="shared" si="12"/>
        <v>4324.2</v>
      </c>
      <c r="P15" s="154">
        <f t="shared" si="13"/>
        <v>14871.1</v>
      </c>
      <c r="Q15" s="154">
        <f t="shared" si="14"/>
        <v>11896.9</v>
      </c>
      <c r="R15" s="154">
        <f t="shared" si="15"/>
        <v>11896.9</v>
      </c>
      <c r="S15" s="154">
        <f t="shared" si="16"/>
        <v>1237.3</v>
      </c>
      <c r="T15" s="154">
        <f t="shared" si="17"/>
        <v>39902.199999999997</v>
      </c>
      <c r="U15" s="2921"/>
      <c r="V15" s="155">
        <f>T15*$U$9</f>
        <v>39902.199999999997</v>
      </c>
      <c r="W15" s="155">
        <f t="shared" si="20"/>
        <v>12050.5</v>
      </c>
      <c r="X15" s="278">
        <v>41</v>
      </c>
      <c r="Y15" s="24">
        <v>30</v>
      </c>
      <c r="Z15" s="48">
        <f t="shared" si="1"/>
        <v>1230</v>
      </c>
      <c r="AA15" s="54">
        <v>15</v>
      </c>
      <c r="AB15" s="24">
        <v>15</v>
      </c>
      <c r="AC15" s="48">
        <f t="shared" si="2"/>
        <v>225</v>
      </c>
      <c r="AD15" s="54">
        <v>12</v>
      </c>
      <c r="AE15" s="24">
        <v>30</v>
      </c>
      <c r="AF15" s="48">
        <f t="shared" si="3"/>
        <v>360</v>
      </c>
      <c r="AG15" s="48">
        <f t="shared" si="4"/>
        <v>544.5</v>
      </c>
      <c r="AH15" s="48">
        <f t="shared" si="5"/>
        <v>2359.5</v>
      </c>
      <c r="AI15" s="34">
        <f t="shared" si="6"/>
        <v>48191.1</v>
      </c>
      <c r="AJ15" s="34"/>
      <c r="AK15" s="34">
        <f t="shared" si="7"/>
        <v>578.29999999999995</v>
      </c>
      <c r="AL15" s="34">
        <f t="shared" si="18"/>
        <v>222.7</v>
      </c>
      <c r="AM15" s="51">
        <v>0.30199999999999999</v>
      </c>
      <c r="AO15" s="116"/>
      <c r="AP15" s="116"/>
      <c r="AQ15" s="116"/>
      <c r="AS15" s="51">
        <f t="shared" si="8"/>
        <v>12.71</v>
      </c>
    </row>
    <row r="16" spans="1:45" ht="15" x14ac:dyDescent="0.2">
      <c r="A16" s="278">
        <v>8</v>
      </c>
      <c r="B16" s="176" t="s">
        <v>37</v>
      </c>
      <c r="C16" s="167">
        <v>6</v>
      </c>
      <c r="D16" s="177">
        <v>8.4730000000000008</v>
      </c>
      <c r="E16" s="171">
        <f>C16*D16</f>
        <v>50.84</v>
      </c>
      <c r="F16" s="154">
        <f t="shared" si="9"/>
        <v>610.1</v>
      </c>
      <c r="G16" s="154"/>
      <c r="H16" s="154"/>
      <c r="I16" s="154"/>
      <c r="J16" s="154">
        <f>D16*0.2*12</f>
        <v>20.3</v>
      </c>
      <c r="K16" s="154">
        <f>D16*0.4*12</f>
        <v>40.700000000000003</v>
      </c>
      <c r="L16" s="154">
        <f t="shared" si="10"/>
        <v>209.3</v>
      </c>
      <c r="M16" s="154">
        <f t="shared" si="11"/>
        <v>880.4</v>
      </c>
      <c r="N16" s="171">
        <v>0.41</v>
      </c>
      <c r="O16" s="154">
        <f t="shared" si="12"/>
        <v>361</v>
      </c>
      <c r="P16" s="154">
        <f t="shared" si="13"/>
        <v>1241.4000000000001</v>
      </c>
      <c r="Q16" s="154">
        <f t="shared" si="14"/>
        <v>993.1</v>
      </c>
      <c r="R16" s="154">
        <f t="shared" si="15"/>
        <v>993.1</v>
      </c>
      <c r="S16" s="154">
        <f t="shared" si="16"/>
        <v>103.3</v>
      </c>
      <c r="T16" s="154">
        <f t="shared" si="17"/>
        <v>3330.9</v>
      </c>
      <c r="U16" s="2921"/>
      <c r="V16" s="155">
        <f t="shared" si="0"/>
        <v>3330.9</v>
      </c>
      <c r="W16" s="155">
        <f t="shared" si="20"/>
        <v>1005.9</v>
      </c>
      <c r="X16" s="278"/>
      <c r="Y16" s="24">
        <v>30</v>
      </c>
      <c r="Z16" s="48">
        <f t="shared" si="1"/>
        <v>0</v>
      </c>
      <c r="AA16" s="54"/>
      <c r="AB16" s="24">
        <v>15</v>
      </c>
      <c r="AC16" s="48">
        <f t="shared" si="2"/>
        <v>0</v>
      </c>
      <c r="AD16" s="54"/>
      <c r="AE16" s="24">
        <v>30</v>
      </c>
      <c r="AF16" s="48">
        <f t="shared" si="3"/>
        <v>0</v>
      </c>
      <c r="AG16" s="48">
        <f t="shared" si="4"/>
        <v>0</v>
      </c>
      <c r="AH16" s="48">
        <f t="shared" si="5"/>
        <v>0</v>
      </c>
      <c r="AI16" s="34">
        <f t="shared" si="6"/>
        <v>46262.5</v>
      </c>
      <c r="AJ16" s="34"/>
      <c r="AK16" s="34">
        <f t="shared" si="7"/>
        <v>555.20000000000005</v>
      </c>
      <c r="AL16" s="34">
        <f t="shared" si="18"/>
        <v>218.5</v>
      </c>
      <c r="AM16" s="51">
        <v>0.30199999999999999</v>
      </c>
      <c r="AN16" s="116"/>
      <c r="AO16" s="116"/>
      <c r="AP16" s="116"/>
      <c r="AQ16" s="116"/>
      <c r="AS16" s="51">
        <f t="shared" si="8"/>
        <v>12.71</v>
      </c>
    </row>
    <row r="17" spans="1:45" x14ac:dyDescent="0.2">
      <c r="A17" s="278">
        <v>9</v>
      </c>
      <c r="B17" s="176" t="s">
        <v>19</v>
      </c>
      <c r="C17" s="167">
        <v>5</v>
      </c>
      <c r="D17" s="177">
        <v>8.4730000000000008</v>
      </c>
      <c r="E17" s="171">
        <f>C17*D17</f>
        <v>42.37</v>
      </c>
      <c r="F17" s="154">
        <f t="shared" si="9"/>
        <v>508.4</v>
      </c>
      <c r="G17" s="154"/>
      <c r="H17" s="154"/>
      <c r="I17" s="154"/>
      <c r="J17" s="154">
        <f>D17*1.25*12</f>
        <v>127.1</v>
      </c>
      <c r="K17" s="154">
        <f>D17*0.3*12+D17*0.35*2*12+D17*0.05*11+D17*0.4*2</f>
        <v>113.1</v>
      </c>
      <c r="L17" s="154">
        <f t="shared" si="10"/>
        <v>174.4</v>
      </c>
      <c r="M17" s="154">
        <f t="shared" si="11"/>
        <v>923</v>
      </c>
      <c r="N17" s="171">
        <v>0.41</v>
      </c>
      <c r="O17" s="154">
        <f t="shared" si="12"/>
        <v>378.4</v>
      </c>
      <c r="P17" s="154">
        <f t="shared" si="13"/>
        <v>1301.4000000000001</v>
      </c>
      <c r="Q17" s="154">
        <f t="shared" si="14"/>
        <v>1041.0999999999999</v>
      </c>
      <c r="R17" s="154">
        <f t="shared" si="15"/>
        <v>1041.0999999999999</v>
      </c>
      <c r="S17" s="154">
        <f t="shared" si="16"/>
        <v>108.3</v>
      </c>
      <c r="T17" s="154">
        <f t="shared" si="17"/>
        <v>3491.9</v>
      </c>
      <c r="U17" s="2921"/>
      <c r="V17" s="155">
        <f t="shared" si="0"/>
        <v>3491.9</v>
      </c>
      <c r="W17" s="155">
        <f t="shared" si="20"/>
        <v>1054.5999999999999</v>
      </c>
      <c r="X17" s="278">
        <v>3</v>
      </c>
      <c r="Y17" s="24">
        <v>30</v>
      </c>
      <c r="Z17" s="48">
        <f t="shared" si="1"/>
        <v>90</v>
      </c>
      <c r="AA17" s="54">
        <v>2</v>
      </c>
      <c r="AB17" s="24">
        <v>15</v>
      </c>
      <c r="AC17" s="48">
        <f t="shared" si="2"/>
        <v>30</v>
      </c>
      <c r="AD17" s="54"/>
      <c r="AE17" s="24">
        <v>30</v>
      </c>
      <c r="AF17" s="48">
        <f t="shared" si="3"/>
        <v>0</v>
      </c>
      <c r="AG17" s="48">
        <f t="shared" si="4"/>
        <v>36</v>
      </c>
      <c r="AH17" s="48">
        <f t="shared" si="5"/>
        <v>156</v>
      </c>
      <c r="AI17" s="34">
        <f t="shared" si="6"/>
        <v>58198.3</v>
      </c>
      <c r="AJ17" s="34"/>
      <c r="AK17" s="34">
        <f t="shared" si="7"/>
        <v>698.4</v>
      </c>
      <c r="AL17" s="34">
        <f t="shared" si="18"/>
        <v>244.6</v>
      </c>
      <c r="AM17" s="51">
        <v>0.30199999999999999</v>
      </c>
      <c r="AS17" s="51">
        <f t="shared" si="8"/>
        <v>12.71</v>
      </c>
    </row>
    <row r="18" spans="1:45" ht="25.5" x14ac:dyDescent="0.2">
      <c r="A18" s="278">
        <v>10</v>
      </c>
      <c r="B18" s="44" t="s">
        <v>131</v>
      </c>
      <c r="C18" s="167">
        <v>1</v>
      </c>
      <c r="D18" s="177">
        <v>8.4730000000000008</v>
      </c>
      <c r="E18" s="171">
        <f>C18*D18</f>
        <v>8.4700000000000006</v>
      </c>
      <c r="F18" s="154">
        <f t="shared" si="9"/>
        <v>101.6</v>
      </c>
      <c r="G18" s="154"/>
      <c r="H18" s="154"/>
      <c r="I18" s="154"/>
      <c r="J18" s="154"/>
      <c r="K18" s="154">
        <f>F18*0.4</f>
        <v>40.6</v>
      </c>
      <c r="L18" s="154">
        <f t="shared" si="10"/>
        <v>34.9</v>
      </c>
      <c r="M18" s="154">
        <f t="shared" si="11"/>
        <v>177.1</v>
      </c>
      <c r="N18" s="171">
        <v>0.41</v>
      </c>
      <c r="O18" s="154">
        <f t="shared" si="12"/>
        <v>72.599999999999994</v>
      </c>
      <c r="P18" s="154">
        <f t="shared" si="13"/>
        <v>249.7</v>
      </c>
      <c r="Q18" s="154">
        <f t="shared" si="14"/>
        <v>199.8</v>
      </c>
      <c r="R18" s="154">
        <f t="shared" si="15"/>
        <v>199.8</v>
      </c>
      <c r="S18" s="154">
        <f t="shared" si="16"/>
        <v>20.8</v>
      </c>
      <c r="T18" s="154">
        <f t="shared" si="17"/>
        <v>670.1</v>
      </c>
      <c r="U18" s="2921"/>
      <c r="V18" s="155">
        <f t="shared" si="0"/>
        <v>670.1</v>
      </c>
      <c r="W18" s="155">
        <f t="shared" si="20"/>
        <v>202.4</v>
      </c>
      <c r="X18" s="278">
        <v>1</v>
      </c>
      <c r="Y18" s="24">
        <v>35</v>
      </c>
      <c r="Z18" s="48">
        <f t="shared" si="1"/>
        <v>35</v>
      </c>
      <c r="AA18" s="54"/>
      <c r="AB18" s="24">
        <v>17.5</v>
      </c>
      <c r="AC18" s="48">
        <f t="shared" si="2"/>
        <v>0</v>
      </c>
      <c r="AD18" s="54"/>
      <c r="AE18" s="24">
        <v>35</v>
      </c>
      <c r="AF18" s="48">
        <f t="shared" si="3"/>
        <v>0</v>
      </c>
      <c r="AG18" s="48">
        <f t="shared" si="4"/>
        <v>10.5</v>
      </c>
      <c r="AH18" s="48">
        <f t="shared" si="5"/>
        <v>45.5</v>
      </c>
      <c r="AI18" s="34">
        <f t="shared" si="6"/>
        <v>55841.7</v>
      </c>
      <c r="AJ18" s="34"/>
      <c r="AK18" s="34">
        <f t="shared" si="7"/>
        <v>670.1</v>
      </c>
      <c r="AL18" s="34">
        <f t="shared" si="18"/>
        <v>239.4</v>
      </c>
      <c r="AM18" s="51">
        <v>0.30199999999999999</v>
      </c>
      <c r="AS18" s="51">
        <f t="shared" si="8"/>
        <v>12.71</v>
      </c>
    </row>
    <row r="19" spans="1:45" x14ac:dyDescent="0.2">
      <c r="A19" s="278">
        <v>11</v>
      </c>
      <c r="B19" s="178" t="s">
        <v>104</v>
      </c>
      <c r="C19" s="179">
        <v>1</v>
      </c>
      <c r="D19" s="177">
        <v>8.4730000000000008</v>
      </c>
      <c r="E19" s="171">
        <f t="shared" si="19"/>
        <v>8.4700000000000006</v>
      </c>
      <c r="F19" s="154">
        <f t="shared" si="9"/>
        <v>101.6</v>
      </c>
      <c r="G19" s="154"/>
      <c r="H19" s="154"/>
      <c r="I19" s="154"/>
      <c r="J19" s="154"/>
      <c r="K19" s="154">
        <f>F19*0.4</f>
        <v>40.6</v>
      </c>
      <c r="L19" s="154">
        <f t="shared" si="10"/>
        <v>34.9</v>
      </c>
      <c r="M19" s="154">
        <f t="shared" si="11"/>
        <v>177.1</v>
      </c>
      <c r="N19" s="171">
        <v>0.41</v>
      </c>
      <c r="O19" s="154">
        <f t="shared" si="12"/>
        <v>72.599999999999994</v>
      </c>
      <c r="P19" s="154">
        <f t="shared" si="13"/>
        <v>249.7</v>
      </c>
      <c r="Q19" s="154">
        <f t="shared" si="14"/>
        <v>199.8</v>
      </c>
      <c r="R19" s="154">
        <f t="shared" si="15"/>
        <v>199.8</v>
      </c>
      <c r="S19" s="154">
        <f t="shared" si="16"/>
        <v>20.8</v>
      </c>
      <c r="T19" s="154">
        <f t="shared" si="17"/>
        <v>670.1</v>
      </c>
      <c r="U19" s="2921"/>
      <c r="V19" s="155">
        <f t="shared" si="0"/>
        <v>670.1</v>
      </c>
      <c r="W19" s="155">
        <f t="shared" si="20"/>
        <v>202.4</v>
      </c>
      <c r="X19" s="278">
        <v>1</v>
      </c>
      <c r="Y19" s="24">
        <v>30</v>
      </c>
      <c r="Z19" s="48">
        <f t="shared" si="1"/>
        <v>30</v>
      </c>
      <c r="AA19" s="54"/>
      <c r="AB19" s="24">
        <v>15</v>
      </c>
      <c r="AC19" s="48">
        <f t="shared" si="2"/>
        <v>0</v>
      </c>
      <c r="AD19" s="54"/>
      <c r="AE19" s="24">
        <v>30</v>
      </c>
      <c r="AF19" s="48">
        <f t="shared" si="3"/>
        <v>0</v>
      </c>
      <c r="AG19" s="48">
        <f t="shared" si="4"/>
        <v>9</v>
      </c>
      <c r="AH19" s="48">
        <f t="shared" si="5"/>
        <v>39</v>
      </c>
      <c r="AI19" s="34">
        <f t="shared" si="6"/>
        <v>55841.7</v>
      </c>
      <c r="AJ19" s="34"/>
      <c r="AK19" s="34">
        <f t="shared" si="7"/>
        <v>670.1</v>
      </c>
      <c r="AL19" s="34">
        <f t="shared" si="18"/>
        <v>239.4</v>
      </c>
      <c r="AM19" s="51">
        <v>0.30199999999999999</v>
      </c>
      <c r="AS19" s="51">
        <f t="shared" si="8"/>
        <v>12.71</v>
      </c>
    </row>
    <row r="20" spans="1:45" x14ac:dyDescent="0.2">
      <c r="A20" s="278">
        <v>12</v>
      </c>
      <c r="B20" s="176" t="s">
        <v>20</v>
      </c>
      <c r="C20" s="180">
        <v>2</v>
      </c>
      <c r="D20" s="177">
        <v>8.4730000000000008</v>
      </c>
      <c r="E20" s="171">
        <f t="shared" si="19"/>
        <v>16.95</v>
      </c>
      <c r="F20" s="154">
        <f t="shared" si="9"/>
        <v>203.4</v>
      </c>
      <c r="G20" s="154"/>
      <c r="H20" s="154"/>
      <c r="I20" s="154"/>
      <c r="J20" s="154">
        <f>D20*0.1*12</f>
        <v>10.199999999999999</v>
      </c>
      <c r="K20" s="154">
        <f>D20*0.35*12</f>
        <v>35.6</v>
      </c>
      <c r="L20" s="154">
        <f t="shared" si="10"/>
        <v>69.8</v>
      </c>
      <c r="M20" s="154">
        <f t="shared" si="11"/>
        <v>319</v>
      </c>
      <c r="N20" s="171">
        <v>0.41</v>
      </c>
      <c r="O20" s="154">
        <f t="shared" si="12"/>
        <v>130.80000000000001</v>
      </c>
      <c r="P20" s="154">
        <f t="shared" si="13"/>
        <v>449.8</v>
      </c>
      <c r="Q20" s="154">
        <f t="shared" si="14"/>
        <v>359.8</v>
      </c>
      <c r="R20" s="154">
        <f t="shared" si="15"/>
        <v>359.8</v>
      </c>
      <c r="S20" s="154">
        <f t="shared" si="16"/>
        <v>37.4</v>
      </c>
      <c r="T20" s="154">
        <f t="shared" si="17"/>
        <v>1206.8</v>
      </c>
      <c r="U20" s="2921"/>
      <c r="V20" s="155">
        <f t="shared" si="0"/>
        <v>1206.8</v>
      </c>
      <c r="W20" s="155">
        <f t="shared" si="20"/>
        <v>364.5</v>
      </c>
      <c r="X20" s="278">
        <v>1</v>
      </c>
      <c r="Y20" s="24">
        <v>30</v>
      </c>
      <c r="Z20" s="48">
        <f t="shared" si="1"/>
        <v>30</v>
      </c>
      <c r="AA20" s="278">
        <v>1</v>
      </c>
      <c r="AB20" s="24">
        <v>15</v>
      </c>
      <c r="AC20" s="48">
        <f t="shared" si="2"/>
        <v>15</v>
      </c>
      <c r="AD20" s="278"/>
      <c r="AE20" s="24">
        <v>30</v>
      </c>
      <c r="AF20" s="48">
        <f t="shared" si="3"/>
        <v>0</v>
      </c>
      <c r="AG20" s="48">
        <f t="shared" si="4"/>
        <v>13.5</v>
      </c>
      <c r="AH20" s="48">
        <f t="shared" si="5"/>
        <v>58.5</v>
      </c>
      <c r="AI20" s="34">
        <f t="shared" si="6"/>
        <v>50283.3</v>
      </c>
      <c r="AJ20" s="34"/>
      <c r="AK20" s="34">
        <f t="shared" si="7"/>
        <v>603.4</v>
      </c>
      <c r="AL20" s="34">
        <f t="shared" si="18"/>
        <v>227.3</v>
      </c>
      <c r="AM20" s="51">
        <v>0.30199999999999999</v>
      </c>
      <c r="AS20" s="51">
        <f t="shared" si="8"/>
        <v>12.71</v>
      </c>
    </row>
    <row r="21" spans="1:45" ht="25.5" x14ac:dyDescent="0.2">
      <c r="A21" s="278">
        <v>13</v>
      </c>
      <c r="B21" s="181" t="s">
        <v>106</v>
      </c>
      <c r="C21" s="172">
        <v>12</v>
      </c>
      <c r="D21" s="182">
        <v>8.4730000000000008</v>
      </c>
      <c r="E21" s="171">
        <f t="shared" si="19"/>
        <v>101.68</v>
      </c>
      <c r="F21" s="154">
        <f t="shared" si="9"/>
        <v>1220.2</v>
      </c>
      <c r="G21" s="154"/>
      <c r="H21" s="154"/>
      <c r="I21" s="154"/>
      <c r="J21" s="154"/>
      <c r="K21" s="154">
        <f>D21*0.2*12+D21*0.4*12+D21*0.2*30</f>
        <v>111.8</v>
      </c>
      <c r="L21" s="154">
        <f t="shared" si="10"/>
        <v>418.7</v>
      </c>
      <c r="M21" s="154">
        <f t="shared" si="11"/>
        <v>1750.7</v>
      </c>
      <c r="N21" s="171">
        <v>0.47</v>
      </c>
      <c r="O21" s="154">
        <f t="shared" si="12"/>
        <v>822.8</v>
      </c>
      <c r="P21" s="154">
        <f t="shared" si="13"/>
        <v>2573.5</v>
      </c>
      <c r="Q21" s="154">
        <f t="shared" si="14"/>
        <v>2058.8000000000002</v>
      </c>
      <c r="R21" s="154">
        <f t="shared" si="15"/>
        <v>2058.8000000000002</v>
      </c>
      <c r="S21" s="154">
        <f t="shared" si="16"/>
        <v>214.1</v>
      </c>
      <c r="T21" s="154">
        <f t="shared" si="17"/>
        <v>6905.2</v>
      </c>
      <c r="U21" s="2921"/>
      <c r="V21" s="155">
        <f t="shared" si="0"/>
        <v>6905.2</v>
      </c>
      <c r="W21" s="155">
        <f t="shared" si="20"/>
        <v>2085.4</v>
      </c>
      <c r="X21" s="272">
        <v>10</v>
      </c>
      <c r="Y21" s="163">
        <v>30</v>
      </c>
      <c r="Z21" s="164">
        <f t="shared" si="1"/>
        <v>300</v>
      </c>
      <c r="AA21" s="272">
        <v>6</v>
      </c>
      <c r="AB21" s="163">
        <v>15</v>
      </c>
      <c r="AC21" s="164">
        <f t="shared" si="2"/>
        <v>90</v>
      </c>
      <c r="AD21" s="272"/>
      <c r="AE21" s="163">
        <v>30</v>
      </c>
      <c r="AF21" s="164">
        <f t="shared" si="3"/>
        <v>0</v>
      </c>
      <c r="AG21" s="164">
        <f t="shared" si="4"/>
        <v>117</v>
      </c>
      <c r="AH21" s="164">
        <f t="shared" si="5"/>
        <v>507</v>
      </c>
      <c r="AI21" s="34">
        <f t="shared" si="6"/>
        <v>47952.800000000003</v>
      </c>
      <c r="AJ21" s="34"/>
      <c r="AK21" s="34">
        <f t="shared" si="7"/>
        <v>575.4</v>
      </c>
      <c r="AL21" s="34">
        <f t="shared" si="18"/>
        <v>222.2</v>
      </c>
      <c r="AM21" s="51">
        <v>0.30199999999999999</v>
      </c>
      <c r="AS21" s="51">
        <f t="shared" si="8"/>
        <v>12.71</v>
      </c>
    </row>
    <row r="22" spans="1:45" s="188" customFormat="1" x14ac:dyDescent="0.2">
      <c r="A22" s="278">
        <v>14</v>
      </c>
      <c r="B22" s="106" t="s">
        <v>107</v>
      </c>
      <c r="C22" s="172">
        <f>2-1</f>
        <v>1</v>
      </c>
      <c r="D22" s="183">
        <v>4.3769999999999998</v>
      </c>
      <c r="E22" s="184">
        <f t="shared" si="19"/>
        <v>4.38</v>
      </c>
      <c r="F22" s="185">
        <f t="shared" si="9"/>
        <v>52.6</v>
      </c>
      <c r="G22" s="155"/>
      <c r="H22" s="155"/>
      <c r="I22" s="155"/>
      <c r="J22" s="155"/>
      <c r="K22" s="155"/>
      <c r="L22" s="154">
        <v>38.299999999999997</v>
      </c>
      <c r="M22" s="186">
        <f t="shared" si="11"/>
        <v>90.9</v>
      </c>
      <c r="N22" s="184">
        <v>0.47</v>
      </c>
      <c r="O22" s="186">
        <f t="shared" si="12"/>
        <v>42.7</v>
      </c>
      <c r="P22" s="186">
        <f t="shared" si="13"/>
        <v>133.6</v>
      </c>
      <c r="Q22" s="186">
        <f t="shared" si="14"/>
        <v>106.9</v>
      </c>
      <c r="R22" s="155">
        <f t="shared" si="15"/>
        <v>106.9</v>
      </c>
      <c r="S22" s="186">
        <f t="shared" si="16"/>
        <v>11.1</v>
      </c>
      <c r="T22" s="186">
        <f t="shared" si="17"/>
        <v>358.5</v>
      </c>
      <c r="U22" s="2922"/>
      <c r="V22" s="186">
        <f>T22*$U$9</f>
        <v>358.5</v>
      </c>
      <c r="W22" s="155">
        <f t="shared" si="20"/>
        <v>108.3</v>
      </c>
      <c r="X22" s="278">
        <v>1</v>
      </c>
      <c r="Y22" s="24">
        <v>30</v>
      </c>
      <c r="Z22" s="48">
        <f t="shared" si="1"/>
        <v>30</v>
      </c>
      <c r="AA22" s="278"/>
      <c r="AB22" s="24">
        <v>15</v>
      </c>
      <c r="AC22" s="48">
        <f t="shared" si="2"/>
        <v>0</v>
      </c>
      <c r="AD22" s="278">
        <v>1</v>
      </c>
      <c r="AE22" s="24">
        <v>30</v>
      </c>
      <c r="AF22" s="48">
        <f t="shared" si="3"/>
        <v>30</v>
      </c>
      <c r="AG22" s="48">
        <f t="shared" si="4"/>
        <v>18</v>
      </c>
      <c r="AH22" s="48">
        <f t="shared" si="5"/>
        <v>78</v>
      </c>
      <c r="AI22" s="34">
        <f t="shared" si="6"/>
        <v>29875</v>
      </c>
      <c r="AJ22" s="187"/>
      <c r="AK22" s="34">
        <f t="shared" si="7"/>
        <v>358.5</v>
      </c>
      <c r="AL22" s="34">
        <f t="shared" si="18"/>
        <v>182.7</v>
      </c>
      <c r="AM22" s="51">
        <v>0.30199999999999999</v>
      </c>
      <c r="AN22" s="22"/>
      <c r="AO22" s="22"/>
      <c r="AP22" s="22"/>
      <c r="AQ22" s="22"/>
      <c r="AS22" s="51">
        <f t="shared" si="8"/>
        <v>6.5659999999999998</v>
      </c>
    </row>
    <row r="23" spans="1:45" s="33" customFormat="1" ht="20.25" customHeight="1" x14ac:dyDescent="0.2">
      <c r="A23" s="2923" t="s">
        <v>72</v>
      </c>
      <c r="B23" s="2923"/>
      <c r="C23" s="189">
        <f t="shared" ref="C23:AH23" si="21">SUM(C9:C22)</f>
        <v>126</v>
      </c>
      <c r="D23" s="156">
        <f t="shared" si="21"/>
        <v>141.6</v>
      </c>
      <c r="E23" s="156">
        <f t="shared" si="21"/>
        <v>1152.5999999999999</v>
      </c>
      <c r="F23" s="156">
        <f t="shared" si="21"/>
        <v>13830.6</v>
      </c>
      <c r="G23" s="156">
        <f t="shared" si="21"/>
        <v>0</v>
      </c>
      <c r="H23" s="156">
        <f t="shared" si="21"/>
        <v>0</v>
      </c>
      <c r="I23" s="156">
        <f t="shared" si="21"/>
        <v>48</v>
      </c>
      <c r="J23" s="156">
        <f t="shared" si="21"/>
        <v>671.1</v>
      </c>
      <c r="K23" s="156">
        <f t="shared" si="21"/>
        <v>1675.5</v>
      </c>
      <c r="L23" s="156">
        <f t="shared" si="21"/>
        <v>4765.8999999999996</v>
      </c>
      <c r="M23" s="156">
        <f t="shared" si="21"/>
        <v>20991.1</v>
      </c>
      <c r="N23" s="156"/>
      <c r="O23" s="156">
        <f t="shared" si="21"/>
        <v>8876.2999999999993</v>
      </c>
      <c r="P23" s="156">
        <f t="shared" si="21"/>
        <v>29867.4</v>
      </c>
      <c r="Q23" s="156">
        <f t="shared" si="21"/>
        <v>23893.9</v>
      </c>
      <c r="R23" s="156">
        <f t="shared" si="21"/>
        <v>23893.9</v>
      </c>
      <c r="S23" s="156">
        <f t="shared" si="21"/>
        <v>2485</v>
      </c>
      <c r="T23" s="156">
        <f t="shared" si="21"/>
        <v>80140.2</v>
      </c>
      <c r="U23" s="156">
        <f t="shared" si="21"/>
        <v>1</v>
      </c>
      <c r="V23" s="156">
        <f t="shared" si="21"/>
        <v>80140.2</v>
      </c>
      <c r="W23" s="156">
        <f>SUM(W9:W22)</f>
        <v>24003.599999999999</v>
      </c>
      <c r="X23" s="156">
        <f>SUM(X9:X22)</f>
        <v>75</v>
      </c>
      <c r="Y23" s="156">
        <f t="shared" si="21"/>
        <v>425</v>
      </c>
      <c r="Z23" s="190">
        <f t="shared" si="21"/>
        <v>2255</v>
      </c>
      <c r="AA23" s="156">
        <f t="shared" si="21"/>
        <v>30</v>
      </c>
      <c r="AB23" s="156">
        <f t="shared" si="21"/>
        <v>212.5</v>
      </c>
      <c r="AC23" s="190">
        <f t="shared" si="21"/>
        <v>450</v>
      </c>
      <c r="AD23" s="156">
        <f t="shared" si="21"/>
        <v>16</v>
      </c>
      <c r="AE23" s="156">
        <f t="shared" si="21"/>
        <v>425</v>
      </c>
      <c r="AF23" s="190">
        <f t="shared" si="21"/>
        <v>480</v>
      </c>
      <c r="AG23" s="190">
        <f t="shared" si="21"/>
        <v>955.5</v>
      </c>
      <c r="AH23" s="190">
        <f t="shared" si="21"/>
        <v>4140.5</v>
      </c>
      <c r="AI23" s="34"/>
      <c r="AJ23" s="187"/>
      <c r="AK23" s="34"/>
      <c r="AL23" s="34"/>
      <c r="AM23" s="51"/>
      <c r="AN23" s="22"/>
      <c r="AO23" s="22"/>
      <c r="AP23" s="22"/>
      <c r="AQ23" s="22"/>
      <c r="AS23" s="51"/>
    </row>
    <row r="24" spans="1:45" s="192" customFormat="1" ht="14.25" customHeight="1" x14ac:dyDescent="0.2">
      <c r="A24" s="33"/>
      <c r="B24" s="22"/>
      <c r="C24" s="191"/>
      <c r="D24" s="22"/>
      <c r="E24" s="22"/>
      <c r="F24" s="22"/>
      <c r="G24" s="39"/>
      <c r="H24" s="39"/>
      <c r="I24" s="39"/>
      <c r="J24" s="39"/>
      <c r="K24" s="39"/>
      <c r="L24" s="39"/>
      <c r="M24" s="39"/>
      <c r="N24" s="39"/>
      <c r="O24" s="39"/>
      <c r="P24" s="39"/>
      <c r="Q24" s="39"/>
      <c r="R24" s="39"/>
      <c r="S24" s="39"/>
      <c r="T24" s="39"/>
      <c r="U24" s="22"/>
      <c r="V24" s="34"/>
      <c r="W24" s="66"/>
      <c r="X24" s="39"/>
      <c r="Y24" s="22"/>
      <c r="Z24" s="22"/>
      <c r="AA24" s="39"/>
      <c r="AB24" s="22"/>
      <c r="AC24" s="22"/>
      <c r="AD24" s="39"/>
      <c r="AE24" s="22"/>
      <c r="AF24" s="22"/>
      <c r="AG24" s="39"/>
      <c r="AH24" s="39"/>
      <c r="AI24" s="34"/>
      <c r="AJ24" s="187"/>
      <c r="AK24" s="34"/>
      <c r="AL24" s="34"/>
      <c r="AM24" s="51"/>
      <c r="AN24" s="22"/>
      <c r="AO24" s="22"/>
      <c r="AP24" s="22"/>
      <c r="AQ24" s="22"/>
      <c r="AS24" s="51"/>
    </row>
    <row r="25" spans="1:45" s="192" customFormat="1" ht="14.25" customHeight="1" x14ac:dyDescent="0.2">
      <c r="A25" s="33"/>
      <c r="B25" s="22"/>
      <c r="C25" s="191"/>
      <c r="D25" s="22"/>
      <c r="E25" s="22"/>
      <c r="F25" s="22"/>
      <c r="G25" s="39"/>
      <c r="H25" s="39"/>
      <c r="I25" s="39"/>
      <c r="J25" s="39"/>
      <c r="K25" s="39"/>
      <c r="L25" s="39"/>
      <c r="M25" s="39"/>
      <c r="N25" s="39"/>
      <c r="O25" s="39"/>
      <c r="P25" s="39"/>
      <c r="Q25" s="39"/>
      <c r="R25" s="39"/>
      <c r="S25" s="39"/>
      <c r="T25" s="39"/>
      <c r="U25" s="22"/>
      <c r="V25" s="66"/>
      <c r="W25" s="34"/>
      <c r="X25" s="39"/>
      <c r="Y25" s="22"/>
      <c r="Z25" s="22"/>
      <c r="AA25" s="39"/>
      <c r="AB25" s="22"/>
      <c r="AC25" s="22"/>
      <c r="AD25" s="39"/>
      <c r="AE25" s="22"/>
      <c r="AF25" s="22"/>
      <c r="AG25" s="39"/>
      <c r="AH25" s="39"/>
      <c r="AI25" s="34"/>
      <c r="AJ25" s="187"/>
      <c r="AK25" s="34"/>
      <c r="AL25" s="34"/>
      <c r="AM25" s="51"/>
      <c r="AN25" s="22"/>
      <c r="AO25" s="22"/>
      <c r="AP25" s="22"/>
      <c r="AQ25" s="22"/>
      <c r="AS25" s="51"/>
    </row>
    <row r="26" spans="1:45" s="192" customFormat="1" ht="58.5" customHeight="1" x14ac:dyDescent="0.2">
      <c r="A26" s="33"/>
      <c r="B26" s="22"/>
      <c r="C26" s="191"/>
      <c r="D26" s="22"/>
      <c r="E26" s="22"/>
      <c r="F26" s="22"/>
      <c r="G26" s="2244" t="s">
        <v>140</v>
      </c>
      <c r="H26" s="2244"/>
      <c r="I26" s="2244" t="s">
        <v>143</v>
      </c>
      <c r="J26" s="2244"/>
      <c r="K26" s="2240" t="s">
        <v>135</v>
      </c>
      <c r="L26" s="2241"/>
      <c r="M26" s="2244" t="s">
        <v>128</v>
      </c>
      <c r="N26" s="2244"/>
      <c r="Q26" s="39"/>
      <c r="R26" s="39"/>
      <c r="S26" s="39"/>
      <c r="T26" s="39"/>
      <c r="U26" s="22"/>
      <c r="V26" s="34"/>
      <c r="W26" s="34"/>
      <c r="X26" s="39"/>
      <c r="Y26" s="22"/>
      <c r="Z26" s="22"/>
      <c r="AA26" s="39"/>
      <c r="AB26" s="22"/>
      <c r="AC26" s="22"/>
      <c r="AD26" s="39"/>
      <c r="AE26" s="22"/>
      <c r="AF26" s="22"/>
      <c r="AG26" s="39"/>
      <c r="AH26" s="39"/>
      <c r="AI26" s="34"/>
      <c r="AJ26" s="187"/>
      <c r="AK26" s="34"/>
      <c r="AL26" s="34"/>
      <c r="AM26" s="51"/>
      <c r="AN26" s="22"/>
      <c r="AO26" s="22"/>
      <c r="AP26" s="22"/>
      <c r="AQ26" s="22"/>
      <c r="AS26" s="51"/>
    </row>
    <row r="27" spans="1:45" s="192" customFormat="1" ht="14.25" customHeight="1" x14ac:dyDescent="0.2">
      <c r="A27" s="33"/>
      <c r="B27" s="22"/>
      <c r="C27" s="191"/>
      <c r="D27" s="22"/>
      <c r="E27" s="22"/>
      <c r="F27" s="22"/>
      <c r="G27" s="279">
        <v>991</v>
      </c>
      <c r="H27" s="279">
        <v>992</v>
      </c>
      <c r="I27" s="279">
        <v>991</v>
      </c>
      <c r="J27" s="279">
        <v>992</v>
      </c>
      <c r="K27" s="279">
        <v>991</v>
      </c>
      <c r="L27" s="279">
        <v>992</v>
      </c>
      <c r="M27" s="279">
        <v>991</v>
      </c>
      <c r="N27" s="279">
        <v>992</v>
      </c>
      <c r="Q27" s="39"/>
      <c r="R27" s="39"/>
      <c r="S27" s="39"/>
      <c r="T27" s="39"/>
      <c r="U27" s="22"/>
      <c r="V27" s="34"/>
      <c r="W27" s="34"/>
      <c r="X27" s="39"/>
      <c r="Y27" s="22"/>
      <c r="Z27" s="22"/>
      <c r="AA27" s="39"/>
      <c r="AB27" s="22"/>
      <c r="AC27" s="22"/>
      <c r="AD27" s="39"/>
      <c r="AE27" s="22"/>
      <c r="AF27" s="22"/>
      <c r="AG27" s="39"/>
      <c r="AH27" s="39"/>
      <c r="AI27" s="34"/>
      <c r="AJ27" s="187"/>
      <c r="AK27" s="34"/>
      <c r="AL27" s="34"/>
      <c r="AM27" s="51"/>
      <c r="AN27" s="22"/>
      <c r="AO27" s="22"/>
      <c r="AP27" s="22"/>
      <c r="AQ27" s="22"/>
      <c r="AS27" s="51"/>
    </row>
    <row r="28" spans="1:45" s="192" customFormat="1" ht="14.25" customHeight="1" x14ac:dyDescent="0.2">
      <c r="A28" s="33"/>
      <c r="B28" s="22"/>
      <c r="C28" s="191"/>
      <c r="D28" s="22"/>
      <c r="E28" s="22"/>
      <c r="F28" s="22"/>
      <c r="G28" s="29">
        <f>76536+3092.6+824.1</f>
        <v>80452.7</v>
      </c>
      <c r="H28" s="29">
        <v>24137.9</v>
      </c>
      <c r="I28" s="29">
        <v>312.5</v>
      </c>
      <c r="J28" s="29">
        <v>94.4</v>
      </c>
      <c r="K28" s="29">
        <f>V23</f>
        <v>80140.2</v>
      </c>
      <c r="L28" s="29">
        <f>W23</f>
        <v>24003.599999999999</v>
      </c>
      <c r="M28" s="29">
        <f>G28-I28-K28</f>
        <v>0</v>
      </c>
      <c r="N28" s="29">
        <f>H28-J28-L28</f>
        <v>39.9</v>
      </c>
      <c r="Q28" s="39"/>
      <c r="R28" s="39"/>
      <c r="S28" s="39"/>
      <c r="T28" s="39"/>
      <c r="U28" s="22"/>
      <c r="V28" s="34"/>
      <c r="W28" s="34"/>
      <c r="X28" s="39"/>
      <c r="Y28" s="22"/>
      <c r="Z28" s="22"/>
      <c r="AA28" s="39"/>
      <c r="AB28" s="22"/>
      <c r="AC28" s="22"/>
      <c r="AD28" s="39"/>
      <c r="AE28" s="22"/>
      <c r="AF28" s="22"/>
      <c r="AG28" s="39"/>
      <c r="AH28" s="39"/>
      <c r="AI28" s="34"/>
      <c r="AJ28" s="187"/>
      <c r="AK28" s="34"/>
      <c r="AL28" s="34"/>
      <c r="AM28" s="51"/>
      <c r="AN28" s="22"/>
      <c r="AO28" s="22"/>
      <c r="AP28" s="22"/>
      <c r="AQ28" s="22"/>
      <c r="AS28" s="51"/>
    </row>
    <row r="29" spans="1:45" s="192" customFormat="1" ht="14.25" customHeight="1" x14ac:dyDescent="0.2">
      <c r="A29" s="33"/>
      <c r="B29" s="22"/>
      <c r="C29" s="191"/>
      <c r="D29" s="22"/>
      <c r="E29" s="22"/>
      <c r="F29" s="22"/>
      <c r="G29" s="39"/>
      <c r="H29" s="39"/>
      <c r="I29" s="157"/>
      <c r="J29" s="157"/>
      <c r="K29" s="157"/>
      <c r="L29" s="157"/>
      <c r="M29" s="39"/>
      <c r="N29" s="39"/>
      <c r="O29" s="39"/>
      <c r="P29" s="39"/>
      <c r="Q29" s="39"/>
      <c r="R29" s="39"/>
      <c r="S29" s="39"/>
      <c r="T29" s="39"/>
      <c r="U29" s="22"/>
      <c r="V29" s="34"/>
      <c r="W29" s="34"/>
      <c r="X29" s="39"/>
      <c r="Y29" s="22"/>
      <c r="Z29" s="22"/>
      <c r="AA29" s="39"/>
      <c r="AB29" s="22"/>
      <c r="AC29" s="22"/>
      <c r="AD29" s="39"/>
      <c r="AE29" s="22"/>
      <c r="AF29" s="22"/>
      <c r="AG29" s="39"/>
      <c r="AH29" s="39"/>
      <c r="AI29" s="34"/>
      <c r="AJ29" s="187"/>
      <c r="AK29" s="34"/>
      <c r="AL29" s="34"/>
      <c r="AM29" s="51"/>
      <c r="AN29" s="22"/>
      <c r="AO29" s="22"/>
      <c r="AP29" s="22"/>
      <c r="AQ29" s="22"/>
      <c r="AS29" s="51"/>
    </row>
    <row r="30" spans="1:45" s="192" customFormat="1" ht="14.25" customHeight="1" x14ac:dyDescent="0.2">
      <c r="A30" s="33"/>
      <c r="B30" s="22"/>
      <c r="C30" s="191"/>
      <c r="D30" s="22"/>
      <c r="E30" s="22"/>
      <c r="F30" s="22"/>
      <c r="G30" s="39"/>
      <c r="H30" s="39"/>
      <c r="I30" s="157"/>
      <c r="J30" s="157"/>
      <c r="K30" s="157"/>
      <c r="L30" s="157"/>
      <c r="M30" s="39"/>
      <c r="N30" s="39"/>
      <c r="O30" s="39"/>
      <c r="P30" s="39"/>
      <c r="Q30" s="39"/>
      <c r="R30" s="39"/>
      <c r="S30" s="39"/>
      <c r="T30" s="39"/>
      <c r="U30" s="22"/>
      <c r="V30" s="34"/>
      <c r="W30" s="34"/>
      <c r="X30" s="39"/>
      <c r="Y30" s="22"/>
      <c r="Z30" s="22"/>
      <c r="AA30" s="39"/>
      <c r="AB30" s="22"/>
      <c r="AC30" s="22"/>
      <c r="AD30" s="39"/>
      <c r="AE30" s="22"/>
      <c r="AF30" s="22"/>
      <c r="AG30" s="39"/>
      <c r="AH30" s="39"/>
      <c r="AI30" s="34"/>
      <c r="AJ30" s="187"/>
      <c r="AK30" s="34"/>
      <c r="AL30" s="34"/>
      <c r="AM30" s="51"/>
      <c r="AN30" s="22"/>
      <c r="AO30" s="22"/>
      <c r="AP30" s="22"/>
      <c r="AQ30" s="22"/>
      <c r="AS30" s="51"/>
    </row>
    <row r="31" spans="1:45" s="192" customFormat="1" ht="14.25" customHeight="1" x14ac:dyDescent="0.2">
      <c r="A31" s="33"/>
      <c r="B31" s="22"/>
      <c r="C31" s="191"/>
      <c r="D31" s="22"/>
      <c r="E31" s="22"/>
      <c r="F31" s="22"/>
      <c r="G31" s="39"/>
      <c r="H31" s="39"/>
      <c r="I31" s="39"/>
      <c r="J31" s="39"/>
      <c r="K31" s="39"/>
      <c r="L31" s="39"/>
      <c r="M31" s="39"/>
      <c r="N31" s="39"/>
      <c r="O31" s="39"/>
      <c r="P31" s="39"/>
      <c r="Q31" s="39"/>
      <c r="R31" s="39"/>
      <c r="S31" s="39"/>
      <c r="T31" s="39"/>
      <c r="U31" s="22"/>
      <c r="V31" s="34"/>
      <c r="W31" s="34"/>
      <c r="X31" s="39"/>
      <c r="Y31" s="22"/>
      <c r="Z31" s="22"/>
      <c r="AA31" s="39"/>
      <c r="AB31" s="22"/>
      <c r="AC31" s="22"/>
      <c r="AD31" s="39"/>
      <c r="AE31" s="22"/>
      <c r="AF31" s="22"/>
      <c r="AG31" s="39"/>
      <c r="AH31" s="39"/>
      <c r="AI31" s="34"/>
      <c r="AJ31" s="187"/>
      <c r="AK31" s="34"/>
      <c r="AL31" s="34"/>
      <c r="AM31" s="51"/>
      <c r="AN31" s="22"/>
      <c r="AO31" s="22"/>
      <c r="AP31" s="22"/>
      <c r="AQ31" s="22"/>
      <c r="AS31" s="51"/>
    </row>
    <row r="32" spans="1:45" s="192" customFormat="1" ht="14.25" customHeight="1" x14ac:dyDescent="0.2">
      <c r="A32" s="33"/>
      <c r="B32" s="22"/>
      <c r="C32" s="191"/>
      <c r="D32" s="22"/>
      <c r="E32" s="22"/>
      <c r="F32" s="22"/>
      <c r="G32" s="39"/>
      <c r="H32" s="39"/>
      <c r="I32" s="39"/>
      <c r="J32" s="39"/>
      <c r="K32" s="39"/>
      <c r="L32" s="39"/>
      <c r="M32" s="39"/>
      <c r="N32" s="39"/>
      <c r="O32" s="39"/>
      <c r="P32" s="39"/>
      <c r="Q32" s="39"/>
      <c r="R32" s="39"/>
      <c r="S32" s="39"/>
      <c r="T32" s="39"/>
      <c r="U32" s="22"/>
      <c r="V32" s="39"/>
      <c r="W32" s="39"/>
      <c r="X32" s="39"/>
      <c r="Y32" s="22"/>
      <c r="Z32" s="22"/>
      <c r="AA32" s="39"/>
      <c r="AB32" s="22"/>
      <c r="AC32" s="22"/>
      <c r="AD32" s="39"/>
      <c r="AE32" s="22"/>
      <c r="AF32" s="22"/>
      <c r="AG32" s="39"/>
      <c r="AH32" s="39"/>
      <c r="AI32" s="34"/>
      <c r="AJ32" s="187"/>
      <c r="AK32" s="34"/>
      <c r="AL32" s="34"/>
      <c r="AM32" s="51"/>
      <c r="AN32" s="22"/>
      <c r="AO32" s="22"/>
      <c r="AP32" s="22"/>
      <c r="AQ32" s="22"/>
    </row>
    <row r="33" spans="1:43" s="195" customFormat="1" ht="14.25" x14ac:dyDescent="0.2">
      <c r="A33" s="165"/>
      <c r="B33" s="193"/>
      <c r="C33" s="194"/>
      <c r="D33" s="194"/>
      <c r="E33" s="158"/>
      <c r="F33" s="158"/>
      <c r="G33" s="158"/>
      <c r="H33" s="158"/>
      <c r="I33" s="158"/>
      <c r="J33" s="158"/>
      <c r="K33" s="158"/>
      <c r="L33" s="158"/>
      <c r="M33" s="157"/>
      <c r="N33" s="157"/>
      <c r="O33" s="157"/>
      <c r="P33" s="157"/>
      <c r="Q33" s="157"/>
      <c r="R33" s="157"/>
      <c r="S33" s="157"/>
      <c r="T33" s="157"/>
      <c r="V33" s="157"/>
      <c r="W33" s="157"/>
      <c r="Z33" s="157"/>
      <c r="AC33" s="157"/>
      <c r="AF33" s="157"/>
      <c r="AG33" s="157"/>
      <c r="AI33" s="196"/>
      <c r="AN33" s="62"/>
      <c r="AO33" s="62"/>
      <c r="AP33" s="62"/>
      <c r="AQ33" s="62"/>
    </row>
    <row r="34" spans="1:43" s="195" customFormat="1" ht="14.25" x14ac:dyDescent="0.2">
      <c r="A34" s="165"/>
      <c r="B34" s="193"/>
      <c r="C34" s="194"/>
      <c r="D34" s="194"/>
      <c r="E34" s="158"/>
      <c r="F34" s="158"/>
      <c r="G34" s="158"/>
      <c r="H34" s="158"/>
      <c r="I34" s="158"/>
      <c r="J34" s="158"/>
      <c r="K34" s="158"/>
      <c r="L34" s="158"/>
      <c r="M34" s="157"/>
      <c r="N34" s="157"/>
      <c r="O34" s="157"/>
      <c r="P34" s="157"/>
      <c r="Q34" s="157"/>
      <c r="R34" s="157"/>
      <c r="S34" s="157"/>
      <c r="T34" s="157"/>
      <c r="V34" s="157"/>
      <c r="W34" s="157"/>
      <c r="Z34" s="157"/>
      <c r="AC34" s="157"/>
      <c r="AF34" s="157"/>
      <c r="AG34" s="157"/>
      <c r="AI34" s="196"/>
      <c r="AN34" s="62"/>
      <c r="AO34" s="62"/>
      <c r="AP34" s="62"/>
      <c r="AQ34" s="62"/>
    </row>
    <row r="35" spans="1:43" s="282" customFormat="1" ht="20.25" x14ac:dyDescent="0.2">
      <c r="A35" s="81"/>
      <c r="B35" s="82" t="s">
        <v>138</v>
      </c>
      <c r="C35" s="83"/>
      <c r="D35" s="84"/>
      <c r="E35" s="84"/>
      <c r="F35" s="85"/>
      <c r="G35" s="85"/>
      <c r="H35" s="86"/>
      <c r="I35" s="86"/>
      <c r="J35" s="85"/>
      <c r="K35" s="30" t="s">
        <v>166</v>
      </c>
      <c r="L35" s="85"/>
      <c r="M35" s="85"/>
      <c r="N35" s="87"/>
      <c r="O35" s="85"/>
      <c r="P35" s="85"/>
      <c r="Q35" s="85"/>
      <c r="R35" s="85"/>
      <c r="S35" s="85"/>
      <c r="T35" s="85"/>
      <c r="U35" s="85"/>
      <c r="V35" s="85"/>
      <c r="W35" s="85"/>
      <c r="X35" s="85"/>
      <c r="Y35" s="85"/>
      <c r="Z35" s="85"/>
      <c r="AA35" s="85"/>
      <c r="AB35" s="85"/>
      <c r="AC35" s="85"/>
      <c r="AD35" s="85"/>
      <c r="AE35" s="85"/>
      <c r="AF35" s="85"/>
      <c r="AG35" s="85"/>
      <c r="AH35" s="85"/>
      <c r="AI35" s="85"/>
      <c r="AK35" s="88"/>
      <c r="AL35" s="88"/>
      <c r="AM35" s="88"/>
      <c r="AN35" s="88"/>
      <c r="AO35" s="88"/>
    </row>
    <row r="36" spans="1:43" s="205" customFormat="1" ht="15" x14ac:dyDescent="0.2">
      <c r="A36" s="197"/>
      <c r="B36" s="197"/>
      <c r="C36" s="198"/>
      <c r="D36" s="199"/>
      <c r="E36" s="199"/>
      <c r="F36" s="159"/>
      <c r="G36" s="159"/>
      <c r="H36" s="200"/>
      <c r="I36" s="200"/>
      <c r="J36" s="159"/>
      <c r="K36" s="159"/>
      <c r="L36" s="159"/>
      <c r="M36" s="159"/>
      <c r="N36" s="201"/>
      <c r="O36" s="159"/>
      <c r="P36" s="159"/>
      <c r="Q36" s="159"/>
      <c r="R36" s="159"/>
      <c r="S36" s="159"/>
      <c r="T36" s="159"/>
      <c r="U36" s="159"/>
      <c r="V36" s="202"/>
      <c r="W36" s="202"/>
      <c r="X36" s="203"/>
      <c r="Y36" s="159"/>
      <c r="Z36" s="159"/>
      <c r="AA36" s="159"/>
      <c r="AB36" s="159"/>
      <c r="AC36" s="159"/>
      <c r="AD36" s="159"/>
      <c r="AE36" s="159"/>
      <c r="AF36" s="159"/>
      <c r="AG36" s="159"/>
      <c r="AH36" s="204"/>
      <c r="AM36" s="204"/>
      <c r="AN36" s="76"/>
      <c r="AO36" s="76"/>
      <c r="AP36" s="76"/>
      <c r="AQ36" s="76"/>
    </row>
    <row r="37" spans="1:43" s="205" customFormat="1" ht="15.75" x14ac:dyDescent="0.2">
      <c r="A37" s="206" t="s">
        <v>96</v>
      </c>
      <c r="B37" s="206"/>
      <c r="C37" s="160"/>
      <c r="D37" s="160"/>
      <c r="E37" s="160"/>
      <c r="F37" s="160"/>
      <c r="G37" s="160"/>
      <c r="H37" s="160"/>
      <c r="I37" s="160"/>
      <c r="J37" s="160"/>
      <c r="K37" s="160"/>
      <c r="L37" s="207"/>
      <c r="M37" s="207"/>
      <c r="N37" s="208"/>
      <c r="O37" s="207"/>
      <c r="P37" s="207"/>
      <c r="Q37" s="207"/>
      <c r="R37" s="207"/>
      <c r="S37" s="207"/>
      <c r="T37" s="207"/>
      <c r="U37" s="207"/>
      <c r="V37" s="207"/>
      <c r="W37" s="207"/>
      <c r="X37" s="207"/>
      <c r="Y37" s="207"/>
      <c r="Z37" s="207"/>
      <c r="AA37" s="207"/>
      <c r="AB37" s="207"/>
      <c r="AC37" s="207"/>
      <c r="AD37" s="207"/>
      <c r="AE37" s="207"/>
      <c r="AF37" s="207"/>
      <c r="AG37" s="207"/>
      <c r="AH37" s="204"/>
      <c r="AM37" s="204"/>
      <c r="AN37" s="76"/>
      <c r="AO37" s="76"/>
      <c r="AP37" s="76"/>
      <c r="AQ37" s="76"/>
    </row>
    <row r="38" spans="1:43" s="205" customFormat="1" ht="15.75" x14ac:dyDescent="0.2">
      <c r="A38" s="206" t="s">
        <v>139</v>
      </c>
      <c r="B38" s="209"/>
      <c r="C38" s="210"/>
      <c r="D38" s="210"/>
      <c r="E38" s="161"/>
      <c r="F38" s="161"/>
      <c r="G38" s="161"/>
      <c r="H38" s="161"/>
      <c r="I38" s="161"/>
      <c r="J38" s="161"/>
      <c r="K38" s="161"/>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4"/>
      <c r="AM38" s="204"/>
      <c r="AN38" s="76"/>
      <c r="AO38" s="76"/>
      <c r="AP38" s="76"/>
      <c r="AQ38" s="76"/>
    </row>
    <row r="39" spans="1:43" ht="20.25" x14ac:dyDescent="0.2">
      <c r="AN39" s="88"/>
      <c r="AO39" s="88"/>
      <c r="AP39" s="88"/>
      <c r="AQ39" s="88"/>
    </row>
    <row r="40" spans="1:43" x14ac:dyDescent="0.2">
      <c r="E40" s="51"/>
      <c r="F40" s="51"/>
    </row>
    <row r="41" spans="1:43" x14ac:dyDescent="0.2">
      <c r="E41" s="51"/>
      <c r="F41" s="51"/>
    </row>
    <row r="42" spans="1:43" x14ac:dyDescent="0.2">
      <c r="E42" s="51"/>
      <c r="F42" s="51"/>
    </row>
    <row r="43" spans="1:43" x14ac:dyDescent="0.2">
      <c r="E43" s="51"/>
      <c r="F43" s="51"/>
    </row>
    <row r="44" spans="1:43" x14ac:dyDescent="0.2">
      <c r="E44" s="51"/>
      <c r="F44" s="51"/>
    </row>
    <row r="45" spans="1:43" x14ac:dyDescent="0.2">
      <c r="E45" s="51"/>
      <c r="F45" s="51"/>
    </row>
    <row r="46" spans="1:43" x14ac:dyDescent="0.2">
      <c r="E46" s="51"/>
      <c r="F46" s="51"/>
    </row>
    <row r="47" spans="1:43" x14ac:dyDescent="0.2">
      <c r="E47" s="51"/>
      <c r="F47" s="51"/>
    </row>
    <row r="48" spans="1:43" x14ac:dyDescent="0.2">
      <c r="E48" s="51"/>
      <c r="F48" s="51"/>
    </row>
    <row r="49" spans="5:6" x14ac:dyDescent="0.2">
      <c r="E49" s="51"/>
      <c r="F49" s="51"/>
    </row>
    <row r="50" spans="5:6" x14ac:dyDescent="0.2">
      <c r="E50" s="51"/>
      <c r="F50" s="51"/>
    </row>
    <row r="51" spans="5:6" x14ac:dyDescent="0.2">
      <c r="E51" s="51"/>
      <c r="F51" s="51"/>
    </row>
    <row r="52" spans="5:6" x14ac:dyDescent="0.2">
      <c r="E52" s="51"/>
      <c r="F52" s="51"/>
    </row>
    <row r="53" spans="5:6" x14ac:dyDescent="0.2">
      <c r="E53" s="51"/>
    </row>
    <row r="54" spans="5:6" x14ac:dyDescent="0.2">
      <c r="E54" s="51"/>
    </row>
    <row r="55" spans="5:6" x14ac:dyDescent="0.2">
      <c r="E55" s="51"/>
    </row>
    <row r="56" spans="5:6" x14ac:dyDescent="0.2">
      <c r="E56" s="51"/>
    </row>
    <row r="57" spans="5:6" x14ac:dyDescent="0.2">
      <c r="E57" s="51"/>
    </row>
  </sheetData>
  <autoFilter ref="A8:AS24" xr:uid="{00000000-0009-0000-0000-000059000000}"/>
  <mergeCells count="38">
    <mergeCell ref="AE1:AH1"/>
    <mergeCell ref="A2:AH2"/>
    <mergeCell ref="A3:AH3"/>
    <mergeCell ref="A5:A7"/>
    <mergeCell ref="B5:B7"/>
    <mergeCell ref="C5:C7"/>
    <mergeCell ref="D5:W5"/>
    <mergeCell ref="X5:AH5"/>
    <mergeCell ref="D6:D7"/>
    <mergeCell ref="E6:E7"/>
    <mergeCell ref="F6:F7"/>
    <mergeCell ref="G6:G7"/>
    <mergeCell ref="H6:H7"/>
    <mergeCell ref="I6:I7"/>
    <mergeCell ref="J6:J7"/>
    <mergeCell ref="AD6:AF6"/>
    <mergeCell ref="AG6:AG7"/>
    <mergeCell ref="AH6:AH7"/>
    <mergeCell ref="U9:U22"/>
    <mergeCell ref="A23:B23"/>
    <mergeCell ref="S6:S7"/>
    <mergeCell ref="T6:T7"/>
    <mergeCell ref="U6:U7"/>
    <mergeCell ref="V6:V7"/>
    <mergeCell ref="W6:W7"/>
    <mergeCell ref="X6:Z6"/>
    <mergeCell ref="L6:L7"/>
    <mergeCell ref="M6:M7"/>
    <mergeCell ref="N6:O6"/>
    <mergeCell ref="P6:P7"/>
    <mergeCell ref="Q6:Q7"/>
    <mergeCell ref="G26:H26"/>
    <mergeCell ref="I26:J26"/>
    <mergeCell ref="K26:L26"/>
    <mergeCell ref="M26:N26"/>
    <mergeCell ref="AA6:AC6"/>
    <mergeCell ref="R6:R7"/>
    <mergeCell ref="K6:K7"/>
  </mergeCells>
  <printOptions horizontalCentered="1"/>
  <pageMargins left="0" right="0" top="0" bottom="0" header="0.31496062992125984" footer="0.31496062992125984"/>
  <pageSetup paperSize="9" scale="36" orientation="landscape" r:id="rId1"/>
  <legacyDrawing r:id="rId2"/>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FFFF00"/>
    <pageSetUpPr fitToPage="1"/>
  </sheetPr>
  <dimension ref="A1:AS105"/>
  <sheetViews>
    <sheetView view="pageBreakPreview" zoomScale="80" zoomScaleNormal="80" zoomScaleSheetLayoutView="80" workbookViewId="0">
      <pane xSplit="3" ySplit="8" topLeftCell="D45" activePane="bottomRight" state="frozen"/>
      <selection activeCell="M26" sqref="M26:N26"/>
      <selection pane="topRight" activeCell="M26" sqref="M26:N26"/>
      <selection pane="bottomLeft" activeCell="M26" sqref="M26:N26"/>
      <selection pane="bottomRight" activeCell="M26" sqref="M26:N26"/>
    </sheetView>
  </sheetViews>
  <sheetFormatPr defaultRowHeight="15" x14ac:dyDescent="0.2"/>
  <cols>
    <col min="1" max="1" width="7.83203125" style="33" customWidth="1"/>
    <col min="2" max="2" width="30.83203125" style="22" customWidth="1"/>
    <col min="3" max="3" width="13.83203125" style="22" customWidth="1"/>
    <col min="4" max="4" width="14" style="22" customWidth="1"/>
    <col min="5" max="5" width="13" style="22" customWidth="1"/>
    <col min="6" max="6" width="14.6640625" style="22" customWidth="1"/>
    <col min="7" max="7" width="12.83203125" style="22" customWidth="1"/>
    <col min="8" max="8" width="15.83203125" style="22" customWidth="1"/>
    <col min="9" max="9" width="13.5" style="22" customWidth="1"/>
    <col min="10" max="10" width="16.83203125" style="22" customWidth="1"/>
    <col min="11" max="11" width="13.5" style="22" customWidth="1"/>
    <col min="12" max="12" width="13.33203125" style="22" customWidth="1"/>
    <col min="13" max="13" width="14" style="22" customWidth="1"/>
    <col min="14" max="14" width="11.5" style="22" customWidth="1"/>
    <col min="15" max="15" width="11.6640625" style="22" customWidth="1"/>
    <col min="16" max="16" width="13.33203125" style="22" customWidth="1"/>
    <col min="17" max="17" width="11.5" style="22" customWidth="1"/>
    <col min="18" max="18" width="13" style="22" customWidth="1"/>
    <col min="19" max="19" width="15.5" style="22" customWidth="1"/>
    <col min="20" max="20" width="12.33203125" style="22" customWidth="1"/>
    <col min="21" max="21" width="11.6640625" style="22" customWidth="1"/>
    <col min="22" max="22" width="14.5" style="22" customWidth="1"/>
    <col min="23" max="23" width="16" style="22" customWidth="1"/>
    <col min="24" max="24" width="14.1640625" style="22" customWidth="1"/>
    <col min="25" max="25" width="11.1640625" style="22" customWidth="1"/>
    <col min="26" max="26" width="9.83203125" style="22" customWidth="1"/>
    <col min="27" max="30" width="8.5" style="22" customWidth="1"/>
    <col min="31" max="31" width="15.1640625" style="22" bestFit="1" customWidth="1"/>
    <col min="32" max="32" width="9.6640625" style="22" customWidth="1"/>
    <col min="33" max="33" width="9.33203125" style="22" customWidth="1"/>
    <col min="34" max="34" width="13.5" style="22" customWidth="1"/>
    <col min="35" max="35" width="14.5" style="34" customWidth="1"/>
    <col min="36" max="36" width="9.33203125" style="22"/>
    <col min="37" max="37" width="12.6640625" style="211" customWidth="1"/>
    <col min="38" max="38" width="11.6640625" style="211" hidden="1" customWidth="1"/>
    <col min="39" max="39" width="13" style="211" hidden="1" customWidth="1"/>
    <col min="40" max="40" width="14.1640625" style="211" bestFit="1" customWidth="1"/>
    <col min="41" max="41" width="9.5" style="211" bestFit="1" customWidth="1"/>
    <col min="42" max="43" width="14.1640625" style="211" bestFit="1" customWidth="1"/>
    <col min="44" max="45" width="9.5" style="22" bestFit="1" customWidth="1"/>
    <col min="46" max="16384" width="9.33203125" style="22"/>
  </cols>
  <sheetData>
    <row r="1" spans="1:45" ht="18" customHeight="1" x14ac:dyDescent="0.2">
      <c r="AE1" s="2252"/>
      <c r="AF1" s="2252"/>
      <c r="AG1" s="2252"/>
      <c r="AH1" s="2252"/>
    </row>
    <row r="2" spans="1:45" ht="24" customHeight="1" x14ac:dyDescent="0.2">
      <c r="A2" s="2253" t="s">
        <v>159</v>
      </c>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36"/>
    </row>
    <row r="3" spans="1:45" ht="24.75" customHeight="1" x14ac:dyDescent="0.2">
      <c r="A3" s="2254"/>
      <c r="B3" s="2254"/>
      <c r="C3" s="2254"/>
      <c r="D3" s="2254"/>
      <c r="E3" s="2254"/>
      <c r="F3" s="2254"/>
      <c r="G3" s="2254"/>
      <c r="H3" s="2254"/>
      <c r="I3" s="2254"/>
      <c r="J3" s="2254"/>
      <c r="K3" s="2254"/>
      <c r="L3" s="2254"/>
      <c r="M3" s="2254"/>
      <c r="N3" s="2254"/>
      <c r="O3" s="2254"/>
      <c r="P3" s="2254"/>
      <c r="Q3" s="2254"/>
      <c r="R3" s="2254"/>
      <c r="S3" s="2254"/>
      <c r="T3" s="2254"/>
      <c r="U3" s="2254"/>
      <c r="V3" s="2254"/>
      <c r="W3" s="2254"/>
      <c r="X3" s="2254"/>
      <c r="Y3" s="2254"/>
      <c r="Z3" s="2254"/>
      <c r="AA3" s="2254"/>
      <c r="AB3" s="2254"/>
      <c r="AC3" s="2254"/>
      <c r="AD3" s="2254"/>
      <c r="AE3" s="2254"/>
      <c r="AF3" s="2254"/>
      <c r="AG3" s="2254"/>
      <c r="AH3" s="2254"/>
      <c r="AI3" s="283"/>
    </row>
    <row r="4" spans="1:45" x14ac:dyDescent="0.2">
      <c r="L4" s="38">
        <v>0.33837499999999998</v>
      </c>
      <c r="V4" s="39"/>
      <c r="W4" s="39"/>
    </row>
    <row r="5" spans="1:45" ht="38.25" customHeight="1" x14ac:dyDescent="0.2">
      <c r="A5" s="2255" t="s">
        <v>78</v>
      </c>
      <c r="B5" s="2255" t="s">
        <v>77</v>
      </c>
      <c r="C5" s="2242" t="s">
        <v>0</v>
      </c>
      <c r="D5" s="2242" t="s">
        <v>3</v>
      </c>
      <c r="E5" s="2242"/>
      <c r="F5" s="2242"/>
      <c r="G5" s="2242"/>
      <c r="H5" s="2242"/>
      <c r="I5" s="2242"/>
      <c r="J5" s="2242"/>
      <c r="K5" s="2242"/>
      <c r="L5" s="2242"/>
      <c r="M5" s="2242"/>
      <c r="N5" s="2242"/>
      <c r="O5" s="2242"/>
      <c r="P5" s="2242"/>
      <c r="Q5" s="2242"/>
      <c r="R5" s="2242"/>
      <c r="S5" s="2242"/>
      <c r="T5" s="2242"/>
      <c r="U5" s="2242"/>
      <c r="V5" s="2242"/>
      <c r="W5" s="2242"/>
      <c r="X5" s="2242" t="s">
        <v>4</v>
      </c>
      <c r="Y5" s="2242"/>
      <c r="Z5" s="2242"/>
      <c r="AA5" s="2242"/>
      <c r="AB5" s="2242"/>
      <c r="AC5" s="2242"/>
      <c r="AD5" s="2242"/>
      <c r="AE5" s="2242"/>
      <c r="AF5" s="2242"/>
      <c r="AG5" s="2242"/>
      <c r="AH5" s="2242"/>
    </row>
    <row r="6" spans="1:45" ht="60" customHeight="1" x14ac:dyDescent="0.2">
      <c r="A6" s="2255"/>
      <c r="B6" s="2255"/>
      <c r="C6" s="2242"/>
      <c r="D6" s="2245" t="s">
        <v>68</v>
      </c>
      <c r="E6" s="2245" t="s">
        <v>69</v>
      </c>
      <c r="F6" s="2245" t="s">
        <v>89</v>
      </c>
      <c r="G6" s="2245" t="s">
        <v>1</v>
      </c>
      <c r="H6" s="2245" t="s">
        <v>2</v>
      </c>
      <c r="I6" s="2245" t="s">
        <v>70</v>
      </c>
      <c r="J6" s="2245" t="s">
        <v>61</v>
      </c>
      <c r="K6" s="2245" t="s">
        <v>27</v>
      </c>
      <c r="L6" s="2250" t="s">
        <v>65</v>
      </c>
      <c r="M6" s="2250" t="s">
        <v>93</v>
      </c>
      <c r="N6" s="2251" t="s">
        <v>91</v>
      </c>
      <c r="O6" s="2251"/>
      <c r="P6" s="2251" t="s">
        <v>88</v>
      </c>
      <c r="Q6" s="2250" t="s">
        <v>82</v>
      </c>
      <c r="R6" s="2245" t="s">
        <v>83</v>
      </c>
      <c r="S6" s="2250" t="s">
        <v>87</v>
      </c>
      <c r="T6" s="2245" t="s">
        <v>84</v>
      </c>
      <c r="U6" s="2245" t="s">
        <v>9</v>
      </c>
      <c r="V6" s="2245" t="s">
        <v>7</v>
      </c>
      <c r="W6" s="2245" t="s">
        <v>85</v>
      </c>
      <c r="X6" s="2242" t="s">
        <v>10</v>
      </c>
      <c r="Y6" s="2242"/>
      <c r="Z6" s="2242"/>
      <c r="AA6" s="2242" t="s">
        <v>11</v>
      </c>
      <c r="AB6" s="2242"/>
      <c r="AC6" s="2242"/>
      <c r="AD6" s="2242" t="s">
        <v>12</v>
      </c>
      <c r="AE6" s="2242"/>
      <c r="AF6" s="2242"/>
      <c r="AG6" s="2242" t="s">
        <v>13</v>
      </c>
      <c r="AH6" s="2242" t="s">
        <v>73</v>
      </c>
    </row>
    <row r="7" spans="1:45" ht="97.5" customHeight="1" x14ac:dyDescent="0.2">
      <c r="A7" s="2255"/>
      <c r="B7" s="2255"/>
      <c r="C7" s="2242"/>
      <c r="D7" s="2245"/>
      <c r="E7" s="2245"/>
      <c r="F7" s="2245"/>
      <c r="G7" s="2245"/>
      <c r="H7" s="2245"/>
      <c r="I7" s="2245"/>
      <c r="J7" s="2245"/>
      <c r="K7" s="2245"/>
      <c r="L7" s="2250" t="s">
        <v>66</v>
      </c>
      <c r="M7" s="2250"/>
      <c r="N7" s="281" t="s">
        <v>80</v>
      </c>
      <c r="O7" s="281" t="s">
        <v>81</v>
      </c>
      <c r="P7" s="2251"/>
      <c r="Q7" s="2250"/>
      <c r="R7" s="2245"/>
      <c r="S7" s="2250" t="s">
        <v>67</v>
      </c>
      <c r="T7" s="2245"/>
      <c r="U7" s="2245"/>
      <c r="V7" s="2245"/>
      <c r="W7" s="2245"/>
      <c r="X7" s="280" t="s">
        <v>5</v>
      </c>
      <c r="Y7" s="280" t="s">
        <v>6</v>
      </c>
      <c r="Z7" s="280" t="s">
        <v>74</v>
      </c>
      <c r="AA7" s="280" t="s">
        <v>5</v>
      </c>
      <c r="AB7" s="280" t="s">
        <v>6</v>
      </c>
      <c r="AC7" s="280" t="s">
        <v>75</v>
      </c>
      <c r="AD7" s="280" t="s">
        <v>5</v>
      </c>
      <c r="AE7" s="280" t="s">
        <v>6</v>
      </c>
      <c r="AF7" s="280" t="s">
        <v>76</v>
      </c>
      <c r="AG7" s="2242"/>
      <c r="AH7" s="2242"/>
      <c r="AK7" s="211" t="s">
        <v>64</v>
      </c>
      <c r="AL7" s="211" t="s">
        <v>62</v>
      </c>
      <c r="AM7" s="70" t="s">
        <v>71</v>
      </c>
    </row>
    <row r="8" spans="1:45" x14ac:dyDescent="0.2">
      <c r="A8" s="278">
        <v>1</v>
      </c>
      <c r="B8" s="278">
        <v>2</v>
      </c>
      <c r="C8" s="278">
        <v>3</v>
      </c>
      <c r="D8" s="278">
        <v>4</v>
      </c>
      <c r="E8" s="278">
        <v>5</v>
      </c>
      <c r="F8" s="278">
        <v>6</v>
      </c>
      <c r="G8" s="278">
        <v>7</v>
      </c>
      <c r="H8" s="278">
        <v>8</v>
      </c>
      <c r="I8" s="278">
        <v>9</v>
      </c>
      <c r="J8" s="278">
        <v>10</v>
      </c>
      <c r="K8" s="278">
        <v>11</v>
      </c>
      <c r="L8" s="278">
        <v>12</v>
      </c>
      <c r="M8" s="278">
        <v>13</v>
      </c>
      <c r="N8" s="278">
        <v>14</v>
      </c>
      <c r="O8" s="278">
        <v>15</v>
      </c>
      <c r="P8" s="278">
        <v>16</v>
      </c>
      <c r="Q8" s="278">
        <v>17</v>
      </c>
      <c r="R8" s="278">
        <v>18</v>
      </c>
      <c r="S8" s="278">
        <v>19</v>
      </c>
      <c r="T8" s="278">
        <v>20</v>
      </c>
      <c r="U8" s="278">
        <v>21</v>
      </c>
      <c r="V8" s="278">
        <v>22</v>
      </c>
      <c r="W8" s="278">
        <v>23</v>
      </c>
      <c r="X8" s="278">
        <v>24</v>
      </c>
      <c r="Y8" s="278">
        <v>25</v>
      </c>
      <c r="Z8" s="278">
        <v>26</v>
      </c>
      <c r="AA8" s="278">
        <v>27</v>
      </c>
      <c r="AB8" s="278">
        <v>28</v>
      </c>
      <c r="AC8" s="278">
        <v>29</v>
      </c>
      <c r="AD8" s="278">
        <v>30</v>
      </c>
      <c r="AE8" s="278">
        <v>31</v>
      </c>
      <c r="AF8" s="278">
        <v>32</v>
      </c>
      <c r="AG8" s="278">
        <v>33</v>
      </c>
      <c r="AH8" s="278">
        <v>34</v>
      </c>
      <c r="AN8" s="212" t="s">
        <v>116</v>
      </c>
      <c r="AO8" s="212" t="s">
        <v>117</v>
      </c>
      <c r="AP8" s="212" t="s">
        <v>118</v>
      </c>
      <c r="AQ8" s="212" t="s">
        <v>119</v>
      </c>
    </row>
    <row r="9" spans="1:45" ht="16.5" customHeight="1" x14ac:dyDescent="0.2">
      <c r="A9" s="278">
        <v>1</v>
      </c>
      <c r="B9" s="44" t="s">
        <v>14</v>
      </c>
      <c r="C9" s="278">
        <v>1</v>
      </c>
      <c r="D9" s="213">
        <v>25.596</v>
      </c>
      <c r="E9" s="214">
        <f>C9*D9</f>
        <v>25.6</v>
      </c>
      <c r="F9" s="215">
        <f>E9*12</f>
        <v>307.2</v>
      </c>
      <c r="G9" s="154"/>
      <c r="H9" s="154"/>
      <c r="I9" s="154"/>
      <c r="J9" s="154"/>
      <c r="K9" s="154">
        <f>F9*0.4</f>
        <v>122.9</v>
      </c>
      <c r="L9" s="154">
        <f>F9*$L$4</f>
        <v>103.9</v>
      </c>
      <c r="M9" s="154">
        <f>F9+G9+H9+I9+J9+K9+L9</f>
        <v>534</v>
      </c>
      <c r="N9" s="171">
        <v>0.98</v>
      </c>
      <c r="O9" s="154">
        <f>M9*N9</f>
        <v>523.29999999999995</v>
      </c>
      <c r="P9" s="154">
        <f>M9+O9</f>
        <v>1057.3</v>
      </c>
      <c r="Q9" s="154">
        <f>P9*0.8</f>
        <v>845.8</v>
      </c>
      <c r="R9" s="154">
        <f>P9*0.8</f>
        <v>845.8</v>
      </c>
      <c r="S9" s="154">
        <f>(P9+Q9+R9)*0.032</f>
        <v>88</v>
      </c>
      <c r="T9" s="154">
        <f>P9+Q9+R9+S9</f>
        <v>2836.9</v>
      </c>
      <c r="U9" s="2246">
        <v>1</v>
      </c>
      <c r="V9" s="154">
        <f>T9*$U$9</f>
        <v>2836.9</v>
      </c>
      <c r="W9" s="154">
        <f>AQ9</f>
        <v>597.20000000000005</v>
      </c>
      <c r="X9" s="278">
        <v>1</v>
      </c>
      <c r="Y9" s="24">
        <v>30</v>
      </c>
      <c r="Z9" s="48">
        <f>X9*Y9</f>
        <v>30</v>
      </c>
      <c r="AA9" s="278"/>
      <c r="AB9" s="24">
        <v>15</v>
      </c>
      <c r="AC9" s="48">
        <f>AA9*AB9</f>
        <v>0</v>
      </c>
      <c r="AD9" s="278"/>
      <c r="AE9" s="24">
        <v>30</v>
      </c>
      <c r="AF9" s="48">
        <f>AD9*AE9</f>
        <v>0</v>
      </c>
      <c r="AG9" s="278">
        <f t="shared" ref="AG9:AG51" si="0">(Z9+AC9+AF9)*1%*30</f>
        <v>9</v>
      </c>
      <c r="AH9" s="48">
        <f t="shared" ref="AH9:AH27" si="1">Z9+AC9+AF9+AG9</f>
        <v>39</v>
      </c>
      <c r="AI9" s="34">
        <f t="shared" ref="AI9:AI36" si="2">V9/12/C9*1000</f>
        <v>236408.3</v>
      </c>
      <c r="AJ9" s="34"/>
      <c r="AK9" s="216">
        <f t="shared" ref="AK9:AK41" si="3">V9/C9</f>
        <v>2836.9</v>
      </c>
      <c r="AL9" s="216">
        <f>((979*0.302)+((AK9-979)*0.182))</f>
        <v>633.79999999999995</v>
      </c>
      <c r="AM9" s="217">
        <f>AL9/AK9</f>
        <v>0.223</v>
      </c>
      <c r="AN9" s="50">
        <f>1150*0.22*C9+(V9-1150*C9)*0.1</f>
        <v>421.7</v>
      </c>
      <c r="AO9" s="50">
        <f>865*0.029</f>
        <v>25.1</v>
      </c>
      <c r="AP9" s="50">
        <f>V9*0.053</f>
        <v>150.4</v>
      </c>
      <c r="AQ9" s="50">
        <f>SUM(AN9:AP9)</f>
        <v>597.20000000000005</v>
      </c>
      <c r="AS9" s="66"/>
    </row>
    <row r="10" spans="1:45" x14ac:dyDescent="0.2">
      <c r="A10" s="278">
        <v>2</v>
      </c>
      <c r="B10" s="44" t="s">
        <v>125</v>
      </c>
      <c r="C10" s="278">
        <v>1</v>
      </c>
      <c r="D10" s="177">
        <v>17.917000000000002</v>
      </c>
      <c r="E10" s="214">
        <f>C10*D10</f>
        <v>17.920000000000002</v>
      </c>
      <c r="F10" s="215">
        <f>E10*12</f>
        <v>215</v>
      </c>
      <c r="G10" s="154"/>
      <c r="H10" s="154">
        <v>8.6999999999999993</v>
      </c>
      <c r="I10" s="154"/>
      <c r="J10" s="154"/>
      <c r="K10" s="154">
        <f>F10*0.4</f>
        <v>86</v>
      </c>
      <c r="L10" s="154">
        <f t="shared" ref="L10:L51" si="4">F10*$L$4</f>
        <v>72.8</v>
      </c>
      <c r="M10" s="154">
        <f>F10+G10+H10+I10+J10+K10+L10</f>
        <v>382.5</v>
      </c>
      <c r="N10" s="171">
        <v>0.47</v>
      </c>
      <c r="O10" s="154">
        <f>M10*N10</f>
        <v>179.8</v>
      </c>
      <c r="P10" s="154">
        <f>M10+O10</f>
        <v>562.29999999999995</v>
      </c>
      <c r="Q10" s="154">
        <f>P10*0.8</f>
        <v>449.8</v>
      </c>
      <c r="R10" s="154">
        <f>P10*0.8</f>
        <v>449.8</v>
      </c>
      <c r="S10" s="154">
        <f>(P10+Q10+R10)*0.032</f>
        <v>46.8</v>
      </c>
      <c r="T10" s="154">
        <f>P10+Q10+R10+S10</f>
        <v>1508.7</v>
      </c>
      <c r="U10" s="2247"/>
      <c r="V10" s="154">
        <f t="shared" ref="V10:V50" si="5">T10*$U$9</f>
        <v>1508.7</v>
      </c>
      <c r="W10" s="154">
        <f t="shared" ref="W10:W11" si="6">AQ10</f>
        <v>394</v>
      </c>
      <c r="X10" s="278"/>
      <c r="Y10" s="24">
        <v>30</v>
      </c>
      <c r="Z10" s="48">
        <f>X10*Y10</f>
        <v>0</v>
      </c>
      <c r="AA10" s="278"/>
      <c r="AB10" s="24">
        <v>15</v>
      </c>
      <c r="AC10" s="48">
        <f>AA10*AB10</f>
        <v>0</v>
      </c>
      <c r="AD10" s="278"/>
      <c r="AE10" s="24">
        <v>30</v>
      </c>
      <c r="AF10" s="48">
        <f>AD10*AE10</f>
        <v>0</v>
      </c>
      <c r="AG10" s="278">
        <f t="shared" si="0"/>
        <v>0</v>
      </c>
      <c r="AH10" s="48">
        <f t="shared" si="1"/>
        <v>0</v>
      </c>
      <c r="AI10" s="34">
        <f t="shared" si="2"/>
        <v>125725</v>
      </c>
      <c r="AJ10" s="34"/>
      <c r="AK10" s="216">
        <f t="shared" si="3"/>
        <v>1508.7</v>
      </c>
      <c r="AL10" s="216">
        <f t="shared" ref="AL10:AL41" si="7">((979*0.302)+((AK10-979)*0.182))</f>
        <v>392.1</v>
      </c>
      <c r="AM10" s="217">
        <f>AL10/AK10</f>
        <v>0.26</v>
      </c>
      <c r="AN10" s="50">
        <f t="shared" ref="AN10:AN12" si="8">1150*0.22*C10+(V10-1150*C10)*0.1</f>
        <v>288.89999999999998</v>
      </c>
      <c r="AO10" s="50">
        <f t="shared" ref="AO10:AO11" si="9">865*0.029</f>
        <v>25.1</v>
      </c>
      <c r="AP10" s="50">
        <f t="shared" ref="AP10:AP11" si="10">V10*0.053</f>
        <v>80</v>
      </c>
      <c r="AQ10" s="50">
        <f t="shared" ref="AQ10:AQ52" si="11">SUM(AN10:AP10)</f>
        <v>394</v>
      </c>
      <c r="AS10" s="66"/>
    </row>
    <row r="11" spans="1:45" x14ac:dyDescent="0.2">
      <c r="A11" s="278">
        <v>3</v>
      </c>
      <c r="B11" s="44" t="s">
        <v>125</v>
      </c>
      <c r="C11" s="278">
        <v>1</v>
      </c>
      <c r="D11" s="177">
        <v>17.917000000000002</v>
      </c>
      <c r="E11" s="214">
        <f>C11*D11</f>
        <v>17.920000000000002</v>
      </c>
      <c r="F11" s="215">
        <f>E11*12</f>
        <v>215</v>
      </c>
      <c r="G11" s="154"/>
      <c r="H11" s="154">
        <v>7.9</v>
      </c>
      <c r="I11" s="154"/>
      <c r="J11" s="154"/>
      <c r="K11" s="154">
        <f>F11*0.25</f>
        <v>53.8</v>
      </c>
      <c r="L11" s="154">
        <f t="shared" si="4"/>
        <v>72.8</v>
      </c>
      <c r="M11" s="154">
        <f>F11+G11+H11+I11+J11+K11+L11</f>
        <v>349.5</v>
      </c>
      <c r="N11" s="171">
        <v>0.47</v>
      </c>
      <c r="O11" s="154">
        <f>M11*N11</f>
        <v>164.3</v>
      </c>
      <c r="P11" s="154">
        <f>M11+O11</f>
        <v>513.79999999999995</v>
      </c>
      <c r="Q11" s="154">
        <f>P11*0.8</f>
        <v>411</v>
      </c>
      <c r="R11" s="154">
        <f>P11*0.8</f>
        <v>411</v>
      </c>
      <c r="S11" s="154">
        <f>(P11+Q11+R11)*0.032</f>
        <v>42.7</v>
      </c>
      <c r="T11" s="154">
        <f>P11+Q11+R11+S11</f>
        <v>1378.5</v>
      </c>
      <c r="U11" s="2247"/>
      <c r="V11" s="154">
        <f t="shared" si="5"/>
        <v>1378.5</v>
      </c>
      <c r="W11" s="154">
        <f t="shared" si="6"/>
        <v>374.1</v>
      </c>
      <c r="X11" s="278">
        <v>1</v>
      </c>
      <c r="Y11" s="24">
        <v>30</v>
      </c>
      <c r="Z11" s="48">
        <f>X11*Y11</f>
        <v>30</v>
      </c>
      <c r="AA11" s="278"/>
      <c r="AB11" s="24">
        <v>15</v>
      </c>
      <c r="AC11" s="48">
        <f>AA11*AB11</f>
        <v>0</v>
      </c>
      <c r="AD11" s="278"/>
      <c r="AE11" s="24">
        <v>30</v>
      </c>
      <c r="AF11" s="48">
        <f>AD11*AE11</f>
        <v>0</v>
      </c>
      <c r="AG11" s="278">
        <f t="shared" si="0"/>
        <v>9</v>
      </c>
      <c r="AH11" s="48">
        <f t="shared" si="1"/>
        <v>39</v>
      </c>
      <c r="AI11" s="34">
        <f t="shared" si="2"/>
        <v>114875</v>
      </c>
      <c r="AJ11" s="34"/>
      <c r="AK11" s="216">
        <f t="shared" si="3"/>
        <v>1378.5</v>
      </c>
      <c r="AL11" s="216">
        <f t="shared" si="7"/>
        <v>368.4</v>
      </c>
      <c r="AM11" s="217">
        <f>AL11/AK11</f>
        <v>0.26700000000000002</v>
      </c>
      <c r="AN11" s="50">
        <f t="shared" si="8"/>
        <v>275.89999999999998</v>
      </c>
      <c r="AO11" s="50">
        <f t="shared" si="9"/>
        <v>25.1</v>
      </c>
      <c r="AP11" s="50">
        <f t="shared" si="10"/>
        <v>73.099999999999994</v>
      </c>
      <c r="AQ11" s="50">
        <f t="shared" si="11"/>
        <v>374.1</v>
      </c>
      <c r="AS11" s="66"/>
    </row>
    <row r="12" spans="1:45" x14ac:dyDescent="0.2">
      <c r="A12" s="278">
        <v>4</v>
      </c>
      <c r="B12" s="44" t="s">
        <v>125</v>
      </c>
      <c r="C12" s="278">
        <v>1</v>
      </c>
      <c r="D12" s="177">
        <v>17.917000000000002</v>
      </c>
      <c r="E12" s="214">
        <f>C12*D12</f>
        <v>17.920000000000002</v>
      </c>
      <c r="F12" s="215">
        <f>E12*12</f>
        <v>215</v>
      </c>
      <c r="G12" s="154"/>
      <c r="H12" s="154"/>
      <c r="I12" s="154"/>
      <c r="J12" s="154"/>
      <c r="K12" s="154"/>
      <c r="L12" s="154">
        <f t="shared" si="4"/>
        <v>72.8</v>
      </c>
      <c r="M12" s="154">
        <f>F12+G12+H12+I12+J12+K12+L12</f>
        <v>287.8</v>
      </c>
      <c r="N12" s="171">
        <v>0.47</v>
      </c>
      <c r="O12" s="154">
        <f>M12*N12</f>
        <v>135.30000000000001</v>
      </c>
      <c r="P12" s="154">
        <f>M12+O12</f>
        <v>423.1</v>
      </c>
      <c r="Q12" s="154">
        <f>P12*0.8</f>
        <v>338.5</v>
      </c>
      <c r="R12" s="154">
        <f>P12*0.8</f>
        <v>338.5</v>
      </c>
      <c r="S12" s="154">
        <f>(P12+Q12+R12)*0.032</f>
        <v>35.200000000000003</v>
      </c>
      <c r="T12" s="154">
        <f>P12+Q12+R12+S12</f>
        <v>1135.3</v>
      </c>
      <c r="U12" s="2247"/>
      <c r="V12" s="154">
        <f t="shared" si="5"/>
        <v>1135.3</v>
      </c>
      <c r="W12" s="154">
        <f>AQ12</f>
        <v>336.8</v>
      </c>
      <c r="X12" s="278">
        <v>1</v>
      </c>
      <c r="Y12" s="24">
        <v>30</v>
      </c>
      <c r="Z12" s="48">
        <f>X12*Y12</f>
        <v>30</v>
      </c>
      <c r="AA12" s="278">
        <v>2</v>
      </c>
      <c r="AB12" s="24">
        <v>15</v>
      </c>
      <c r="AC12" s="48">
        <f>AA12*AB12</f>
        <v>30</v>
      </c>
      <c r="AD12" s="278">
        <v>1</v>
      </c>
      <c r="AE12" s="24">
        <v>30</v>
      </c>
      <c r="AF12" s="48">
        <f>AD12*AE12</f>
        <v>30</v>
      </c>
      <c r="AG12" s="278">
        <f t="shared" si="0"/>
        <v>27</v>
      </c>
      <c r="AH12" s="48">
        <f t="shared" si="1"/>
        <v>117</v>
      </c>
      <c r="AI12" s="34">
        <f t="shared" si="2"/>
        <v>94608.3</v>
      </c>
      <c r="AJ12" s="34"/>
      <c r="AK12" s="216">
        <f t="shared" si="3"/>
        <v>1135.3</v>
      </c>
      <c r="AL12" s="216">
        <f t="shared" si="7"/>
        <v>324.10000000000002</v>
      </c>
      <c r="AM12" s="217">
        <f>AL12/AK12</f>
        <v>0.28499999999999998</v>
      </c>
      <c r="AN12" s="50">
        <f t="shared" si="8"/>
        <v>251.5</v>
      </c>
      <c r="AO12" s="50">
        <f>865*0.029</f>
        <v>25.1</v>
      </c>
      <c r="AP12" s="50">
        <f>AK12*0.053</f>
        <v>60.2</v>
      </c>
      <c r="AQ12" s="50">
        <f t="shared" ref="AQ12" si="12">SUM(AN12:AP12)*C12</f>
        <v>336.8</v>
      </c>
      <c r="AS12" s="66"/>
    </row>
    <row r="13" spans="1:45" ht="14.25" customHeight="1" x14ac:dyDescent="0.2">
      <c r="A13" s="278">
        <v>5</v>
      </c>
      <c r="B13" s="218" t="s">
        <v>16</v>
      </c>
      <c r="C13" s="278">
        <v>7</v>
      </c>
      <c r="D13" s="177">
        <v>11.061999999999999</v>
      </c>
      <c r="E13" s="171">
        <f t="shared" ref="E13:E19" si="13">C13*D13</f>
        <v>77.430000000000007</v>
      </c>
      <c r="F13" s="154">
        <f t="shared" ref="F13:F19" si="14">E13*12</f>
        <v>929.2</v>
      </c>
      <c r="G13" s="154"/>
      <c r="H13" s="154">
        <f>0.539+1.617+0.539+2.696+1.078</f>
        <v>6.5</v>
      </c>
      <c r="I13" s="154"/>
      <c r="J13" s="154"/>
      <c r="K13" s="154">
        <f>D13*0.2*12+D13*0.25*4*12+D13*0.4*2</f>
        <v>168.1</v>
      </c>
      <c r="L13" s="154">
        <f t="shared" si="4"/>
        <v>314.39999999999998</v>
      </c>
      <c r="M13" s="154">
        <f t="shared" ref="M13:M19" si="15">F13+G13+H13+I13+J13+K13+L13</f>
        <v>1418.2</v>
      </c>
      <c r="N13" s="171">
        <v>0.43</v>
      </c>
      <c r="O13" s="154">
        <f t="shared" ref="O13:O19" si="16">M13*N13</f>
        <v>609.79999999999995</v>
      </c>
      <c r="P13" s="154">
        <f t="shared" ref="P13:P19" si="17">M13+O13</f>
        <v>2028</v>
      </c>
      <c r="Q13" s="154">
        <f t="shared" ref="Q13:Q19" si="18">P13*0.8</f>
        <v>1622.4</v>
      </c>
      <c r="R13" s="154">
        <f t="shared" ref="R13:R19" si="19">P13*0.8</f>
        <v>1622.4</v>
      </c>
      <c r="S13" s="154">
        <f t="shared" ref="S13:S19" si="20">(P13+Q13+R13)*0.032</f>
        <v>168.7</v>
      </c>
      <c r="T13" s="154">
        <f t="shared" ref="T13:T19" si="21">P13+Q13+R13+S13</f>
        <v>5441.5</v>
      </c>
      <c r="U13" s="2247"/>
      <c r="V13" s="154">
        <f t="shared" si="5"/>
        <v>5441.5</v>
      </c>
      <c r="W13" s="154">
        <f>V13*0.302</f>
        <v>1643.3</v>
      </c>
      <c r="X13" s="54">
        <v>4</v>
      </c>
      <c r="Y13" s="24">
        <v>30</v>
      </c>
      <c r="Z13" s="48">
        <f t="shared" ref="Z13:Z19" si="22">X13*Y13</f>
        <v>120</v>
      </c>
      <c r="AA13" s="54">
        <v>1</v>
      </c>
      <c r="AB13" s="24">
        <v>15</v>
      </c>
      <c r="AC13" s="48">
        <f t="shared" ref="AC13:AC19" si="23">AA13*AB13</f>
        <v>15</v>
      </c>
      <c r="AD13" s="54"/>
      <c r="AE13" s="24">
        <v>30</v>
      </c>
      <c r="AF13" s="48">
        <f t="shared" ref="AF13:AF19" si="24">AD13*AE13</f>
        <v>0</v>
      </c>
      <c r="AG13" s="278">
        <f t="shared" si="0"/>
        <v>40.5</v>
      </c>
      <c r="AH13" s="48">
        <f t="shared" si="1"/>
        <v>175.5</v>
      </c>
      <c r="AI13" s="34">
        <f t="shared" si="2"/>
        <v>64779.8</v>
      </c>
      <c r="AJ13" s="34"/>
      <c r="AK13" s="216">
        <f t="shared" si="3"/>
        <v>777.4</v>
      </c>
      <c r="AL13" s="216">
        <f t="shared" si="7"/>
        <v>259</v>
      </c>
      <c r="AM13" s="217">
        <v>0.30199999999999999</v>
      </c>
      <c r="AN13" s="50"/>
      <c r="AQ13" s="50">
        <f t="shared" si="11"/>
        <v>0</v>
      </c>
      <c r="AS13" s="66"/>
    </row>
    <row r="14" spans="1:45" x14ac:dyDescent="0.2">
      <c r="A14" s="278">
        <v>6</v>
      </c>
      <c r="B14" s="218" t="s">
        <v>16</v>
      </c>
      <c r="C14" s="278">
        <v>1</v>
      </c>
      <c r="D14" s="177">
        <v>11.061999999999999</v>
      </c>
      <c r="E14" s="171">
        <f>C14*D14</f>
        <v>11.06</v>
      </c>
      <c r="F14" s="154">
        <f t="shared" si="14"/>
        <v>132.69999999999999</v>
      </c>
      <c r="G14" s="154"/>
      <c r="H14" s="34">
        <f>5.4+1.617</f>
        <v>7</v>
      </c>
      <c r="I14" s="154"/>
      <c r="J14" s="154"/>
      <c r="K14" s="154">
        <f>F14*0.4</f>
        <v>53.1</v>
      </c>
      <c r="L14" s="154">
        <f t="shared" si="4"/>
        <v>44.9</v>
      </c>
      <c r="M14" s="154">
        <f t="shared" si="15"/>
        <v>237.7</v>
      </c>
      <c r="N14" s="171">
        <v>0.43</v>
      </c>
      <c r="O14" s="154">
        <f t="shared" si="16"/>
        <v>102.2</v>
      </c>
      <c r="P14" s="154">
        <f t="shared" si="17"/>
        <v>339.9</v>
      </c>
      <c r="Q14" s="154">
        <f t="shared" si="18"/>
        <v>271.89999999999998</v>
      </c>
      <c r="R14" s="154">
        <f t="shared" si="19"/>
        <v>271.89999999999998</v>
      </c>
      <c r="S14" s="154">
        <f t="shared" si="20"/>
        <v>28.3</v>
      </c>
      <c r="T14" s="154">
        <f t="shared" si="21"/>
        <v>912</v>
      </c>
      <c r="U14" s="2247"/>
      <c r="V14" s="154">
        <f t="shared" si="5"/>
        <v>912</v>
      </c>
      <c r="W14" s="154">
        <f>AQ14</f>
        <v>274</v>
      </c>
      <c r="X14" s="54">
        <v>1</v>
      </c>
      <c r="Y14" s="24">
        <v>30</v>
      </c>
      <c r="Z14" s="48">
        <f t="shared" si="22"/>
        <v>30</v>
      </c>
      <c r="AA14" s="54"/>
      <c r="AB14" s="24">
        <v>15</v>
      </c>
      <c r="AC14" s="48">
        <f t="shared" si="23"/>
        <v>0</v>
      </c>
      <c r="AD14" s="54"/>
      <c r="AE14" s="24">
        <v>30</v>
      </c>
      <c r="AF14" s="48">
        <f>AD14*AE14</f>
        <v>0</v>
      </c>
      <c r="AG14" s="278">
        <f t="shared" si="0"/>
        <v>9</v>
      </c>
      <c r="AH14" s="48">
        <f t="shared" si="1"/>
        <v>39</v>
      </c>
      <c r="AI14" s="34">
        <f t="shared" si="2"/>
        <v>76000</v>
      </c>
      <c r="AJ14" s="34"/>
      <c r="AK14" s="216">
        <f t="shared" si="3"/>
        <v>912</v>
      </c>
      <c r="AL14" s="216">
        <f t="shared" si="7"/>
        <v>283.5</v>
      </c>
      <c r="AM14" s="217">
        <f>AL14/AK14</f>
        <v>0.311</v>
      </c>
      <c r="AN14" s="50">
        <f t="shared" ref="AN14:AN16" si="25">AK14*0.22</f>
        <v>200.6</v>
      </c>
      <c r="AO14" s="50">
        <f>865*0.029</f>
        <v>25.1</v>
      </c>
      <c r="AP14" s="50">
        <f>AK14*0.053</f>
        <v>48.3</v>
      </c>
      <c r="AQ14" s="50">
        <f t="shared" ref="AQ14" si="26">SUM(AN14:AP14)*C14</f>
        <v>274</v>
      </c>
      <c r="AS14" s="66"/>
    </row>
    <row r="15" spans="1:45" ht="25.5" x14ac:dyDescent="0.2">
      <c r="A15" s="278">
        <v>8</v>
      </c>
      <c r="B15" s="218" t="s">
        <v>45</v>
      </c>
      <c r="C15" s="278">
        <v>1</v>
      </c>
      <c r="D15" s="177">
        <v>11.061999999999999</v>
      </c>
      <c r="E15" s="171">
        <f t="shared" si="13"/>
        <v>11.06</v>
      </c>
      <c r="F15" s="154">
        <f t="shared" si="14"/>
        <v>132.69999999999999</v>
      </c>
      <c r="G15" s="154"/>
      <c r="H15" s="154">
        <v>2.4</v>
      </c>
      <c r="I15" s="154"/>
      <c r="J15" s="154"/>
      <c r="K15" s="154">
        <f>F15*0.4</f>
        <v>53.1</v>
      </c>
      <c r="L15" s="154">
        <f t="shared" si="4"/>
        <v>44.9</v>
      </c>
      <c r="M15" s="154">
        <f t="shared" si="15"/>
        <v>233.1</v>
      </c>
      <c r="N15" s="171">
        <v>0.43</v>
      </c>
      <c r="O15" s="154">
        <f t="shared" si="16"/>
        <v>100.2</v>
      </c>
      <c r="P15" s="154">
        <f t="shared" si="17"/>
        <v>333.3</v>
      </c>
      <c r="Q15" s="154">
        <f t="shared" si="18"/>
        <v>266.60000000000002</v>
      </c>
      <c r="R15" s="154">
        <f t="shared" si="19"/>
        <v>266.60000000000002</v>
      </c>
      <c r="S15" s="154">
        <f t="shared" si="20"/>
        <v>27.7</v>
      </c>
      <c r="T15" s="154">
        <f t="shared" si="21"/>
        <v>894.2</v>
      </c>
      <c r="U15" s="2247"/>
      <c r="V15" s="154">
        <f t="shared" si="5"/>
        <v>894.2</v>
      </c>
      <c r="W15" s="154">
        <f>AQ15</f>
        <v>269.2</v>
      </c>
      <c r="X15" s="54"/>
      <c r="Y15" s="24">
        <v>30</v>
      </c>
      <c r="Z15" s="48">
        <f t="shared" si="22"/>
        <v>0</v>
      </c>
      <c r="AA15" s="54"/>
      <c r="AB15" s="24">
        <v>15</v>
      </c>
      <c r="AC15" s="48">
        <f t="shared" si="23"/>
        <v>0</v>
      </c>
      <c r="AD15" s="54"/>
      <c r="AE15" s="24">
        <v>30</v>
      </c>
      <c r="AF15" s="48">
        <f t="shared" si="24"/>
        <v>0</v>
      </c>
      <c r="AG15" s="278">
        <f t="shared" si="0"/>
        <v>0</v>
      </c>
      <c r="AH15" s="48">
        <f t="shared" si="1"/>
        <v>0</v>
      </c>
      <c r="AI15" s="34">
        <f t="shared" si="2"/>
        <v>74516.7</v>
      </c>
      <c r="AJ15" s="34"/>
      <c r="AK15" s="216">
        <f t="shared" si="3"/>
        <v>894.2</v>
      </c>
      <c r="AL15" s="216">
        <f t="shared" si="7"/>
        <v>280.2</v>
      </c>
      <c r="AM15" s="217">
        <v>0.30199999999999999</v>
      </c>
      <c r="AN15" s="50">
        <f t="shared" si="25"/>
        <v>196.7</v>
      </c>
      <c r="AO15" s="50">
        <f>865*0.029</f>
        <v>25.1</v>
      </c>
      <c r="AP15" s="50">
        <f>AK15*0.053</f>
        <v>47.4</v>
      </c>
      <c r="AQ15" s="50">
        <f t="shared" si="11"/>
        <v>269.2</v>
      </c>
      <c r="AS15" s="66"/>
    </row>
    <row r="16" spans="1:45" ht="25.5" x14ac:dyDescent="0.2">
      <c r="A16" s="278">
        <v>9</v>
      </c>
      <c r="B16" s="218" t="s">
        <v>46</v>
      </c>
      <c r="C16" s="278">
        <v>1</v>
      </c>
      <c r="D16" s="177">
        <v>11.061999999999999</v>
      </c>
      <c r="E16" s="171">
        <f t="shared" si="13"/>
        <v>11.06</v>
      </c>
      <c r="F16" s="154">
        <f t="shared" si="14"/>
        <v>132.69999999999999</v>
      </c>
      <c r="G16" s="154"/>
      <c r="H16" s="154">
        <v>2.4</v>
      </c>
      <c r="I16" s="154"/>
      <c r="J16" s="154"/>
      <c r="K16" s="154">
        <f>F16*0.4</f>
        <v>53.1</v>
      </c>
      <c r="L16" s="154">
        <f t="shared" si="4"/>
        <v>44.9</v>
      </c>
      <c r="M16" s="154">
        <f t="shared" si="15"/>
        <v>233.1</v>
      </c>
      <c r="N16" s="171">
        <v>0.43</v>
      </c>
      <c r="O16" s="154">
        <f t="shared" si="16"/>
        <v>100.2</v>
      </c>
      <c r="P16" s="154">
        <f t="shared" si="17"/>
        <v>333.3</v>
      </c>
      <c r="Q16" s="154">
        <f t="shared" si="18"/>
        <v>266.60000000000002</v>
      </c>
      <c r="R16" s="154">
        <f t="shared" si="19"/>
        <v>266.60000000000002</v>
      </c>
      <c r="S16" s="154">
        <f t="shared" si="20"/>
        <v>27.7</v>
      </c>
      <c r="T16" s="154">
        <f t="shared" si="21"/>
        <v>894.2</v>
      </c>
      <c r="U16" s="2247"/>
      <c r="V16" s="154">
        <f t="shared" si="5"/>
        <v>894.2</v>
      </c>
      <c r="W16" s="154">
        <f>AQ16</f>
        <v>269.2</v>
      </c>
      <c r="X16" s="54">
        <v>1</v>
      </c>
      <c r="Y16" s="24">
        <v>30</v>
      </c>
      <c r="Z16" s="48">
        <f t="shared" si="22"/>
        <v>30</v>
      </c>
      <c r="AA16" s="54">
        <v>1</v>
      </c>
      <c r="AB16" s="24">
        <v>15</v>
      </c>
      <c r="AC16" s="48">
        <f t="shared" si="23"/>
        <v>15</v>
      </c>
      <c r="AD16" s="54">
        <v>1</v>
      </c>
      <c r="AE16" s="24">
        <v>30</v>
      </c>
      <c r="AF16" s="48">
        <f t="shared" si="24"/>
        <v>30</v>
      </c>
      <c r="AG16" s="278">
        <f t="shared" si="0"/>
        <v>22.5</v>
      </c>
      <c r="AH16" s="48">
        <f t="shared" si="1"/>
        <v>97.5</v>
      </c>
      <c r="AI16" s="34">
        <f t="shared" si="2"/>
        <v>74516.7</v>
      </c>
      <c r="AJ16" s="34"/>
      <c r="AK16" s="216">
        <f t="shared" si="3"/>
        <v>894.2</v>
      </c>
      <c r="AL16" s="216">
        <f t="shared" si="7"/>
        <v>280.2</v>
      </c>
      <c r="AM16" s="217">
        <f>AL16/AK16</f>
        <v>0.313</v>
      </c>
      <c r="AN16" s="50">
        <f t="shared" si="25"/>
        <v>196.7</v>
      </c>
      <c r="AO16" s="50">
        <f>865*0.029</f>
        <v>25.1</v>
      </c>
      <c r="AP16" s="50">
        <f>AK16*0.053</f>
        <v>47.4</v>
      </c>
      <c r="AQ16" s="50">
        <f t="shared" si="11"/>
        <v>269.2</v>
      </c>
      <c r="AS16" s="66"/>
    </row>
    <row r="17" spans="1:45" ht="25.5" x14ac:dyDescent="0.2">
      <c r="A17" s="278">
        <v>10</v>
      </c>
      <c r="B17" s="218" t="s">
        <v>100</v>
      </c>
      <c r="C17" s="278">
        <v>1</v>
      </c>
      <c r="D17" s="177">
        <v>11.061999999999999</v>
      </c>
      <c r="E17" s="171">
        <f>C17*D17</f>
        <v>11.06</v>
      </c>
      <c r="F17" s="154">
        <f>E17*12</f>
        <v>132.69999999999999</v>
      </c>
      <c r="G17" s="154"/>
      <c r="H17" s="154">
        <v>5.4</v>
      </c>
      <c r="I17" s="154"/>
      <c r="J17" s="154"/>
      <c r="K17" s="154"/>
      <c r="L17" s="154">
        <f t="shared" si="4"/>
        <v>44.9</v>
      </c>
      <c r="M17" s="154">
        <f>F17+G17+H17+I17+J17+K17+L17</f>
        <v>183</v>
      </c>
      <c r="N17" s="171">
        <v>0.43</v>
      </c>
      <c r="O17" s="154">
        <f>M17*N17</f>
        <v>78.7</v>
      </c>
      <c r="P17" s="154">
        <f>M17+O17</f>
        <v>261.7</v>
      </c>
      <c r="Q17" s="154">
        <f>P17*0.8</f>
        <v>209.4</v>
      </c>
      <c r="R17" s="154">
        <f>P17*0.8</f>
        <v>209.4</v>
      </c>
      <c r="S17" s="154">
        <f>(P17+Q17+R17)*0.032</f>
        <v>21.8</v>
      </c>
      <c r="T17" s="154">
        <f>P17+Q17+R17+S17</f>
        <v>702.3</v>
      </c>
      <c r="U17" s="2247"/>
      <c r="V17" s="154">
        <f t="shared" si="5"/>
        <v>702.3</v>
      </c>
      <c r="W17" s="154">
        <f t="shared" ref="W17:W19" si="27">V17*0.302</f>
        <v>212.1</v>
      </c>
      <c r="X17" s="54">
        <v>1</v>
      </c>
      <c r="Y17" s="24">
        <v>30</v>
      </c>
      <c r="Z17" s="48">
        <f>X17*Y17</f>
        <v>30</v>
      </c>
      <c r="AA17" s="54"/>
      <c r="AB17" s="24">
        <v>15</v>
      </c>
      <c r="AC17" s="48">
        <f>AA17*AB17</f>
        <v>0</v>
      </c>
      <c r="AD17" s="54"/>
      <c r="AE17" s="24">
        <v>30</v>
      </c>
      <c r="AF17" s="48">
        <f>AD17*AE17</f>
        <v>0</v>
      </c>
      <c r="AG17" s="278">
        <f t="shared" si="0"/>
        <v>9</v>
      </c>
      <c r="AH17" s="48">
        <f t="shared" si="1"/>
        <v>39</v>
      </c>
      <c r="AI17" s="34">
        <f t="shared" si="2"/>
        <v>58525</v>
      </c>
      <c r="AJ17" s="34"/>
      <c r="AK17" s="216">
        <f t="shared" si="3"/>
        <v>702.3</v>
      </c>
      <c r="AL17" s="216">
        <f t="shared" si="7"/>
        <v>245.3</v>
      </c>
      <c r="AM17" s="217">
        <f>AL17/AK17</f>
        <v>0.34899999999999998</v>
      </c>
      <c r="AN17" s="50"/>
      <c r="AO17" s="50"/>
      <c r="AP17" s="50"/>
      <c r="AQ17" s="50">
        <f t="shared" si="11"/>
        <v>0</v>
      </c>
      <c r="AS17" s="66"/>
    </row>
    <row r="18" spans="1:45" x14ac:dyDescent="0.2">
      <c r="A18" s="278">
        <v>11</v>
      </c>
      <c r="B18" s="218" t="s">
        <v>105</v>
      </c>
      <c r="C18" s="278">
        <v>2</v>
      </c>
      <c r="D18" s="177">
        <v>8.4730000000000008</v>
      </c>
      <c r="E18" s="171">
        <f t="shared" si="13"/>
        <v>16.95</v>
      </c>
      <c r="F18" s="154">
        <f t="shared" si="14"/>
        <v>203.4</v>
      </c>
      <c r="G18" s="154"/>
      <c r="H18" s="154">
        <v>2.1</v>
      </c>
      <c r="I18" s="154"/>
      <c r="J18" s="154"/>
      <c r="K18" s="154">
        <f>D18*0.35*12+D18*0.3*12+D18*9.5*0.05</f>
        <v>70.099999999999994</v>
      </c>
      <c r="L18" s="154">
        <f t="shared" si="4"/>
        <v>68.8</v>
      </c>
      <c r="M18" s="154">
        <f t="shared" si="15"/>
        <v>344.4</v>
      </c>
      <c r="N18" s="171">
        <v>0.41</v>
      </c>
      <c r="O18" s="154">
        <f t="shared" si="16"/>
        <v>141.19999999999999</v>
      </c>
      <c r="P18" s="154">
        <f t="shared" si="17"/>
        <v>485.6</v>
      </c>
      <c r="Q18" s="154">
        <f t="shared" si="18"/>
        <v>388.5</v>
      </c>
      <c r="R18" s="154">
        <f t="shared" si="19"/>
        <v>388.5</v>
      </c>
      <c r="S18" s="154">
        <f t="shared" si="20"/>
        <v>40.4</v>
      </c>
      <c r="T18" s="154">
        <f t="shared" si="21"/>
        <v>1303</v>
      </c>
      <c r="U18" s="2247"/>
      <c r="V18" s="154">
        <f t="shared" si="5"/>
        <v>1303</v>
      </c>
      <c r="W18" s="154">
        <f t="shared" si="27"/>
        <v>393.5</v>
      </c>
      <c r="X18" s="54"/>
      <c r="Y18" s="24">
        <v>30</v>
      </c>
      <c r="Z18" s="48">
        <f t="shared" si="22"/>
        <v>0</v>
      </c>
      <c r="AA18" s="54"/>
      <c r="AB18" s="24">
        <v>15</v>
      </c>
      <c r="AC18" s="48">
        <f t="shared" si="23"/>
        <v>0</v>
      </c>
      <c r="AD18" s="54"/>
      <c r="AE18" s="24">
        <v>30</v>
      </c>
      <c r="AF18" s="48">
        <f t="shared" si="24"/>
        <v>0</v>
      </c>
      <c r="AG18" s="278">
        <f t="shared" si="0"/>
        <v>0</v>
      </c>
      <c r="AH18" s="48">
        <f t="shared" si="1"/>
        <v>0</v>
      </c>
      <c r="AI18" s="34">
        <f t="shared" si="2"/>
        <v>54291.7</v>
      </c>
      <c r="AJ18" s="34"/>
      <c r="AK18" s="216">
        <f t="shared" si="3"/>
        <v>651.5</v>
      </c>
      <c r="AL18" s="216">
        <f t="shared" si="7"/>
        <v>236.1</v>
      </c>
      <c r="AM18" s="217">
        <v>0.30199999999999999</v>
      </c>
      <c r="AQ18" s="50">
        <f t="shared" si="11"/>
        <v>0</v>
      </c>
      <c r="AS18" s="66"/>
    </row>
    <row r="19" spans="1:45" x14ac:dyDescent="0.2">
      <c r="A19" s="278">
        <v>12</v>
      </c>
      <c r="B19" s="218" t="s">
        <v>47</v>
      </c>
      <c r="C19" s="219">
        <v>1</v>
      </c>
      <c r="D19" s="177">
        <v>6.2859999999999996</v>
      </c>
      <c r="E19" s="171">
        <f t="shared" si="13"/>
        <v>6.29</v>
      </c>
      <c r="F19" s="154">
        <f t="shared" si="14"/>
        <v>75.5</v>
      </c>
      <c r="G19" s="154"/>
      <c r="H19" s="154">
        <v>2.8</v>
      </c>
      <c r="I19" s="154"/>
      <c r="J19" s="154"/>
      <c r="K19" s="154">
        <f>F19*0.2+D19*0.05*9.5</f>
        <v>18.100000000000001</v>
      </c>
      <c r="L19" s="154">
        <f t="shared" si="4"/>
        <v>25.5</v>
      </c>
      <c r="M19" s="154">
        <f t="shared" si="15"/>
        <v>121.9</v>
      </c>
      <c r="N19" s="171">
        <v>0.45</v>
      </c>
      <c r="O19" s="154">
        <f t="shared" si="16"/>
        <v>54.9</v>
      </c>
      <c r="P19" s="154">
        <f t="shared" si="17"/>
        <v>176.8</v>
      </c>
      <c r="Q19" s="154">
        <f t="shared" si="18"/>
        <v>141.4</v>
      </c>
      <c r="R19" s="154">
        <f t="shared" si="19"/>
        <v>141.4</v>
      </c>
      <c r="S19" s="154">
        <f t="shared" si="20"/>
        <v>14.7</v>
      </c>
      <c r="T19" s="154">
        <f t="shared" si="21"/>
        <v>474.3</v>
      </c>
      <c r="U19" s="2247"/>
      <c r="V19" s="154">
        <f t="shared" si="5"/>
        <v>474.3</v>
      </c>
      <c r="W19" s="154">
        <f t="shared" si="27"/>
        <v>143.19999999999999</v>
      </c>
      <c r="X19" s="54">
        <v>1</v>
      </c>
      <c r="Y19" s="24">
        <v>30</v>
      </c>
      <c r="Z19" s="48">
        <f t="shared" si="22"/>
        <v>30</v>
      </c>
      <c r="AA19" s="54"/>
      <c r="AB19" s="24">
        <v>15</v>
      </c>
      <c r="AC19" s="48">
        <f t="shared" si="23"/>
        <v>0</v>
      </c>
      <c r="AD19" s="54">
        <v>1</v>
      </c>
      <c r="AE19" s="24">
        <v>30</v>
      </c>
      <c r="AF19" s="48">
        <f t="shared" si="24"/>
        <v>30</v>
      </c>
      <c r="AG19" s="278">
        <f t="shared" si="0"/>
        <v>18</v>
      </c>
      <c r="AH19" s="48">
        <f t="shared" si="1"/>
        <v>78</v>
      </c>
      <c r="AI19" s="34">
        <f t="shared" si="2"/>
        <v>39525</v>
      </c>
      <c r="AJ19" s="34"/>
      <c r="AK19" s="216">
        <f t="shared" si="3"/>
        <v>474.3</v>
      </c>
      <c r="AL19" s="216">
        <f t="shared" si="7"/>
        <v>203.8</v>
      </c>
      <c r="AM19" s="217">
        <v>0.30199999999999999</v>
      </c>
      <c r="AQ19" s="50">
        <f t="shared" si="11"/>
        <v>0</v>
      </c>
      <c r="AS19" s="66"/>
    </row>
    <row r="20" spans="1:45" s="33" customFormat="1" x14ac:dyDescent="0.2">
      <c r="A20" s="278">
        <v>13</v>
      </c>
      <c r="B20" s="218" t="s">
        <v>48</v>
      </c>
      <c r="C20" s="278">
        <v>1</v>
      </c>
      <c r="D20" s="177">
        <v>11.061999999999999</v>
      </c>
      <c r="E20" s="171">
        <f>C20*D20</f>
        <v>11.06</v>
      </c>
      <c r="F20" s="154">
        <f>E20*12</f>
        <v>132.69999999999999</v>
      </c>
      <c r="G20" s="154"/>
      <c r="H20" s="154">
        <v>1.8</v>
      </c>
      <c r="I20" s="154"/>
      <c r="J20" s="154"/>
      <c r="K20" s="154">
        <f>F20*0.35</f>
        <v>46.4</v>
      </c>
      <c r="L20" s="154">
        <f t="shared" si="4"/>
        <v>44.9</v>
      </c>
      <c r="M20" s="154">
        <f>F20+G20+H20+I20+J20+K20+L20</f>
        <v>225.8</v>
      </c>
      <c r="N20" s="171">
        <v>0.47</v>
      </c>
      <c r="O20" s="154">
        <f>M20*N20</f>
        <v>106.1</v>
      </c>
      <c r="P20" s="154">
        <f>M20+O20</f>
        <v>331.9</v>
      </c>
      <c r="Q20" s="154">
        <f>P20*0.8</f>
        <v>265.5</v>
      </c>
      <c r="R20" s="154">
        <f>P20*0.8</f>
        <v>265.5</v>
      </c>
      <c r="S20" s="154">
        <f>(P20+Q20+R20)*0.032</f>
        <v>27.6</v>
      </c>
      <c r="T20" s="154">
        <f>P20+Q20+R20+S20</f>
        <v>890.5</v>
      </c>
      <c r="U20" s="2247"/>
      <c r="V20" s="154">
        <f t="shared" si="5"/>
        <v>890.5</v>
      </c>
      <c r="W20" s="154">
        <f>AQ20</f>
        <v>268.2</v>
      </c>
      <c r="X20" s="54">
        <v>1</v>
      </c>
      <c r="Y20" s="24">
        <v>30</v>
      </c>
      <c r="Z20" s="48">
        <f>X20*Y20</f>
        <v>30</v>
      </c>
      <c r="AA20" s="54"/>
      <c r="AB20" s="24">
        <v>15</v>
      </c>
      <c r="AC20" s="48">
        <f>AA20*AB20</f>
        <v>0</v>
      </c>
      <c r="AD20" s="54"/>
      <c r="AE20" s="24">
        <v>30</v>
      </c>
      <c r="AF20" s="48">
        <f>AD20*AE20</f>
        <v>0</v>
      </c>
      <c r="AG20" s="278">
        <f t="shared" si="0"/>
        <v>9</v>
      </c>
      <c r="AH20" s="48">
        <f t="shared" si="1"/>
        <v>39</v>
      </c>
      <c r="AI20" s="34">
        <f t="shared" si="2"/>
        <v>74208.3</v>
      </c>
      <c r="AJ20" s="220"/>
      <c r="AK20" s="216">
        <f t="shared" si="3"/>
        <v>890.5</v>
      </c>
      <c r="AL20" s="216">
        <f t="shared" si="7"/>
        <v>279.60000000000002</v>
      </c>
      <c r="AM20" s="217">
        <f>AL20/AK20</f>
        <v>0.314</v>
      </c>
      <c r="AN20" s="50">
        <f t="shared" ref="AN20:AN21" si="28">AK20*0.22</f>
        <v>195.9</v>
      </c>
      <c r="AO20" s="50">
        <f t="shared" ref="AO20:AO21" si="29">865*0.029</f>
        <v>25.1</v>
      </c>
      <c r="AP20" s="50">
        <f t="shared" ref="AP20:AP21" si="30">AK20*0.053</f>
        <v>47.2</v>
      </c>
      <c r="AQ20" s="50">
        <f t="shared" si="11"/>
        <v>268.2</v>
      </c>
      <c r="AS20" s="66"/>
    </row>
    <row r="21" spans="1:45" s="33" customFormat="1" ht="25.5" x14ac:dyDescent="0.2">
      <c r="A21" s="278">
        <v>14</v>
      </c>
      <c r="B21" s="218" t="s">
        <v>31</v>
      </c>
      <c r="C21" s="278">
        <v>5</v>
      </c>
      <c r="D21" s="177">
        <v>11.061999999999999</v>
      </c>
      <c r="E21" s="171">
        <f>C21*D21</f>
        <v>55.31</v>
      </c>
      <c r="F21" s="154">
        <f>E21*12</f>
        <v>663.7</v>
      </c>
      <c r="G21" s="154"/>
      <c r="H21" s="154">
        <f>40.443+1.617+1.078</f>
        <v>43.1</v>
      </c>
      <c r="I21" s="154"/>
      <c r="J21" s="154"/>
      <c r="K21" s="154">
        <f>D21*0.4*4*12+D21*0.35*12+D21*0.05*3</f>
        <v>260.5</v>
      </c>
      <c r="L21" s="154">
        <f t="shared" si="4"/>
        <v>224.6</v>
      </c>
      <c r="M21" s="154">
        <f>F21+G21+H21+I21+J21+K21+L21</f>
        <v>1191.9000000000001</v>
      </c>
      <c r="N21" s="171">
        <v>0.47</v>
      </c>
      <c r="O21" s="154">
        <f>M21*N21</f>
        <v>560.20000000000005</v>
      </c>
      <c r="P21" s="154">
        <f>M21+O21</f>
        <v>1752.1</v>
      </c>
      <c r="Q21" s="154">
        <f>P21*0.8</f>
        <v>1401.7</v>
      </c>
      <c r="R21" s="154">
        <f>P21*0.8</f>
        <v>1401.7</v>
      </c>
      <c r="S21" s="154">
        <f>(P21+Q21+R21)*0.032</f>
        <v>145.80000000000001</v>
      </c>
      <c r="T21" s="154">
        <f>P21+Q21+R21+S21</f>
        <v>4701.3</v>
      </c>
      <c r="U21" s="2247"/>
      <c r="V21" s="154">
        <f t="shared" si="5"/>
        <v>4701.3</v>
      </c>
      <c r="W21" s="154">
        <f>AQ21*C21</f>
        <v>1409</v>
      </c>
      <c r="X21" s="54">
        <v>4</v>
      </c>
      <c r="Y21" s="24">
        <v>30</v>
      </c>
      <c r="Z21" s="48">
        <f>X21*Y21</f>
        <v>120</v>
      </c>
      <c r="AA21" s="54">
        <v>2</v>
      </c>
      <c r="AB21" s="24">
        <v>15</v>
      </c>
      <c r="AC21" s="48">
        <f>AA21*AB21</f>
        <v>30</v>
      </c>
      <c r="AD21" s="54">
        <v>1</v>
      </c>
      <c r="AE21" s="24">
        <v>30</v>
      </c>
      <c r="AF21" s="48">
        <f>AD21*AE21</f>
        <v>30</v>
      </c>
      <c r="AG21" s="278">
        <f t="shared" si="0"/>
        <v>54</v>
      </c>
      <c r="AH21" s="48">
        <f t="shared" si="1"/>
        <v>234</v>
      </c>
      <c r="AI21" s="34">
        <f t="shared" si="2"/>
        <v>78355</v>
      </c>
      <c r="AJ21" s="220"/>
      <c r="AK21" s="216">
        <f t="shared" si="3"/>
        <v>940.3</v>
      </c>
      <c r="AL21" s="216">
        <f t="shared" si="7"/>
        <v>288.60000000000002</v>
      </c>
      <c r="AM21" s="217">
        <v>0.30199999999999999</v>
      </c>
      <c r="AN21" s="211">
        <f t="shared" si="28"/>
        <v>206.86600000000001</v>
      </c>
      <c r="AO21" s="50">
        <f t="shared" si="29"/>
        <v>25.1</v>
      </c>
      <c r="AP21" s="50">
        <f t="shared" si="30"/>
        <v>49.8</v>
      </c>
      <c r="AQ21" s="50">
        <f>SUM(AN21:AP21)</f>
        <v>281.8</v>
      </c>
      <c r="AS21" s="66"/>
    </row>
    <row r="22" spans="1:45" s="33" customFormat="1" ht="25.5" x14ac:dyDescent="0.2">
      <c r="A22" s="278">
        <v>15</v>
      </c>
      <c r="B22" s="218" t="s">
        <v>110</v>
      </c>
      <c r="C22" s="278">
        <v>1</v>
      </c>
      <c r="D22" s="177">
        <v>6.2859999999999996</v>
      </c>
      <c r="E22" s="171">
        <f>C22*D22</f>
        <v>6.29</v>
      </c>
      <c r="F22" s="154">
        <f>E22*12</f>
        <v>75.5</v>
      </c>
      <c r="G22" s="154"/>
      <c r="H22" s="154"/>
      <c r="I22" s="154"/>
      <c r="J22" s="154"/>
      <c r="K22" s="154">
        <f>F22*0.2</f>
        <v>15.1</v>
      </c>
      <c r="L22" s="154">
        <f t="shared" si="4"/>
        <v>25.5</v>
      </c>
      <c r="M22" s="154">
        <f>F22+G22+H22+I22+J22+K22+L22</f>
        <v>116.1</v>
      </c>
      <c r="N22" s="171">
        <v>0.45</v>
      </c>
      <c r="O22" s="154">
        <f>M22*N22</f>
        <v>52.2</v>
      </c>
      <c r="P22" s="154">
        <f>M22+O22</f>
        <v>168.3</v>
      </c>
      <c r="Q22" s="154">
        <f>P22*0.8</f>
        <v>134.6</v>
      </c>
      <c r="R22" s="154">
        <f>P22*0.8</f>
        <v>134.6</v>
      </c>
      <c r="S22" s="154">
        <f>(P22+Q22+R22)*0.032</f>
        <v>14</v>
      </c>
      <c r="T22" s="154">
        <f>P22+Q22+R22+S22</f>
        <v>451.5</v>
      </c>
      <c r="U22" s="2247"/>
      <c r="V22" s="154">
        <f t="shared" si="5"/>
        <v>451.5</v>
      </c>
      <c r="W22" s="154">
        <f t="shared" ref="W22:W51" si="31">V22*0.302</f>
        <v>136.4</v>
      </c>
      <c r="X22" s="54">
        <v>1</v>
      </c>
      <c r="Y22" s="24">
        <v>30</v>
      </c>
      <c r="Z22" s="48">
        <f>X22*Y22</f>
        <v>30</v>
      </c>
      <c r="AA22" s="54"/>
      <c r="AB22" s="24">
        <v>15</v>
      </c>
      <c r="AC22" s="48">
        <f>AA22*AB22</f>
        <v>0</v>
      </c>
      <c r="AD22" s="54"/>
      <c r="AE22" s="24">
        <v>30</v>
      </c>
      <c r="AF22" s="48">
        <f>AD22*AE22</f>
        <v>0</v>
      </c>
      <c r="AG22" s="278">
        <f t="shared" si="0"/>
        <v>9</v>
      </c>
      <c r="AH22" s="48">
        <f t="shared" si="1"/>
        <v>39</v>
      </c>
      <c r="AI22" s="34">
        <f t="shared" si="2"/>
        <v>37625</v>
      </c>
      <c r="AJ22" s="220"/>
      <c r="AK22" s="216">
        <f t="shared" si="3"/>
        <v>451.5</v>
      </c>
      <c r="AL22" s="216">
        <f t="shared" si="7"/>
        <v>199.7</v>
      </c>
      <c r="AM22" s="217">
        <v>0.30199999999999999</v>
      </c>
      <c r="AN22" s="211"/>
      <c r="AO22" s="211"/>
      <c r="AP22" s="211"/>
      <c r="AQ22" s="50">
        <f t="shared" si="11"/>
        <v>0</v>
      </c>
      <c r="AS22" s="66"/>
    </row>
    <row r="23" spans="1:45" x14ac:dyDescent="0.2">
      <c r="A23" s="278">
        <v>16</v>
      </c>
      <c r="B23" s="218" t="s">
        <v>49</v>
      </c>
      <c r="C23" s="54">
        <v>1</v>
      </c>
      <c r="D23" s="177">
        <v>8.4730000000000008</v>
      </c>
      <c r="E23" s="171">
        <f>C23*D23</f>
        <v>8.4700000000000006</v>
      </c>
      <c r="F23" s="154">
        <f t="shared" ref="F23:F41" si="32">E23*12</f>
        <v>101.6</v>
      </c>
      <c r="G23" s="154"/>
      <c r="H23" s="154">
        <v>3.7</v>
      </c>
      <c r="I23" s="154"/>
      <c r="J23" s="154">
        <f>F23*0.1</f>
        <v>10.199999999999999</v>
      </c>
      <c r="K23" s="154">
        <f>F23*0.3</f>
        <v>30.5</v>
      </c>
      <c r="L23" s="154">
        <f t="shared" si="4"/>
        <v>34.4</v>
      </c>
      <c r="M23" s="154">
        <f t="shared" ref="M23:M41" si="33">F23+G23+H23+I23+J23+K23+L23</f>
        <v>180.4</v>
      </c>
      <c r="N23" s="171">
        <v>0.41</v>
      </c>
      <c r="O23" s="154">
        <f t="shared" ref="O23:O41" si="34">M23*N23</f>
        <v>74</v>
      </c>
      <c r="P23" s="154">
        <f t="shared" ref="P23:P41" si="35">M23+O23</f>
        <v>254.4</v>
      </c>
      <c r="Q23" s="154">
        <f t="shared" ref="Q23:Q41" si="36">P23*0.8</f>
        <v>203.5</v>
      </c>
      <c r="R23" s="154">
        <f t="shared" ref="R23:R41" si="37">P23*0.8</f>
        <v>203.5</v>
      </c>
      <c r="S23" s="154">
        <f t="shared" ref="S23:S41" si="38">(P23+Q23+R23)*0.032</f>
        <v>21.2</v>
      </c>
      <c r="T23" s="154">
        <f t="shared" ref="T23:T41" si="39">P23+Q23+R23+S23</f>
        <v>682.6</v>
      </c>
      <c r="U23" s="2247"/>
      <c r="V23" s="154">
        <f t="shared" si="5"/>
        <v>682.6</v>
      </c>
      <c r="W23" s="154">
        <f t="shared" si="31"/>
        <v>206.1</v>
      </c>
      <c r="X23" s="278">
        <v>1</v>
      </c>
      <c r="Y23" s="24">
        <v>30</v>
      </c>
      <c r="Z23" s="48">
        <f>X23*Y23</f>
        <v>30</v>
      </c>
      <c r="AA23" s="54">
        <v>1</v>
      </c>
      <c r="AB23" s="24">
        <v>15</v>
      </c>
      <c r="AC23" s="48">
        <f>AA23*AB23</f>
        <v>15</v>
      </c>
      <c r="AD23" s="54"/>
      <c r="AE23" s="24">
        <v>30</v>
      </c>
      <c r="AF23" s="48">
        <f>AD23*AE23</f>
        <v>0</v>
      </c>
      <c r="AG23" s="278">
        <f t="shared" si="0"/>
        <v>13.5</v>
      </c>
      <c r="AH23" s="48">
        <f t="shared" si="1"/>
        <v>58.5</v>
      </c>
      <c r="AI23" s="34">
        <f t="shared" si="2"/>
        <v>56883.3</v>
      </c>
      <c r="AJ23" s="34"/>
      <c r="AK23" s="216">
        <f t="shared" si="3"/>
        <v>682.6</v>
      </c>
      <c r="AL23" s="216">
        <f t="shared" si="7"/>
        <v>241.7</v>
      </c>
      <c r="AM23" s="217">
        <v>0.30199999999999999</v>
      </c>
      <c r="AQ23" s="50">
        <f t="shared" si="11"/>
        <v>0</v>
      </c>
      <c r="AS23" s="66"/>
    </row>
    <row r="24" spans="1:45" x14ac:dyDescent="0.2">
      <c r="A24" s="278">
        <v>17</v>
      </c>
      <c r="B24" s="218" t="s">
        <v>50</v>
      </c>
      <c r="C24" s="54">
        <v>1</v>
      </c>
      <c r="D24" s="177">
        <v>8.4730000000000008</v>
      </c>
      <c r="E24" s="171">
        <f>C24*D24</f>
        <v>8.4700000000000006</v>
      </c>
      <c r="F24" s="154">
        <f t="shared" si="32"/>
        <v>101.6</v>
      </c>
      <c r="G24" s="154"/>
      <c r="H24" s="154">
        <v>0.4</v>
      </c>
      <c r="I24" s="154"/>
      <c r="J24" s="154">
        <f>F24*0.1</f>
        <v>10.199999999999999</v>
      </c>
      <c r="K24" s="154">
        <f>F24*0.4</f>
        <v>40.6</v>
      </c>
      <c r="L24" s="154">
        <f t="shared" si="4"/>
        <v>34.4</v>
      </c>
      <c r="M24" s="154">
        <f t="shared" si="33"/>
        <v>187.2</v>
      </c>
      <c r="N24" s="171">
        <v>0.41</v>
      </c>
      <c r="O24" s="154">
        <f t="shared" si="34"/>
        <v>76.8</v>
      </c>
      <c r="P24" s="154">
        <f t="shared" si="35"/>
        <v>264</v>
      </c>
      <c r="Q24" s="154">
        <f t="shared" si="36"/>
        <v>211.2</v>
      </c>
      <c r="R24" s="154">
        <f t="shared" si="37"/>
        <v>211.2</v>
      </c>
      <c r="S24" s="154">
        <f t="shared" si="38"/>
        <v>22</v>
      </c>
      <c r="T24" s="154">
        <f t="shared" si="39"/>
        <v>708.4</v>
      </c>
      <c r="U24" s="2247"/>
      <c r="V24" s="154">
        <f t="shared" si="5"/>
        <v>708.4</v>
      </c>
      <c r="W24" s="154">
        <f t="shared" si="31"/>
        <v>213.9</v>
      </c>
      <c r="X24" s="278"/>
      <c r="Y24" s="24">
        <v>30</v>
      </c>
      <c r="Z24" s="48">
        <f>X24*Y24</f>
        <v>0</v>
      </c>
      <c r="AA24" s="54"/>
      <c r="AB24" s="24">
        <v>15</v>
      </c>
      <c r="AC24" s="48">
        <f>AA24*AB24</f>
        <v>0</v>
      </c>
      <c r="AD24" s="54"/>
      <c r="AE24" s="24">
        <v>30</v>
      </c>
      <c r="AF24" s="48">
        <f>AD24*AE24</f>
        <v>0</v>
      </c>
      <c r="AG24" s="278">
        <f t="shared" si="0"/>
        <v>0</v>
      </c>
      <c r="AH24" s="48">
        <f t="shared" si="1"/>
        <v>0</v>
      </c>
      <c r="AI24" s="34">
        <f t="shared" si="2"/>
        <v>59033.3</v>
      </c>
      <c r="AJ24" s="34"/>
      <c r="AK24" s="216">
        <f t="shared" si="3"/>
        <v>708.4</v>
      </c>
      <c r="AL24" s="216">
        <f t="shared" si="7"/>
        <v>246.4</v>
      </c>
      <c r="AM24" s="217">
        <v>0.30199999999999999</v>
      </c>
      <c r="AQ24" s="50">
        <f t="shared" si="11"/>
        <v>0</v>
      </c>
      <c r="AS24" s="66"/>
    </row>
    <row r="25" spans="1:45" ht="25.5" x14ac:dyDescent="0.2">
      <c r="A25" s="278">
        <v>18</v>
      </c>
      <c r="B25" s="218" t="s">
        <v>51</v>
      </c>
      <c r="C25" s="54">
        <v>1</v>
      </c>
      <c r="D25" s="177">
        <v>8.4730000000000008</v>
      </c>
      <c r="E25" s="171">
        <f t="shared" ref="E25:E40" si="40">C25*D25</f>
        <v>8.4700000000000006</v>
      </c>
      <c r="F25" s="154">
        <f t="shared" si="32"/>
        <v>101.6</v>
      </c>
      <c r="G25" s="154"/>
      <c r="H25" s="154">
        <v>2.1</v>
      </c>
      <c r="I25" s="154"/>
      <c r="J25" s="154">
        <f>F25*0.1</f>
        <v>10.199999999999999</v>
      </c>
      <c r="K25" s="154">
        <f>F25*0.4</f>
        <v>40.6</v>
      </c>
      <c r="L25" s="154">
        <f t="shared" si="4"/>
        <v>34.4</v>
      </c>
      <c r="M25" s="154">
        <f t="shared" si="33"/>
        <v>188.9</v>
      </c>
      <c r="N25" s="171">
        <v>0.41</v>
      </c>
      <c r="O25" s="154">
        <f t="shared" si="34"/>
        <v>77.400000000000006</v>
      </c>
      <c r="P25" s="154">
        <f t="shared" si="35"/>
        <v>266.3</v>
      </c>
      <c r="Q25" s="154">
        <f t="shared" si="36"/>
        <v>213</v>
      </c>
      <c r="R25" s="154">
        <f t="shared" si="37"/>
        <v>213</v>
      </c>
      <c r="S25" s="154">
        <f t="shared" si="38"/>
        <v>22.2</v>
      </c>
      <c r="T25" s="154">
        <f t="shared" si="39"/>
        <v>714.5</v>
      </c>
      <c r="U25" s="2247"/>
      <c r="V25" s="154">
        <f t="shared" si="5"/>
        <v>714.5</v>
      </c>
      <c r="W25" s="154">
        <f t="shared" si="31"/>
        <v>215.8</v>
      </c>
      <c r="X25" s="278">
        <v>1</v>
      </c>
      <c r="Y25" s="24">
        <v>30</v>
      </c>
      <c r="Z25" s="48">
        <f t="shared" ref="Z25:Z38" si="41">X25*Y25</f>
        <v>30</v>
      </c>
      <c r="AA25" s="54"/>
      <c r="AB25" s="24">
        <v>15</v>
      </c>
      <c r="AC25" s="48">
        <f t="shared" ref="AC25:AC38" si="42">AA25*AB25</f>
        <v>0</v>
      </c>
      <c r="AD25" s="54"/>
      <c r="AE25" s="24">
        <v>30</v>
      </c>
      <c r="AF25" s="48">
        <f t="shared" ref="AF25:AF41" si="43">AD25*AE25</f>
        <v>0</v>
      </c>
      <c r="AG25" s="278">
        <f t="shared" si="0"/>
        <v>9</v>
      </c>
      <c r="AH25" s="48">
        <f t="shared" si="1"/>
        <v>39</v>
      </c>
      <c r="AI25" s="34">
        <f t="shared" si="2"/>
        <v>59541.7</v>
      </c>
      <c r="AJ25" s="34"/>
      <c r="AK25" s="216">
        <f t="shared" si="3"/>
        <v>714.5</v>
      </c>
      <c r="AL25" s="216">
        <f t="shared" si="7"/>
        <v>247.5</v>
      </c>
      <c r="AM25" s="217">
        <v>0.30199999999999999</v>
      </c>
      <c r="AQ25" s="50">
        <f t="shared" si="11"/>
        <v>0</v>
      </c>
      <c r="AS25" s="66"/>
    </row>
    <row r="26" spans="1:45" x14ac:dyDescent="0.2">
      <c r="A26" s="278">
        <v>19</v>
      </c>
      <c r="B26" s="218" t="s">
        <v>52</v>
      </c>
      <c r="C26" s="54">
        <v>1</v>
      </c>
      <c r="D26" s="177">
        <v>8.4730000000000008</v>
      </c>
      <c r="E26" s="171">
        <f t="shared" si="40"/>
        <v>8.4700000000000006</v>
      </c>
      <c r="F26" s="154">
        <f t="shared" si="32"/>
        <v>101.6</v>
      </c>
      <c r="G26" s="154"/>
      <c r="H26" s="154">
        <v>1.4</v>
      </c>
      <c r="I26" s="154"/>
      <c r="J26" s="154"/>
      <c r="K26" s="154">
        <f>D26*0.25*7.7+D26*0.3*4.3</f>
        <v>27.2</v>
      </c>
      <c r="L26" s="154">
        <f t="shared" si="4"/>
        <v>34.4</v>
      </c>
      <c r="M26" s="154">
        <f t="shared" si="33"/>
        <v>164.6</v>
      </c>
      <c r="N26" s="171">
        <v>0.41</v>
      </c>
      <c r="O26" s="154">
        <f t="shared" si="34"/>
        <v>67.5</v>
      </c>
      <c r="P26" s="154">
        <f t="shared" si="35"/>
        <v>232.1</v>
      </c>
      <c r="Q26" s="154">
        <f t="shared" si="36"/>
        <v>185.7</v>
      </c>
      <c r="R26" s="154">
        <f t="shared" si="37"/>
        <v>185.7</v>
      </c>
      <c r="S26" s="154">
        <f t="shared" si="38"/>
        <v>19.3</v>
      </c>
      <c r="T26" s="154">
        <f t="shared" si="39"/>
        <v>622.79999999999995</v>
      </c>
      <c r="U26" s="2247"/>
      <c r="V26" s="154">
        <f t="shared" si="5"/>
        <v>622.79999999999995</v>
      </c>
      <c r="W26" s="154">
        <f t="shared" si="31"/>
        <v>188.1</v>
      </c>
      <c r="X26" s="278">
        <v>1</v>
      </c>
      <c r="Y26" s="24">
        <v>30</v>
      </c>
      <c r="Z26" s="48">
        <f t="shared" si="41"/>
        <v>30</v>
      </c>
      <c r="AA26" s="54"/>
      <c r="AB26" s="24">
        <v>15</v>
      </c>
      <c r="AC26" s="48">
        <f t="shared" si="42"/>
        <v>0</v>
      </c>
      <c r="AD26" s="54"/>
      <c r="AE26" s="24">
        <v>30</v>
      </c>
      <c r="AF26" s="48">
        <f t="shared" si="43"/>
        <v>0</v>
      </c>
      <c r="AG26" s="278">
        <f t="shared" si="0"/>
        <v>9</v>
      </c>
      <c r="AH26" s="48">
        <f t="shared" si="1"/>
        <v>39</v>
      </c>
      <c r="AI26" s="34">
        <f t="shared" si="2"/>
        <v>51900</v>
      </c>
      <c r="AJ26" s="34"/>
      <c r="AK26" s="216">
        <f t="shared" si="3"/>
        <v>622.79999999999995</v>
      </c>
      <c r="AL26" s="216">
        <f t="shared" si="7"/>
        <v>230.8</v>
      </c>
      <c r="AM26" s="217">
        <v>0.30199999999999999</v>
      </c>
      <c r="AQ26" s="50">
        <f t="shared" si="11"/>
        <v>0</v>
      </c>
      <c r="AS26" s="66"/>
    </row>
    <row r="27" spans="1:45" ht="26.25" customHeight="1" x14ac:dyDescent="0.2">
      <c r="A27" s="278">
        <v>20</v>
      </c>
      <c r="B27" s="218" t="s">
        <v>53</v>
      </c>
      <c r="C27" s="49">
        <f>1-0.5</f>
        <v>0.5</v>
      </c>
      <c r="D27" s="177">
        <v>8.4730000000000008</v>
      </c>
      <c r="E27" s="171">
        <f t="shared" si="40"/>
        <v>4.24</v>
      </c>
      <c r="F27" s="154">
        <f t="shared" si="32"/>
        <v>50.9</v>
      </c>
      <c r="G27" s="154"/>
      <c r="H27" s="154"/>
      <c r="I27" s="154"/>
      <c r="J27" s="154"/>
      <c r="K27" s="154"/>
      <c r="L27" s="154">
        <f t="shared" si="4"/>
        <v>17.2</v>
      </c>
      <c r="M27" s="154">
        <f t="shared" si="33"/>
        <v>68.099999999999994</v>
      </c>
      <c r="N27" s="171">
        <v>0.41</v>
      </c>
      <c r="O27" s="154">
        <f t="shared" si="34"/>
        <v>27.9</v>
      </c>
      <c r="P27" s="154">
        <f t="shared" si="35"/>
        <v>96</v>
      </c>
      <c r="Q27" s="154">
        <f t="shared" si="36"/>
        <v>76.8</v>
      </c>
      <c r="R27" s="154">
        <f t="shared" si="37"/>
        <v>76.8</v>
      </c>
      <c r="S27" s="154">
        <f t="shared" si="38"/>
        <v>8</v>
      </c>
      <c r="T27" s="154">
        <f t="shared" si="39"/>
        <v>257.60000000000002</v>
      </c>
      <c r="U27" s="2247"/>
      <c r="V27" s="154">
        <f t="shared" si="5"/>
        <v>257.60000000000002</v>
      </c>
      <c r="W27" s="154">
        <f t="shared" si="31"/>
        <v>77.8</v>
      </c>
      <c r="X27" s="278"/>
      <c r="Y27" s="24">
        <v>30</v>
      </c>
      <c r="Z27" s="48">
        <f t="shared" si="41"/>
        <v>0</v>
      </c>
      <c r="AA27" s="54"/>
      <c r="AB27" s="24">
        <v>15</v>
      </c>
      <c r="AC27" s="48">
        <f t="shared" si="42"/>
        <v>0</v>
      </c>
      <c r="AD27" s="54"/>
      <c r="AE27" s="24">
        <v>30</v>
      </c>
      <c r="AF27" s="48">
        <f t="shared" si="43"/>
        <v>0</v>
      </c>
      <c r="AG27" s="278">
        <f t="shared" si="0"/>
        <v>0</v>
      </c>
      <c r="AH27" s="48">
        <f t="shared" si="1"/>
        <v>0</v>
      </c>
      <c r="AI27" s="34">
        <f t="shared" si="2"/>
        <v>42933.3</v>
      </c>
      <c r="AJ27" s="34"/>
      <c r="AK27" s="216">
        <f t="shared" si="3"/>
        <v>515.20000000000005</v>
      </c>
      <c r="AL27" s="216">
        <f t="shared" si="7"/>
        <v>211.2</v>
      </c>
      <c r="AM27" s="217">
        <v>0.30199999999999999</v>
      </c>
      <c r="AQ27" s="50">
        <f t="shared" si="11"/>
        <v>0</v>
      </c>
      <c r="AS27" s="66"/>
    </row>
    <row r="28" spans="1:45" x14ac:dyDescent="0.2">
      <c r="A28" s="278">
        <v>21</v>
      </c>
      <c r="B28" s="218" t="s">
        <v>54</v>
      </c>
      <c r="C28" s="54">
        <v>1</v>
      </c>
      <c r="D28" s="177">
        <v>11.061999999999999</v>
      </c>
      <c r="E28" s="171">
        <f t="shared" si="40"/>
        <v>11.06</v>
      </c>
      <c r="F28" s="154">
        <f t="shared" si="32"/>
        <v>132.69999999999999</v>
      </c>
      <c r="G28" s="154"/>
      <c r="H28" s="154">
        <v>3.2</v>
      </c>
      <c r="I28" s="154"/>
      <c r="J28" s="154">
        <f>F28*0.1</f>
        <v>13.3</v>
      </c>
      <c r="K28" s="154">
        <f>F28*0.3</f>
        <v>39.799999999999997</v>
      </c>
      <c r="L28" s="154">
        <f t="shared" si="4"/>
        <v>44.9</v>
      </c>
      <c r="M28" s="154">
        <f t="shared" si="33"/>
        <v>233.9</v>
      </c>
      <c r="N28" s="171">
        <v>0.43</v>
      </c>
      <c r="O28" s="154">
        <f t="shared" si="34"/>
        <v>100.6</v>
      </c>
      <c r="P28" s="154">
        <f t="shared" si="35"/>
        <v>334.5</v>
      </c>
      <c r="Q28" s="154">
        <f t="shared" si="36"/>
        <v>267.60000000000002</v>
      </c>
      <c r="R28" s="154">
        <f t="shared" si="37"/>
        <v>267.60000000000002</v>
      </c>
      <c r="S28" s="154">
        <f t="shared" si="38"/>
        <v>27.8</v>
      </c>
      <c r="T28" s="154">
        <f t="shared" si="39"/>
        <v>897.5</v>
      </c>
      <c r="U28" s="2247"/>
      <c r="V28" s="154">
        <f t="shared" si="5"/>
        <v>897.5</v>
      </c>
      <c r="W28" s="154">
        <f>AQ28</f>
        <v>270.2</v>
      </c>
      <c r="X28" s="278"/>
      <c r="Y28" s="24">
        <v>30</v>
      </c>
      <c r="Z28" s="48">
        <f t="shared" si="41"/>
        <v>0</v>
      </c>
      <c r="AA28" s="54"/>
      <c r="AB28" s="24">
        <v>15</v>
      </c>
      <c r="AC28" s="48">
        <f t="shared" si="42"/>
        <v>0</v>
      </c>
      <c r="AD28" s="54"/>
      <c r="AE28" s="24">
        <v>30</v>
      </c>
      <c r="AF28" s="48">
        <f t="shared" si="43"/>
        <v>0</v>
      </c>
      <c r="AG28" s="278">
        <f t="shared" si="0"/>
        <v>0</v>
      </c>
      <c r="AH28" s="48">
        <f>Z28+AC28+AF28+AG28</f>
        <v>0</v>
      </c>
      <c r="AI28" s="34">
        <f t="shared" si="2"/>
        <v>74791.7</v>
      </c>
      <c r="AJ28" s="34"/>
      <c r="AK28" s="216">
        <f t="shared" si="3"/>
        <v>897.5</v>
      </c>
      <c r="AL28" s="216">
        <f t="shared" si="7"/>
        <v>280.8</v>
      </c>
      <c r="AM28" s="217">
        <v>0.30199999999999999</v>
      </c>
      <c r="AN28" s="221">
        <f t="shared" ref="AN28:AN29" si="44">AK28*0.22</f>
        <v>197.5</v>
      </c>
      <c r="AO28" s="50">
        <f t="shared" ref="AO28:AO29" si="45">865*0.029</f>
        <v>25.1</v>
      </c>
      <c r="AP28" s="50">
        <f t="shared" ref="AP28:AP29" si="46">AK28*0.053</f>
        <v>47.6</v>
      </c>
      <c r="AQ28" s="50">
        <f t="shared" si="11"/>
        <v>270.2</v>
      </c>
      <c r="AS28" s="66"/>
    </row>
    <row r="29" spans="1:45" x14ac:dyDescent="0.2">
      <c r="A29" s="278">
        <v>22</v>
      </c>
      <c r="B29" s="218" t="s">
        <v>40</v>
      </c>
      <c r="C29" s="54">
        <v>2</v>
      </c>
      <c r="D29" s="177">
        <v>11.061999999999999</v>
      </c>
      <c r="E29" s="171">
        <f t="shared" si="40"/>
        <v>22.12</v>
      </c>
      <c r="F29" s="154">
        <f t="shared" si="32"/>
        <v>265.39999999999998</v>
      </c>
      <c r="G29" s="154"/>
      <c r="H29" s="154">
        <v>3.2</v>
      </c>
      <c r="I29" s="154"/>
      <c r="J29" s="154"/>
      <c r="K29" s="154">
        <f>D29*0.4*12+D29*0.35*12</f>
        <v>99.6</v>
      </c>
      <c r="L29" s="154">
        <f t="shared" si="4"/>
        <v>89.8</v>
      </c>
      <c r="M29" s="154">
        <f t="shared" si="33"/>
        <v>458</v>
      </c>
      <c r="N29" s="171">
        <v>0.43</v>
      </c>
      <c r="O29" s="154">
        <f t="shared" si="34"/>
        <v>196.9</v>
      </c>
      <c r="P29" s="154">
        <f t="shared" si="35"/>
        <v>654.9</v>
      </c>
      <c r="Q29" s="154">
        <f t="shared" si="36"/>
        <v>523.9</v>
      </c>
      <c r="R29" s="154">
        <f t="shared" si="37"/>
        <v>523.9</v>
      </c>
      <c r="S29" s="154">
        <f t="shared" si="38"/>
        <v>54.5</v>
      </c>
      <c r="T29" s="154">
        <f t="shared" si="39"/>
        <v>1757.2</v>
      </c>
      <c r="U29" s="2247"/>
      <c r="V29" s="154">
        <f t="shared" si="5"/>
        <v>1757.2</v>
      </c>
      <c r="W29" s="154">
        <f>AQ29*C29</f>
        <v>530</v>
      </c>
      <c r="X29" s="278">
        <v>1</v>
      </c>
      <c r="Y29" s="24">
        <v>30</v>
      </c>
      <c r="Z29" s="48">
        <f t="shared" si="41"/>
        <v>30</v>
      </c>
      <c r="AA29" s="54">
        <v>2</v>
      </c>
      <c r="AB29" s="24">
        <v>15</v>
      </c>
      <c r="AC29" s="48">
        <f t="shared" si="42"/>
        <v>30</v>
      </c>
      <c r="AD29" s="54"/>
      <c r="AE29" s="24">
        <v>30</v>
      </c>
      <c r="AF29" s="48">
        <f t="shared" si="43"/>
        <v>0</v>
      </c>
      <c r="AG29" s="278">
        <f t="shared" si="0"/>
        <v>18</v>
      </c>
      <c r="AH29" s="48">
        <f t="shared" ref="AH29:AH41" si="47">Z29+AC29+AF29+AG29</f>
        <v>78</v>
      </c>
      <c r="AI29" s="34">
        <f t="shared" si="2"/>
        <v>73216.7</v>
      </c>
      <c r="AJ29" s="34"/>
      <c r="AK29" s="216">
        <f t="shared" si="3"/>
        <v>878.6</v>
      </c>
      <c r="AL29" s="216">
        <f t="shared" si="7"/>
        <v>277.39999999999998</v>
      </c>
      <c r="AM29" s="217">
        <v>0.30199999999999999</v>
      </c>
      <c r="AN29" s="221">
        <f t="shared" si="44"/>
        <v>193.3</v>
      </c>
      <c r="AO29" s="50">
        <f t="shared" si="45"/>
        <v>25.1</v>
      </c>
      <c r="AP29" s="50">
        <f t="shared" si="46"/>
        <v>46.6</v>
      </c>
      <c r="AQ29" s="50">
        <f t="shared" si="11"/>
        <v>265</v>
      </c>
      <c r="AS29" s="66"/>
    </row>
    <row r="30" spans="1:45" x14ac:dyDescent="0.2">
      <c r="A30" s="278">
        <v>23</v>
      </c>
      <c r="B30" s="218" t="s">
        <v>55</v>
      </c>
      <c r="C30" s="54">
        <v>1</v>
      </c>
      <c r="D30" s="213">
        <v>8.4730000000000008</v>
      </c>
      <c r="E30" s="171">
        <f t="shared" si="40"/>
        <v>8.4700000000000006</v>
      </c>
      <c r="F30" s="154">
        <f t="shared" si="32"/>
        <v>101.6</v>
      </c>
      <c r="G30" s="154"/>
      <c r="H30" s="154">
        <v>2.1</v>
      </c>
      <c r="I30" s="154"/>
      <c r="J30" s="154">
        <f>F30*0.1</f>
        <v>10.199999999999999</v>
      </c>
      <c r="K30" s="154">
        <f>D30*0.3*12</f>
        <v>30.5</v>
      </c>
      <c r="L30" s="154">
        <f t="shared" si="4"/>
        <v>34.4</v>
      </c>
      <c r="M30" s="154">
        <f t="shared" si="33"/>
        <v>178.8</v>
      </c>
      <c r="N30" s="171">
        <v>0.41</v>
      </c>
      <c r="O30" s="154">
        <f t="shared" si="34"/>
        <v>73.3</v>
      </c>
      <c r="P30" s="154">
        <f t="shared" si="35"/>
        <v>252.1</v>
      </c>
      <c r="Q30" s="154">
        <f t="shared" si="36"/>
        <v>201.7</v>
      </c>
      <c r="R30" s="154">
        <f t="shared" si="37"/>
        <v>201.7</v>
      </c>
      <c r="S30" s="154">
        <f t="shared" si="38"/>
        <v>21</v>
      </c>
      <c r="T30" s="154">
        <f t="shared" si="39"/>
        <v>676.5</v>
      </c>
      <c r="U30" s="2247"/>
      <c r="V30" s="154">
        <f t="shared" si="5"/>
        <v>676.5</v>
      </c>
      <c r="W30" s="154">
        <f t="shared" si="31"/>
        <v>204.3</v>
      </c>
      <c r="X30" s="278">
        <v>1</v>
      </c>
      <c r="Y30" s="24">
        <v>30</v>
      </c>
      <c r="Z30" s="48">
        <f t="shared" si="41"/>
        <v>30</v>
      </c>
      <c r="AA30" s="54">
        <v>1</v>
      </c>
      <c r="AB30" s="24">
        <v>15</v>
      </c>
      <c r="AC30" s="48">
        <f t="shared" si="42"/>
        <v>15</v>
      </c>
      <c r="AD30" s="54">
        <v>1</v>
      </c>
      <c r="AE30" s="24">
        <v>30</v>
      </c>
      <c r="AF30" s="48">
        <f t="shared" si="43"/>
        <v>30</v>
      </c>
      <c r="AG30" s="278">
        <f t="shared" si="0"/>
        <v>22.5</v>
      </c>
      <c r="AH30" s="48">
        <f t="shared" si="47"/>
        <v>97.5</v>
      </c>
      <c r="AI30" s="34">
        <f t="shared" si="2"/>
        <v>56375</v>
      </c>
      <c r="AJ30" s="34"/>
      <c r="AK30" s="216">
        <f t="shared" si="3"/>
        <v>676.5</v>
      </c>
      <c r="AL30" s="216">
        <f t="shared" si="7"/>
        <v>240.6</v>
      </c>
      <c r="AM30" s="217">
        <f>AL30/AK30</f>
        <v>0.35599999999999998</v>
      </c>
      <c r="AN30" s="222"/>
      <c r="AO30" s="50"/>
      <c r="AP30" s="50"/>
      <c r="AQ30" s="50">
        <f t="shared" si="11"/>
        <v>0</v>
      </c>
      <c r="AS30" s="66"/>
    </row>
    <row r="31" spans="1:45" x14ac:dyDescent="0.2">
      <c r="A31" s="278">
        <v>24</v>
      </c>
      <c r="B31" s="218" t="s">
        <v>29</v>
      </c>
      <c r="C31" s="54">
        <v>3</v>
      </c>
      <c r="D31" s="213">
        <v>8.4730000000000008</v>
      </c>
      <c r="E31" s="171">
        <f t="shared" si="40"/>
        <v>25.42</v>
      </c>
      <c r="F31" s="154">
        <f t="shared" si="32"/>
        <v>305</v>
      </c>
      <c r="G31" s="154"/>
      <c r="H31" s="154">
        <v>61.7</v>
      </c>
      <c r="I31" s="154"/>
      <c r="J31" s="154"/>
      <c r="K31" s="154">
        <f>D31*0.3*12+D31*0.05*2</f>
        <v>31.4</v>
      </c>
      <c r="L31" s="154">
        <f t="shared" si="4"/>
        <v>103.2</v>
      </c>
      <c r="M31" s="154">
        <f t="shared" si="33"/>
        <v>501.3</v>
      </c>
      <c r="N31" s="171">
        <v>0.41</v>
      </c>
      <c r="O31" s="154">
        <f t="shared" si="34"/>
        <v>205.5</v>
      </c>
      <c r="P31" s="154">
        <f t="shared" si="35"/>
        <v>706.8</v>
      </c>
      <c r="Q31" s="154">
        <f t="shared" si="36"/>
        <v>565.4</v>
      </c>
      <c r="R31" s="154">
        <f t="shared" si="37"/>
        <v>565.4</v>
      </c>
      <c r="S31" s="154">
        <f t="shared" si="38"/>
        <v>58.8</v>
      </c>
      <c r="T31" s="154">
        <f t="shared" si="39"/>
        <v>1896.4</v>
      </c>
      <c r="U31" s="2247"/>
      <c r="V31" s="154">
        <f t="shared" si="5"/>
        <v>1896.4</v>
      </c>
      <c r="W31" s="154">
        <f t="shared" si="31"/>
        <v>572.70000000000005</v>
      </c>
      <c r="X31" s="278">
        <v>1</v>
      </c>
      <c r="Y31" s="24">
        <v>30</v>
      </c>
      <c r="Z31" s="48">
        <f t="shared" si="41"/>
        <v>30</v>
      </c>
      <c r="AA31" s="54">
        <v>3</v>
      </c>
      <c r="AB31" s="24">
        <v>15</v>
      </c>
      <c r="AC31" s="48">
        <f t="shared" si="42"/>
        <v>45</v>
      </c>
      <c r="AD31" s="54"/>
      <c r="AE31" s="24">
        <v>30</v>
      </c>
      <c r="AF31" s="48">
        <f t="shared" si="43"/>
        <v>0</v>
      </c>
      <c r="AG31" s="278">
        <f t="shared" si="0"/>
        <v>22.5</v>
      </c>
      <c r="AH31" s="48">
        <f t="shared" si="47"/>
        <v>97.5</v>
      </c>
      <c r="AI31" s="34">
        <f t="shared" si="2"/>
        <v>52677.8</v>
      </c>
      <c r="AJ31" s="34"/>
      <c r="AK31" s="216">
        <f t="shared" si="3"/>
        <v>632.1</v>
      </c>
      <c r="AL31" s="216">
        <f t="shared" si="7"/>
        <v>232.5</v>
      </c>
      <c r="AM31" s="217">
        <v>0.30199999999999999</v>
      </c>
      <c r="AN31" s="223"/>
      <c r="AO31" s="62"/>
      <c r="AP31" s="62"/>
      <c r="AQ31" s="50">
        <f t="shared" si="11"/>
        <v>0</v>
      </c>
      <c r="AS31" s="66"/>
    </row>
    <row r="32" spans="1:45" ht="13.5" customHeight="1" x14ac:dyDescent="0.2">
      <c r="A32" s="278">
        <v>25</v>
      </c>
      <c r="B32" s="218" t="s">
        <v>42</v>
      </c>
      <c r="C32" s="54">
        <v>1</v>
      </c>
      <c r="D32" s="177">
        <v>11.061999999999999</v>
      </c>
      <c r="E32" s="171">
        <f t="shared" si="40"/>
        <v>11.06</v>
      </c>
      <c r="F32" s="154">
        <f t="shared" si="32"/>
        <v>132.69999999999999</v>
      </c>
      <c r="G32" s="154"/>
      <c r="H32" s="154">
        <v>4.8</v>
      </c>
      <c r="I32" s="154"/>
      <c r="J32" s="154">
        <f>F32*0.1</f>
        <v>13.3</v>
      </c>
      <c r="K32" s="154">
        <f>D32*0.25*12</f>
        <v>33.200000000000003</v>
      </c>
      <c r="L32" s="154">
        <f t="shared" si="4"/>
        <v>44.9</v>
      </c>
      <c r="M32" s="154">
        <f t="shared" si="33"/>
        <v>228.9</v>
      </c>
      <c r="N32" s="171">
        <v>0.43</v>
      </c>
      <c r="O32" s="154">
        <f t="shared" si="34"/>
        <v>98.4</v>
      </c>
      <c r="P32" s="154">
        <f t="shared" si="35"/>
        <v>327.3</v>
      </c>
      <c r="Q32" s="154">
        <f t="shared" si="36"/>
        <v>261.8</v>
      </c>
      <c r="R32" s="154">
        <f t="shared" si="37"/>
        <v>261.8</v>
      </c>
      <c r="S32" s="154">
        <f t="shared" si="38"/>
        <v>27.2</v>
      </c>
      <c r="T32" s="154">
        <f t="shared" si="39"/>
        <v>878.1</v>
      </c>
      <c r="U32" s="2247"/>
      <c r="V32" s="154">
        <f t="shared" si="5"/>
        <v>878.1</v>
      </c>
      <c r="W32" s="154">
        <f>AQ32</f>
        <v>264.8</v>
      </c>
      <c r="X32" s="278"/>
      <c r="Y32" s="24">
        <v>30</v>
      </c>
      <c r="Z32" s="48">
        <f t="shared" si="41"/>
        <v>0</v>
      </c>
      <c r="AA32" s="54"/>
      <c r="AB32" s="24">
        <v>15</v>
      </c>
      <c r="AC32" s="48">
        <f t="shared" si="42"/>
        <v>0</v>
      </c>
      <c r="AD32" s="54"/>
      <c r="AE32" s="24">
        <v>30</v>
      </c>
      <c r="AF32" s="48">
        <f t="shared" si="43"/>
        <v>0</v>
      </c>
      <c r="AG32" s="278">
        <f t="shared" si="0"/>
        <v>0</v>
      </c>
      <c r="AH32" s="48">
        <f t="shared" si="47"/>
        <v>0</v>
      </c>
      <c r="AI32" s="34">
        <f t="shared" si="2"/>
        <v>73175</v>
      </c>
      <c r="AJ32" s="34"/>
      <c r="AK32" s="216">
        <f t="shared" si="3"/>
        <v>878.1</v>
      </c>
      <c r="AL32" s="216">
        <f t="shared" si="7"/>
        <v>277.3</v>
      </c>
      <c r="AM32" s="217">
        <v>0.30199999999999999</v>
      </c>
      <c r="AN32" s="221">
        <f t="shared" ref="AN32" si="48">AK32*0.22</f>
        <v>193.2</v>
      </c>
      <c r="AO32" s="50">
        <f t="shared" ref="AO32" si="49">865*0.029</f>
        <v>25.1</v>
      </c>
      <c r="AP32" s="50">
        <f t="shared" ref="AP32" si="50">AK32*0.053</f>
        <v>46.5</v>
      </c>
      <c r="AQ32" s="50">
        <f t="shared" ref="AQ32" si="51">SUM(AN32:AP32)</f>
        <v>264.8</v>
      </c>
      <c r="AS32" s="66"/>
    </row>
    <row r="33" spans="1:45" ht="25.5" x14ac:dyDescent="0.2">
      <c r="A33" s="278">
        <v>26</v>
      </c>
      <c r="B33" s="218" t="s">
        <v>108</v>
      </c>
      <c r="C33" s="54">
        <v>4</v>
      </c>
      <c r="D33" s="177">
        <v>8.4730000000000008</v>
      </c>
      <c r="E33" s="171">
        <f t="shared" si="40"/>
        <v>33.89</v>
      </c>
      <c r="F33" s="154">
        <f t="shared" si="32"/>
        <v>406.7</v>
      </c>
      <c r="G33" s="154"/>
      <c r="H33" s="154">
        <v>1.2</v>
      </c>
      <c r="I33" s="154"/>
      <c r="J33" s="154"/>
      <c r="K33" s="154">
        <f>D33*0.4*12+D33*0.35*12</f>
        <v>76.3</v>
      </c>
      <c r="L33" s="154">
        <f t="shared" si="4"/>
        <v>137.6</v>
      </c>
      <c r="M33" s="154">
        <f t="shared" si="33"/>
        <v>621.79999999999995</v>
      </c>
      <c r="N33" s="171">
        <v>0.47</v>
      </c>
      <c r="O33" s="154">
        <f t="shared" si="34"/>
        <v>292.2</v>
      </c>
      <c r="P33" s="154">
        <f t="shared" si="35"/>
        <v>914</v>
      </c>
      <c r="Q33" s="154">
        <f t="shared" si="36"/>
        <v>731.2</v>
      </c>
      <c r="R33" s="154">
        <f t="shared" si="37"/>
        <v>731.2</v>
      </c>
      <c r="S33" s="154">
        <f t="shared" si="38"/>
        <v>76</v>
      </c>
      <c r="T33" s="154">
        <f t="shared" si="39"/>
        <v>2452.4</v>
      </c>
      <c r="U33" s="2247"/>
      <c r="V33" s="154">
        <f t="shared" si="5"/>
        <v>2452.4</v>
      </c>
      <c r="W33" s="154">
        <f t="shared" si="31"/>
        <v>740.6</v>
      </c>
      <c r="X33" s="278">
        <v>1</v>
      </c>
      <c r="Y33" s="24">
        <v>30</v>
      </c>
      <c r="Z33" s="48">
        <f t="shared" si="41"/>
        <v>30</v>
      </c>
      <c r="AA33" s="54">
        <v>1</v>
      </c>
      <c r="AB33" s="24">
        <v>15</v>
      </c>
      <c r="AC33" s="48">
        <f t="shared" si="42"/>
        <v>15</v>
      </c>
      <c r="AD33" s="54"/>
      <c r="AE33" s="24">
        <v>30</v>
      </c>
      <c r="AF33" s="48">
        <f t="shared" si="43"/>
        <v>0</v>
      </c>
      <c r="AG33" s="278">
        <f t="shared" si="0"/>
        <v>13.5</v>
      </c>
      <c r="AH33" s="48">
        <f t="shared" si="47"/>
        <v>58.5</v>
      </c>
      <c r="AI33" s="34">
        <f t="shared" si="2"/>
        <v>51091.7</v>
      </c>
      <c r="AJ33" s="34"/>
      <c r="AK33" s="216">
        <f t="shared" si="3"/>
        <v>613.1</v>
      </c>
      <c r="AL33" s="216">
        <f t="shared" si="7"/>
        <v>229.1</v>
      </c>
      <c r="AM33" s="217">
        <v>0.30199999999999999</v>
      </c>
      <c r="AN33" s="223"/>
      <c r="AO33" s="62"/>
      <c r="AP33" s="62"/>
      <c r="AQ33" s="50">
        <f t="shared" si="11"/>
        <v>0</v>
      </c>
      <c r="AS33" s="66"/>
    </row>
    <row r="34" spans="1:45" ht="13.5" customHeight="1" x14ac:dyDescent="0.2">
      <c r="A34" s="278">
        <v>27</v>
      </c>
      <c r="B34" s="218" t="s">
        <v>56</v>
      </c>
      <c r="C34" s="57">
        <v>2</v>
      </c>
      <c r="D34" s="177">
        <v>11.061999999999999</v>
      </c>
      <c r="E34" s="171">
        <f t="shared" si="40"/>
        <v>22.12</v>
      </c>
      <c r="F34" s="154">
        <f t="shared" si="32"/>
        <v>265.39999999999998</v>
      </c>
      <c r="G34" s="154"/>
      <c r="H34" s="154">
        <v>1.1000000000000001</v>
      </c>
      <c r="I34" s="154"/>
      <c r="J34" s="154">
        <f>D34*0.1*2*12</f>
        <v>26.5</v>
      </c>
      <c r="K34" s="154">
        <f>D34*0.4*12+D34*0.25*12</f>
        <v>86.3</v>
      </c>
      <c r="L34" s="154">
        <f t="shared" si="4"/>
        <v>89.8</v>
      </c>
      <c r="M34" s="154">
        <f t="shared" si="33"/>
        <v>469.1</v>
      </c>
      <c r="N34" s="171">
        <v>0.43</v>
      </c>
      <c r="O34" s="154">
        <f t="shared" si="34"/>
        <v>201.7</v>
      </c>
      <c r="P34" s="154">
        <f t="shared" si="35"/>
        <v>670.8</v>
      </c>
      <c r="Q34" s="154">
        <f t="shared" si="36"/>
        <v>536.6</v>
      </c>
      <c r="R34" s="154">
        <f t="shared" si="37"/>
        <v>536.6</v>
      </c>
      <c r="S34" s="154">
        <f t="shared" si="38"/>
        <v>55.8</v>
      </c>
      <c r="T34" s="154">
        <f t="shared" si="39"/>
        <v>1799.8</v>
      </c>
      <c r="U34" s="2247"/>
      <c r="V34" s="154">
        <f t="shared" si="5"/>
        <v>1799.8</v>
      </c>
      <c r="W34" s="154">
        <f>AQ34*C34</f>
        <v>541.6</v>
      </c>
      <c r="X34" s="278">
        <v>2</v>
      </c>
      <c r="Y34" s="24">
        <v>30</v>
      </c>
      <c r="Z34" s="48">
        <f t="shared" si="41"/>
        <v>60</v>
      </c>
      <c r="AA34" s="54">
        <v>2</v>
      </c>
      <c r="AB34" s="24">
        <v>15</v>
      </c>
      <c r="AC34" s="48">
        <f t="shared" si="42"/>
        <v>30</v>
      </c>
      <c r="AD34" s="54"/>
      <c r="AE34" s="24">
        <v>30</v>
      </c>
      <c r="AF34" s="48">
        <f t="shared" si="43"/>
        <v>0</v>
      </c>
      <c r="AG34" s="278">
        <f t="shared" si="0"/>
        <v>27</v>
      </c>
      <c r="AH34" s="48">
        <f t="shared" si="47"/>
        <v>117</v>
      </c>
      <c r="AI34" s="34">
        <f t="shared" si="2"/>
        <v>74991.7</v>
      </c>
      <c r="AJ34" s="34"/>
      <c r="AK34" s="216">
        <f t="shared" si="3"/>
        <v>899.9</v>
      </c>
      <c r="AL34" s="216">
        <f t="shared" si="7"/>
        <v>281.3</v>
      </c>
      <c r="AM34" s="217">
        <v>0.30199999999999999</v>
      </c>
      <c r="AN34" s="221">
        <f t="shared" ref="AN34" si="52">AK34*0.22</f>
        <v>198</v>
      </c>
      <c r="AO34" s="50">
        <f t="shared" ref="AO34" si="53">865*0.029</f>
        <v>25.1</v>
      </c>
      <c r="AP34" s="50">
        <f t="shared" ref="AP34" si="54">AK34*0.053</f>
        <v>47.7</v>
      </c>
      <c r="AQ34" s="50">
        <f t="shared" ref="AQ34" si="55">SUM(AN34:AP34)</f>
        <v>270.8</v>
      </c>
      <c r="AS34" s="66"/>
    </row>
    <row r="35" spans="1:45" ht="25.5" x14ac:dyDescent="0.2">
      <c r="A35" s="278">
        <v>28</v>
      </c>
      <c r="B35" s="218" t="s">
        <v>101</v>
      </c>
      <c r="C35" s="57">
        <v>1</v>
      </c>
      <c r="D35" s="177">
        <v>11.061999999999999</v>
      </c>
      <c r="E35" s="171">
        <f>C35*D35</f>
        <v>11.06</v>
      </c>
      <c r="F35" s="154">
        <f t="shared" si="32"/>
        <v>132.69999999999999</v>
      </c>
      <c r="G35" s="154"/>
      <c r="H35" s="154">
        <v>4.8</v>
      </c>
      <c r="I35" s="154"/>
      <c r="J35" s="154"/>
      <c r="K35" s="154">
        <f>D35*0.25*12</f>
        <v>33.200000000000003</v>
      </c>
      <c r="L35" s="154">
        <f t="shared" si="4"/>
        <v>44.9</v>
      </c>
      <c r="M35" s="154">
        <f t="shared" si="33"/>
        <v>215.6</v>
      </c>
      <c r="N35" s="171">
        <v>0.43</v>
      </c>
      <c r="O35" s="154">
        <f t="shared" si="34"/>
        <v>92.7</v>
      </c>
      <c r="P35" s="154">
        <f t="shared" si="35"/>
        <v>308.3</v>
      </c>
      <c r="Q35" s="154">
        <f t="shared" si="36"/>
        <v>246.6</v>
      </c>
      <c r="R35" s="154">
        <f t="shared" si="37"/>
        <v>246.6</v>
      </c>
      <c r="S35" s="154">
        <f t="shared" si="38"/>
        <v>25.6</v>
      </c>
      <c r="T35" s="154">
        <f t="shared" si="39"/>
        <v>827.1</v>
      </c>
      <c r="U35" s="2247"/>
      <c r="V35" s="154">
        <f t="shared" si="5"/>
        <v>827.1</v>
      </c>
      <c r="W35" s="154">
        <f t="shared" si="31"/>
        <v>249.8</v>
      </c>
      <c r="X35" s="278">
        <v>1</v>
      </c>
      <c r="Y35" s="24">
        <v>30</v>
      </c>
      <c r="Z35" s="48">
        <f t="shared" si="41"/>
        <v>30</v>
      </c>
      <c r="AA35" s="54"/>
      <c r="AB35" s="24">
        <v>15</v>
      </c>
      <c r="AC35" s="48">
        <f t="shared" si="42"/>
        <v>0</v>
      </c>
      <c r="AD35" s="54"/>
      <c r="AE35" s="24">
        <v>30</v>
      </c>
      <c r="AF35" s="48">
        <f t="shared" si="43"/>
        <v>0</v>
      </c>
      <c r="AG35" s="278">
        <f t="shared" si="0"/>
        <v>9</v>
      </c>
      <c r="AH35" s="48">
        <f t="shared" si="47"/>
        <v>39</v>
      </c>
      <c r="AI35" s="34">
        <f t="shared" si="2"/>
        <v>68925</v>
      </c>
      <c r="AJ35" s="34"/>
      <c r="AK35" s="216">
        <f t="shared" si="3"/>
        <v>827.1</v>
      </c>
      <c r="AL35" s="216">
        <f t="shared" si="7"/>
        <v>268</v>
      </c>
      <c r="AM35" s="217">
        <v>0.30199999999999999</v>
      </c>
      <c r="AN35" s="62"/>
      <c r="AO35" s="62"/>
      <c r="AP35" s="62"/>
      <c r="AQ35" s="50">
        <f t="shared" si="11"/>
        <v>0</v>
      </c>
      <c r="AS35" s="66"/>
    </row>
    <row r="36" spans="1:45" x14ac:dyDescent="0.2">
      <c r="A36" s="278">
        <v>29</v>
      </c>
      <c r="B36" s="218" t="s">
        <v>33</v>
      </c>
      <c r="C36" s="57">
        <v>1</v>
      </c>
      <c r="D36" s="177">
        <v>8.4730000000000008</v>
      </c>
      <c r="E36" s="171">
        <f>C36*D36</f>
        <v>8.4700000000000006</v>
      </c>
      <c r="F36" s="154">
        <f t="shared" si="32"/>
        <v>101.6</v>
      </c>
      <c r="G36" s="154"/>
      <c r="H36" s="154">
        <v>2.9</v>
      </c>
      <c r="I36" s="154"/>
      <c r="J36" s="154"/>
      <c r="K36" s="154"/>
      <c r="L36" s="154">
        <f t="shared" si="4"/>
        <v>34.4</v>
      </c>
      <c r="M36" s="154">
        <f t="shared" si="33"/>
        <v>138.9</v>
      </c>
      <c r="N36" s="171">
        <v>0.41</v>
      </c>
      <c r="O36" s="154">
        <f t="shared" si="34"/>
        <v>56.9</v>
      </c>
      <c r="P36" s="154">
        <f t="shared" si="35"/>
        <v>195.8</v>
      </c>
      <c r="Q36" s="154">
        <f t="shared" si="36"/>
        <v>156.6</v>
      </c>
      <c r="R36" s="154">
        <f t="shared" si="37"/>
        <v>156.6</v>
      </c>
      <c r="S36" s="154">
        <f t="shared" si="38"/>
        <v>16.3</v>
      </c>
      <c r="T36" s="154">
        <f t="shared" si="39"/>
        <v>525.29999999999995</v>
      </c>
      <c r="U36" s="2247"/>
      <c r="V36" s="154">
        <f t="shared" si="5"/>
        <v>525.29999999999995</v>
      </c>
      <c r="W36" s="154">
        <f t="shared" si="31"/>
        <v>158.6</v>
      </c>
      <c r="X36" s="278"/>
      <c r="Y36" s="24">
        <v>30</v>
      </c>
      <c r="Z36" s="48">
        <f t="shared" si="41"/>
        <v>0</v>
      </c>
      <c r="AA36" s="54"/>
      <c r="AB36" s="24">
        <v>15</v>
      </c>
      <c r="AC36" s="48">
        <f t="shared" si="42"/>
        <v>0</v>
      </c>
      <c r="AD36" s="54"/>
      <c r="AE36" s="24">
        <v>30</v>
      </c>
      <c r="AF36" s="48">
        <f t="shared" si="43"/>
        <v>0</v>
      </c>
      <c r="AG36" s="278">
        <f t="shared" si="0"/>
        <v>0</v>
      </c>
      <c r="AH36" s="48">
        <f t="shared" si="47"/>
        <v>0</v>
      </c>
      <c r="AI36" s="34">
        <f t="shared" si="2"/>
        <v>43775</v>
      </c>
      <c r="AJ36" s="34"/>
      <c r="AK36" s="216">
        <f t="shared" si="3"/>
        <v>525.29999999999995</v>
      </c>
      <c r="AL36" s="216">
        <f t="shared" si="7"/>
        <v>213.1</v>
      </c>
      <c r="AM36" s="217">
        <v>0.30199999999999999</v>
      </c>
      <c r="AN36" s="76"/>
      <c r="AO36" s="76"/>
      <c r="AP36" s="76"/>
      <c r="AQ36" s="50">
        <f t="shared" si="11"/>
        <v>0</v>
      </c>
      <c r="AS36" s="66"/>
    </row>
    <row r="37" spans="1:45" ht="25.5" x14ac:dyDescent="0.2">
      <c r="A37" s="278">
        <v>30</v>
      </c>
      <c r="B37" s="218" t="s">
        <v>130</v>
      </c>
      <c r="C37" s="57">
        <v>1</v>
      </c>
      <c r="D37" s="177">
        <v>8.4730000000000008</v>
      </c>
      <c r="E37" s="171">
        <f t="shared" ref="E37" si="56">C37*D37</f>
        <v>8.4700000000000006</v>
      </c>
      <c r="F37" s="154">
        <f>E37*12</f>
        <v>101.6</v>
      </c>
      <c r="G37" s="154"/>
      <c r="H37" s="154"/>
      <c r="I37" s="154"/>
      <c r="J37" s="154"/>
      <c r="K37" s="154"/>
      <c r="L37" s="154">
        <f t="shared" si="4"/>
        <v>34.4</v>
      </c>
      <c r="M37" s="154">
        <f t="shared" si="33"/>
        <v>136</v>
      </c>
      <c r="N37" s="171">
        <v>0.47</v>
      </c>
      <c r="O37" s="154">
        <f t="shared" si="34"/>
        <v>63.9</v>
      </c>
      <c r="P37" s="154">
        <f t="shared" si="35"/>
        <v>199.9</v>
      </c>
      <c r="Q37" s="154">
        <f t="shared" si="36"/>
        <v>159.9</v>
      </c>
      <c r="R37" s="154">
        <f t="shared" si="37"/>
        <v>159.9</v>
      </c>
      <c r="S37" s="154">
        <f t="shared" si="38"/>
        <v>16.600000000000001</v>
      </c>
      <c r="T37" s="154">
        <f t="shared" si="39"/>
        <v>536.29999999999995</v>
      </c>
      <c r="U37" s="2247"/>
      <c r="V37" s="154">
        <f t="shared" si="5"/>
        <v>536.29999999999995</v>
      </c>
      <c r="W37" s="154">
        <f t="shared" si="31"/>
        <v>162</v>
      </c>
      <c r="X37" s="278"/>
      <c r="Y37" s="24">
        <v>30</v>
      </c>
      <c r="Z37" s="48">
        <f t="shared" si="41"/>
        <v>0</v>
      </c>
      <c r="AA37" s="54"/>
      <c r="AB37" s="24">
        <v>15</v>
      </c>
      <c r="AC37" s="48">
        <f t="shared" si="42"/>
        <v>0</v>
      </c>
      <c r="AD37" s="54"/>
      <c r="AE37" s="24">
        <v>30</v>
      </c>
      <c r="AF37" s="48">
        <f t="shared" si="43"/>
        <v>0</v>
      </c>
      <c r="AG37" s="278">
        <f t="shared" si="0"/>
        <v>0</v>
      </c>
      <c r="AH37" s="48">
        <f t="shared" si="47"/>
        <v>0</v>
      </c>
      <c r="AI37" s="34">
        <f>V37/11/C37*1000</f>
        <v>48754.5</v>
      </c>
      <c r="AJ37" s="34"/>
      <c r="AK37" s="216">
        <f t="shared" si="3"/>
        <v>536.29999999999995</v>
      </c>
      <c r="AL37" s="216">
        <f t="shared" si="7"/>
        <v>215.1</v>
      </c>
      <c r="AM37" s="217">
        <v>0.30199999999999999</v>
      </c>
      <c r="AN37" s="62"/>
      <c r="AO37" s="62"/>
      <c r="AP37" s="62"/>
      <c r="AQ37" s="50">
        <f t="shared" si="11"/>
        <v>0</v>
      </c>
      <c r="AS37" s="66"/>
    </row>
    <row r="38" spans="1:45" ht="25.5" x14ac:dyDescent="0.2">
      <c r="A38" s="278">
        <v>31</v>
      </c>
      <c r="B38" s="218" t="s">
        <v>109</v>
      </c>
      <c r="C38" s="57">
        <v>1</v>
      </c>
      <c r="D38" s="177">
        <v>4.4569999999999999</v>
      </c>
      <c r="E38" s="171">
        <f t="shared" si="40"/>
        <v>4.46</v>
      </c>
      <c r="F38" s="154">
        <f t="shared" si="32"/>
        <v>53.5</v>
      </c>
      <c r="G38" s="154"/>
      <c r="H38" s="154">
        <v>1.7</v>
      </c>
      <c r="I38" s="154"/>
      <c r="J38" s="154"/>
      <c r="K38" s="154"/>
      <c r="L38" s="154">
        <v>26</v>
      </c>
      <c r="M38" s="154">
        <f t="shared" si="33"/>
        <v>81.2</v>
      </c>
      <c r="N38" s="171">
        <v>0.61</v>
      </c>
      <c r="O38" s="154">
        <f t="shared" si="34"/>
        <v>49.5</v>
      </c>
      <c r="P38" s="154">
        <f t="shared" si="35"/>
        <v>130.69999999999999</v>
      </c>
      <c r="Q38" s="154">
        <f t="shared" si="36"/>
        <v>104.6</v>
      </c>
      <c r="R38" s="154">
        <f t="shared" si="37"/>
        <v>104.6</v>
      </c>
      <c r="S38" s="154">
        <f t="shared" si="38"/>
        <v>10.9</v>
      </c>
      <c r="T38" s="154">
        <f t="shared" si="39"/>
        <v>350.8</v>
      </c>
      <c r="U38" s="2247"/>
      <c r="V38" s="154">
        <f t="shared" si="5"/>
        <v>350.8</v>
      </c>
      <c r="W38" s="154">
        <f t="shared" si="31"/>
        <v>105.9</v>
      </c>
      <c r="X38" s="278">
        <v>1</v>
      </c>
      <c r="Y38" s="24">
        <v>30</v>
      </c>
      <c r="Z38" s="48">
        <f t="shared" si="41"/>
        <v>30</v>
      </c>
      <c r="AA38" s="278">
        <v>1</v>
      </c>
      <c r="AB38" s="24">
        <v>15</v>
      </c>
      <c r="AC38" s="48">
        <f t="shared" si="42"/>
        <v>15</v>
      </c>
      <c r="AD38" s="278"/>
      <c r="AE38" s="24">
        <v>30</v>
      </c>
      <c r="AF38" s="48">
        <f t="shared" si="43"/>
        <v>0</v>
      </c>
      <c r="AG38" s="278">
        <f t="shared" si="0"/>
        <v>13.5</v>
      </c>
      <c r="AH38" s="48">
        <f t="shared" si="47"/>
        <v>58.5</v>
      </c>
      <c r="AI38" s="34">
        <f>V38/12/C38*1000</f>
        <v>29233.3</v>
      </c>
      <c r="AJ38" s="34"/>
      <c r="AK38" s="216">
        <f t="shared" si="3"/>
        <v>350.8</v>
      </c>
      <c r="AL38" s="216">
        <f t="shared" si="7"/>
        <v>181.3</v>
      </c>
      <c r="AM38" s="217">
        <v>0.30199999999999999</v>
      </c>
      <c r="AN38" s="76"/>
      <c r="AO38" s="76"/>
      <c r="AP38" s="76"/>
      <c r="AQ38" s="50">
        <f t="shared" si="11"/>
        <v>0</v>
      </c>
      <c r="AS38" s="66"/>
    </row>
    <row r="39" spans="1:45" ht="15.75" customHeight="1" x14ac:dyDescent="0.2">
      <c r="A39" s="278">
        <v>32</v>
      </c>
      <c r="B39" s="218" t="s">
        <v>57</v>
      </c>
      <c r="C39" s="49">
        <f>2-0.5</f>
        <v>1.5</v>
      </c>
      <c r="D39" s="177">
        <v>4.3769999999999998</v>
      </c>
      <c r="E39" s="171">
        <f t="shared" si="40"/>
        <v>6.57</v>
      </c>
      <c r="F39" s="215">
        <f t="shared" si="32"/>
        <v>78.8</v>
      </c>
      <c r="G39" s="154"/>
      <c r="H39" s="154">
        <v>1.4</v>
      </c>
      <c r="I39" s="154"/>
      <c r="J39" s="154"/>
      <c r="K39" s="154"/>
      <c r="L39" s="154">
        <v>70</v>
      </c>
      <c r="M39" s="154">
        <f t="shared" si="33"/>
        <v>150.19999999999999</v>
      </c>
      <c r="N39" s="171">
        <v>0.49</v>
      </c>
      <c r="O39" s="154">
        <f t="shared" si="34"/>
        <v>73.599999999999994</v>
      </c>
      <c r="P39" s="154">
        <f t="shared" si="35"/>
        <v>223.8</v>
      </c>
      <c r="Q39" s="154">
        <f t="shared" si="36"/>
        <v>179</v>
      </c>
      <c r="R39" s="154">
        <f t="shared" si="37"/>
        <v>179</v>
      </c>
      <c r="S39" s="154">
        <f t="shared" si="38"/>
        <v>18.600000000000001</v>
      </c>
      <c r="T39" s="154">
        <f t="shared" si="39"/>
        <v>600.4</v>
      </c>
      <c r="U39" s="2247"/>
      <c r="V39" s="154">
        <f t="shared" si="5"/>
        <v>600.4</v>
      </c>
      <c r="W39" s="154">
        <f t="shared" si="31"/>
        <v>181.3</v>
      </c>
      <c r="X39" s="278"/>
      <c r="Y39" s="24">
        <v>30</v>
      </c>
      <c r="Z39" s="48">
        <f>X39*Y39</f>
        <v>0</v>
      </c>
      <c r="AA39" s="278"/>
      <c r="AB39" s="24">
        <v>15</v>
      </c>
      <c r="AC39" s="48">
        <f>AA39*AB39</f>
        <v>0</v>
      </c>
      <c r="AD39" s="278"/>
      <c r="AE39" s="24">
        <v>30</v>
      </c>
      <c r="AF39" s="48">
        <f t="shared" si="43"/>
        <v>0</v>
      </c>
      <c r="AG39" s="278">
        <f t="shared" si="0"/>
        <v>0</v>
      </c>
      <c r="AH39" s="48">
        <f t="shared" si="47"/>
        <v>0</v>
      </c>
      <c r="AI39" s="34">
        <f>V39/12/C39*1000</f>
        <v>33355.599999999999</v>
      </c>
      <c r="AJ39" s="34"/>
      <c r="AK39" s="216">
        <f t="shared" si="3"/>
        <v>400.3</v>
      </c>
      <c r="AL39" s="216">
        <f t="shared" si="7"/>
        <v>190.3</v>
      </c>
      <c r="AM39" s="217">
        <v>0.30199999999999999</v>
      </c>
      <c r="AN39" s="76"/>
      <c r="AO39" s="76"/>
      <c r="AP39" s="76"/>
      <c r="AQ39" s="50">
        <f t="shared" si="11"/>
        <v>0</v>
      </c>
      <c r="AS39" s="66"/>
    </row>
    <row r="40" spans="1:45" x14ac:dyDescent="0.2">
      <c r="A40" s="278">
        <v>33</v>
      </c>
      <c r="B40" s="218" t="s">
        <v>92</v>
      </c>
      <c r="C40" s="224">
        <v>1</v>
      </c>
      <c r="D40" s="177">
        <v>4.3769999999999998</v>
      </c>
      <c r="E40" s="171">
        <f t="shared" si="40"/>
        <v>4.38</v>
      </c>
      <c r="F40" s="154">
        <f t="shared" si="32"/>
        <v>52.6</v>
      </c>
      <c r="G40" s="154"/>
      <c r="H40" s="154">
        <f>2773.8/1000</f>
        <v>2.8</v>
      </c>
      <c r="I40" s="154"/>
      <c r="J40" s="154"/>
      <c r="K40" s="154"/>
      <c r="L40" s="154">
        <v>38.1</v>
      </c>
      <c r="M40" s="154">
        <f t="shared" si="33"/>
        <v>93.5</v>
      </c>
      <c r="N40" s="171">
        <v>0.47</v>
      </c>
      <c r="O40" s="154">
        <f t="shared" si="34"/>
        <v>43.9</v>
      </c>
      <c r="P40" s="154">
        <f t="shared" si="35"/>
        <v>137.4</v>
      </c>
      <c r="Q40" s="154">
        <f t="shared" si="36"/>
        <v>109.9</v>
      </c>
      <c r="R40" s="154">
        <f t="shared" si="37"/>
        <v>109.9</v>
      </c>
      <c r="S40" s="154">
        <f t="shared" si="38"/>
        <v>11.4</v>
      </c>
      <c r="T40" s="154">
        <f t="shared" si="39"/>
        <v>368.6</v>
      </c>
      <c r="U40" s="2247"/>
      <c r="V40" s="154">
        <f t="shared" si="5"/>
        <v>368.6</v>
      </c>
      <c r="W40" s="154">
        <f t="shared" si="31"/>
        <v>111.3</v>
      </c>
      <c r="X40" s="278">
        <v>1</v>
      </c>
      <c r="Y40" s="24">
        <v>30</v>
      </c>
      <c r="Z40" s="48">
        <f>X40*Y40</f>
        <v>30</v>
      </c>
      <c r="AA40" s="278"/>
      <c r="AB40" s="24">
        <v>15</v>
      </c>
      <c r="AC40" s="48">
        <f>AA40*AB40</f>
        <v>0</v>
      </c>
      <c r="AD40" s="278"/>
      <c r="AE40" s="24">
        <v>30</v>
      </c>
      <c r="AF40" s="48">
        <f t="shared" si="43"/>
        <v>0</v>
      </c>
      <c r="AG40" s="278">
        <f t="shared" si="0"/>
        <v>9</v>
      </c>
      <c r="AH40" s="48">
        <f t="shared" si="47"/>
        <v>39</v>
      </c>
      <c r="AI40" s="34">
        <f>V40/12/C40*1000</f>
        <v>30716.7</v>
      </c>
      <c r="AJ40" s="34"/>
      <c r="AK40" s="216">
        <f t="shared" si="3"/>
        <v>368.6</v>
      </c>
      <c r="AL40" s="216">
        <f t="shared" si="7"/>
        <v>184.6</v>
      </c>
      <c r="AM40" s="217">
        <v>0.30199999999999999</v>
      </c>
      <c r="AN40" s="76"/>
      <c r="AO40" s="76"/>
      <c r="AP40" s="76"/>
      <c r="AQ40" s="50">
        <f t="shared" si="11"/>
        <v>0</v>
      </c>
      <c r="AS40" s="66"/>
    </row>
    <row r="41" spans="1:45" ht="25.5" x14ac:dyDescent="0.2">
      <c r="A41" s="278">
        <v>34</v>
      </c>
      <c r="B41" s="218" t="s">
        <v>102</v>
      </c>
      <c r="C41" s="58">
        <v>2</v>
      </c>
      <c r="D41" s="177">
        <v>4.3769999999999998</v>
      </c>
      <c r="E41" s="171">
        <f>C41*D41</f>
        <v>8.75</v>
      </c>
      <c r="F41" s="215">
        <f t="shared" si="32"/>
        <v>105</v>
      </c>
      <c r="G41" s="154"/>
      <c r="H41" s="154">
        <v>3.3</v>
      </c>
      <c r="I41" s="154"/>
      <c r="J41" s="154"/>
      <c r="K41" s="154"/>
      <c r="L41" s="154">
        <v>70</v>
      </c>
      <c r="M41" s="154">
        <f t="shared" si="33"/>
        <v>178.3</v>
      </c>
      <c r="N41" s="171">
        <v>0.49</v>
      </c>
      <c r="O41" s="154">
        <f t="shared" si="34"/>
        <v>87.4</v>
      </c>
      <c r="P41" s="154">
        <f t="shared" si="35"/>
        <v>265.7</v>
      </c>
      <c r="Q41" s="154">
        <f t="shared" si="36"/>
        <v>212.6</v>
      </c>
      <c r="R41" s="154">
        <f t="shared" si="37"/>
        <v>212.6</v>
      </c>
      <c r="S41" s="154">
        <f t="shared" si="38"/>
        <v>22.1</v>
      </c>
      <c r="T41" s="154">
        <f t="shared" si="39"/>
        <v>713</v>
      </c>
      <c r="U41" s="2247"/>
      <c r="V41" s="154">
        <f t="shared" si="5"/>
        <v>713</v>
      </c>
      <c r="W41" s="154">
        <f t="shared" si="31"/>
        <v>215.3</v>
      </c>
      <c r="X41" s="278">
        <v>1</v>
      </c>
      <c r="Y41" s="24">
        <v>30</v>
      </c>
      <c r="Z41" s="48">
        <f>X41*Y41</f>
        <v>30</v>
      </c>
      <c r="AA41" s="278"/>
      <c r="AB41" s="24">
        <v>15</v>
      </c>
      <c r="AC41" s="48">
        <f>AA41*AB41</f>
        <v>0</v>
      </c>
      <c r="AD41" s="278"/>
      <c r="AE41" s="24">
        <v>30</v>
      </c>
      <c r="AF41" s="48">
        <f t="shared" si="43"/>
        <v>0</v>
      </c>
      <c r="AG41" s="278">
        <f t="shared" si="0"/>
        <v>9</v>
      </c>
      <c r="AH41" s="48">
        <f t="shared" si="47"/>
        <v>39</v>
      </c>
      <c r="AI41" s="34">
        <f>V41/12/C41*1000</f>
        <v>29708.3</v>
      </c>
      <c r="AJ41" s="34"/>
      <c r="AK41" s="216">
        <f t="shared" si="3"/>
        <v>356.5</v>
      </c>
      <c r="AL41" s="216">
        <f t="shared" si="7"/>
        <v>182.4</v>
      </c>
      <c r="AM41" s="217">
        <v>0.30199999999999999</v>
      </c>
      <c r="AN41" s="76"/>
      <c r="AO41" s="76"/>
      <c r="AP41" s="76"/>
      <c r="AQ41" s="50">
        <f t="shared" si="11"/>
        <v>0</v>
      </c>
      <c r="AS41" s="66"/>
    </row>
    <row r="42" spans="1:45" x14ac:dyDescent="0.2">
      <c r="A42" s="225" t="s">
        <v>126</v>
      </c>
      <c r="B42" s="218"/>
      <c r="C42" s="58"/>
      <c r="D42" s="177"/>
      <c r="E42" s="171"/>
      <c r="F42" s="215"/>
      <c r="G42" s="154"/>
      <c r="H42" s="154"/>
      <c r="I42" s="154"/>
      <c r="J42" s="154"/>
      <c r="K42" s="154"/>
      <c r="L42" s="154"/>
      <c r="M42" s="154"/>
      <c r="N42" s="171"/>
      <c r="O42" s="154"/>
      <c r="P42" s="154"/>
      <c r="Q42" s="154"/>
      <c r="R42" s="154"/>
      <c r="S42" s="154"/>
      <c r="T42" s="154"/>
      <c r="U42" s="2247"/>
      <c r="V42" s="154"/>
      <c r="W42" s="154">
        <f t="shared" si="31"/>
        <v>0</v>
      </c>
      <c r="X42" s="278"/>
      <c r="Y42" s="24"/>
      <c r="Z42" s="48"/>
      <c r="AA42" s="278"/>
      <c r="AB42" s="24"/>
      <c r="AC42" s="48"/>
      <c r="AD42" s="278"/>
      <c r="AE42" s="24"/>
      <c r="AF42" s="48"/>
      <c r="AG42" s="278">
        <f t="shared" si="0"/>
        <v>0</v>
      </c>
      <c r="AH42" s="48"/>
      <c r="AJ42" s="34"/>
      <c r="AK42" s="216"/>
      <c r="AL42" s="216"/>
      <c r="AM42" s="217"/>
      <c r="AN42" s="76"/>
      <c r="AO42" s="76"/>
      <c r="AP42" s="76"/>
      <c r="AQ42" s="50">
        <f t="shared" si="11"/>
        <v>0</v>
      </c>
      <c r="AS42" s="66"/>
    </row>
    <row r="43" spans="1:45" x14ac:dyDescent="0.2">
      <c r="A43" s="278">
        <v>35</v>
      </c>
      <c r="B43" s="52" t="s">
        <v>17</v>
      </c>
      <c r="C43" s="278">
        <v>1</v>
      </c>
      <c r="D43" s="177">
        <v>12.335000000000001</v>
      </c>
      <c r="E43" s="226">
        <f>C43*D43</f>
        <v>12.34</v>
      </c>
      <c r="F43" s="227">
        <f>E43*12</f>
        <v>148.1</v>
      </c>
      <c r="G43" s="154"/>
      <c r="H43" s="154">
        <v>1.3</v>
      </c>
      <c r="I43" s="154"/>
      <c r="J43" s="154"/>
      <c r="K43" s="154">
        <f>F43*0.4</f>
        <v>59.2</v>
      </c>
      <c r="L43" s="154">
        <f t="shared" si="4"/>
        <v>50.1</v>
      </c>
      <c r="M43" s="154">
        <f>F43+G43+H43+I43+J43+K43+L43</f>
        <v>258.7</v>
      </c>
      <c r="N43" s="171">
        <v>0.47</v>
      </c>
      <c r="O43" s="154">
        <f>M43*N43</f>
        <v>121.6</v>
      </c>
      <c r="P43" s="154">
        <f>M43+O43</f>
        <v>380.3</v>
      </c>
      <c r="Q43" s="154">
        <f>P43*0.8</f>
        <v>304.2</v>
      </c>
      <c r="R43" s="154">
        <f>P43*0.8</f>
        <v>304.2</v>
      </c>
      <c r="S43" s="154">
        <f>(P43+Q43+R43)*0.032</f>
        <v>31.6</v>
      </c>
      <c r="T43" s="154">
        <f>P43+Q43+R43+S43</f>
        <v>1020.3</v>
      </c>
      <c r="U43" s="2247"/>
      <c r="V43" s="154">
        <f t="shared" si="5"/>
        <v>1020.3</v>
      </c>
      <c r="W43" s="154">
        <f>AQ43</f>
        <v>303.7</v>
      </c>
      <c r="X43" s="278">
        <v>1</v>
      </c>
      <c r="Y43" s="24">
        <v>35</v>
      </c>
      <c r="Z43" s="48">
        <f>X43*Y43</f>
        <v>35</v>
      </c>
      <c r="AA43" s="278"/>
      <c r="AB43" s="24">
        <v>17.5</v>
      </c>
      <c r="AC43" s="48">
        <f>AA43*AB43</f>
        <v>0</v>
      </c>
      <c r="AD43" s="278"/>
      <c r="AE43" s="24">
        <v>35</v>
      </c>
      <c r="AF43" s="48">
        <f>AD43*AE43</f>
        <v>0</v>
      </c>
      <c r="AG43" s="278">
        <f t="shared" si="0"/>
        <v>10.5</v>
      </c>
      <c r="AH43" s="48">
        <f>Z43+AC43+AF43+AG43</f>
        <v>45.5</v>
      </c>
      <c r="AI43" s="39">
        <f t="shared" ref="AI43:AI51" si="57">V43/12/C43*1000</f>
        <v>85025</v>
      </c>
      <c r="AJ43" s="34"/>
      <c r="AK43" s="34">
        <f t="shared" ref="AK43:AK51" si="58">V43/C43</f>
        <v>1020.3</v>
      </c>
      <c r="AL43" s="34">
        <f>((979*0.302)+((AK43-979)*0.182))</f>
        <v>303.2</v>
      </c>
      <c r="AM43" s="51">
        <f>AL43/AK43</f>
        <v>0.29699999999999999</v>
      </c>
      <c r="AN43" s="50">
        <f t="shared" ref="AN43" si="59">AK43*0.22</f>
        <v>224.5</v>
      </c>
      <c r="AO43" s="50">
        <f t="shared" ref="AO43" si="60">865*0.029</f>
        <v>25.1</v>
      </c>
      <c r="AP43" s="50">
        <f t="shared" ref="AP43" si="61">AK43*0.053</f>
        <v>54.1</v>
      </c>
      <c r="AQ43" s="50">
        <f t="shared" si="11"/>
        <v>303.7</v>
      </c>
      <c r="AR43" s="51"/>
    </row>
    <row r="44" spans="1:45" x14ac:dyDescent="0.2">
      <c r="A44" s="278">
        <v>36</v>
      </c>
      <c r="B44" s="52" t="s">
        <v>38</v>
      </c>
      <c r="C44" s="167">
        <f>2-0.25</f>
        <v>1.75</v>
      </c>
      <c r="D44" s="177">
        <v>6.2859999999999996</v>
      </c>
      <c r="E44" s="171">
        <f t="shared" ref="E44:E51" si="62">C44*D44</f>
        <v>11</v>
      </c>
      <c r="F44" s="154">
        <f t="shared" ref="F44:F51" si="63">E44*12</f>
        <v>132</v>
      </c>
      <c r="G44" s="154">
        <f>74.5/1000</f>
        <v>0.1</v>
      </c>
      <c r="H44" s="154">
        <v>2</v>
      </c>
      <c r="I44" s="154"/>
      <c r="J44" s="154"/>
      <c r="K44" s="154"/>
      <c r="L44" s="154">
        <f t="shared" si="4"/>
        <v>44.7</v>
      </c>
      <c r="M44" s="154">
        <f t="shared" ref="M44:M51" si="64">F44+G44+H44+I44+J44+K44+L44</f>
        <v>178.8</v>
      </c>
      <c r="N44" s="171">
        <v>0.45</v>
      </c>
      <c r="O44" s="154">
        <f t="shared" ref="O44:O51" si="65">M44*N44</f>
        <v>80.5</v>
      </c>
      <c r="P44" s="154">
        <f t="shared" ref="P44:P51" si="66">M44+O44</f>
        <v>259.3</v>
      </c>
      <c r="Q44" s="154">
        <f t="shared" ref="Q44:Q51" si="67">P44*0.8</f>
        <v>207.4</v>
      </c>
      <c r="R44" s="154">
        <f t="shared" ref="R44:R51" si="68">P44*0.8</f>
        <v>207.4</v>
      </c>
      <c r="S44" s="154">
        <f t="shared" ref="S44:S51" si="69">(P44+Q44+R44)*0.032</f>
        <v>21.6</v>
      </c>
      <c r="T44" s="154">
        <f t="shared" ref="T44:T51" si="70">P44+Q44+R44+S44</f>
        <v>695.7</v>
      </c>
      <c r="U44" s="2247"/>
      <c r="V44" s="154">
        <f t="shared" si="5"/>
        <v>695.7</v>
      </c>
      <c r="W44" s="154">
        <f t="shared" si="31"/>
        <v>210.1</v>
      </c>
      <c r="X44" s="278">
        <v>1</v>
      </c>
      <c r="Y44" s="24">
        <v>35</v>
      </c>
      <c r="Z44" s="48">
        <f t="shared" ref="Z44:Z51" si="71">X44*Y44</f>
        <v>35</v>
      </c>
      <c r="AA44" s="54"/>
      <c r="AB44" s="24">
        <v>17.5</v>
      </c>
      <c r="AC44" s="48">
        <f t="shared" ref="AC44:AC51" si="72">AA44*AB44</f>
        <v>0</v>
      </c>
      <c r="AD44" s="54"/>
      <c r="AE44" s="24">
        <v>35</v>
      </c>
      <c r="AF44" s="48">
        <f t="shared" ref="AF44:AF51" si="73">AD44*AE44</f>
        <v>0</v>
      </c>
      <c r="AG44" s="278">
        <f t="shared" si="0"/>
        <v>10.5</v>
      </c>
      <c r="AH44" s="48">
        <f t="shared" ref="AH44:AH51" si="74">Z44+AC44+AF44+AG44</f>
        <v>45.5</v>
      </c>
      <c r="AI44" s="39">
        <f t="shared" si="57"/>
        <v>33128.57</v>
      </c>
      <c r="AJ44" s="34"/>
      <c r="AK44" s="34">
        <f t="shared" si="58"/>
        <v>397.5</v>
      </c>
      <c r="AL44" s="34">
        <f t="shared" ref="AL44:AL51" si="75">((979*0.302)+((AK44-979)*0.182))</f>
        <v>189.8</v>
      </c>
      <c r="AM44" s="51">
        <v>0.30199999999999999</v>
      </c>
      <c r="AN44" s="50"/>
      <c r="AO44" s="50"/>
      <c r="AP44" s="50"/>
      <c r="AQ44" s="50">
        <f t="shared" si="11"/>
        <v>0</v>
      </c>
      <c r="AR44" s="51"/>
    </row>
    <row r="45" spans="1:45" ht="12" customHeight="1" x14ac:dyDescent="0.2">
      <c r="A45" s="278">
        <v>37</v>
      </c>
      <c r="B45" s="44" t="s">
        <v>104</v>
      </c>
      <c r="C45" s="54">
        <v>1</v>
      </c>
      <c r="D45" s="177">
        <v>8.4730000000000008</v>
      </c>
      <c r="E45" s="171">
        <f t="shared" si="62"/>
        <v>8.4700000000000006</v>
      </c>
      <c r="F45" s="154">
        <f t="shared" si="63"/>
        <v>101.6</v>
      </c>
      <c r="G45" s="154"/>
      <c r="H45" s="154"/>
      <c r="I45" s="154"/>
      <c r="J45" s="154"/>
      <c r="K45" s="154"/>
      <c r="L45" s="154">
        <f t="shared" si="4"/>
        <v>34.4</v>
      </c>
      <c r="M45" s="154">
        <f t="shared" si="64"/>
        <v>136</v>
      </c>
      <c r="N45" s="171">
        <v>0.41</v>
      </c>
      <c r="O45" s="154">
        <f t="shared" si="65"/>
        <v>55.8</v>
      </c>
      <c r="P45" s="154">
        <f t="shared" si="66"/>
        <v>191.8</v>
      </c>
      <c r="Q45" s="154">
        <f t="shared" si="67"/>
        <v>153.4</v>
      </c>
      <c r="R45" s="154">
        <f t="shared" si="68"/>
        <v>153.4</v>
      </c>
      <c r="S45" s="154">
        <f t="shared" si="69"/>
        <v>16</v>
      </c>
      <c r="T45" s="154">
        <f t="shared" si="70"/>
        <v>514.6</v>
      </c>
      <c r="U45" s="2247"/>
      <c r="V45" s="154">
        <f t="shared" si="5"/>
        <v>514.6</v>
      </c>
      <c r="W45" s="154">
        <f t="shared" si="31"/>
        <v>155.4</v>
      </c>
      <c r="X45" s="278">
        <v>1</v>
      </c>
      <c r="Y45" s="24">
        <v>35</v>
      </c>
      <c r="Z45" s="48">
        <f t="shared" si="71"/>
        <v>35</v>
      </c>
      <c r="AA45" s="54"/>
      <c r="AB45" s="24">
        <v>17.5</v>
      </c>
      <c r="AC45" s="48">
        <f t="shared" si="72"/>
        <v>0</v>
      </c>
      <c r="AD45" s="54">
        <v>1</v>
      </c>
      <c r="AE45" s="24">
        <v>35</v>
      </c>
      <c r="AF45" s="48">
        <f t="shared" si="73"/>
        <v>35</v>
      </c>
      <c r="AG45" s="278">
        <f t="shared" si="0"/>
        <v>21</v>
      </c>
      <c r="AH45" s="48">
        <f t="shared" si="74"/>
        <v>91</v>
      </c>
      <c r="AI45" s="39">
        <f t="shared" si="57"/>
        <v>42883.33</v>
      </c>
      <c r="AJ45" s="34"/>
      <c r="AK45" s="34">
        <f t="shared" si="58"/>
        <v>514.6</v>
      </c>
      <c r="AL45" s="34">
        <f t="shared" si="75"/>
        <v>211.1</v>
      </c>
      <c r="AM45" s="51">
        <v>0.30199999999999999</v>
      </c>
      <c r="AN45" s="50"/>
      <c r="AO45" s="50"/>
      <c r="AP45" s="50"/>
      <c r="AQ45" s="50">
        <f t="shared" si="11"/>
        <v>0</v>
      </c>
      <c r="AR45" s="51"/>
    </row>
    <row r="46" spans="1:45" x14ac:dyDescent="0.2">
      <c r="A46" s="278">
        <v>38</v>
      </c>
      <c r="B46" s="52" t="s">
        <v>39</v>
      </c>
      <c r="C46" s="24">
        <v>0.5</v>
      </c>
      <c r="D46" s="177">
        <v>6.2859999999999996</v>
      </c>
      <c r="E46" s="171">
        <f t="shared" si="62"/>
        <v>3.14</v>
      </c>
      <c r="F46" s="154">
        <f t="shared" si="63"/>
        <v>37.700000000000003</v>
      </c>
      <c r="G46" s="154"/>
      <c r="H46" s="154">
        <f>1106.5/1000</f>
        <v>1.1000000000000001</v>
      </c>
      <c r="I46" s="154"/>
      <c r="J46" s="154"/>
      <c r="K46" s="154"/>
      <c r="L46" s="154">
        <f>F46*$L$4</f>
        <v>12.8</v>
      </c>
      <c r="M46" s="154">
        <f t="shared" si="64"/>
        <v>51.6</v>
      </c>
      <c r="N46" s="171">
        <v>0.45</v>
      </c>
      <c r="O46" s="154">
        <f t="shared" si="65"/>
        <v>23.2</v>
      </c>
      <c r="P46" s="154">
        <f t="shared" si="66"/>
        <v>74.8</v>
      </c>
      <c r="Q46" s="154">
        <f t="shared" si="67"/>
        <v>59.8</v>
      </c>
      <c r="R46" s="154">
        <f t="shared" si="68"/>
        <v>59.8</v>
      </c>
      <c r="S46" s="154">
        <f t="shared" si="69"/>
        <v>6.2</v>
      </c>
      <c r="T46" s="154">
        <f t="shared" si="70"/>
        <v>200.6</v>
      </c>
      <c r="U46" s="2247"/>
      <c r="V46" s="154">
        <f t="shared" si="5"/>
        <v>200.6</v>
      </c>
      <c r="W46" s="154">
        <f t="shared" si="31"/>
        <v>60.6</v>
      </c>
      <c r="X46" s="278"/>
      <c r="Y46" s="24">
        <v>35</v>
      </c>
      <c r="Z46" s="48">
        <f t="shared" si="71"/>
        <v>0</v>
      </c>
      <c r="AA46" s="54"/>
      <c r="AB46" s="24">
        <v>17.5</v>
      </c>
      <c r="AC46" s="48">
        <f t="shared" si="72"/>
        <v>0</v>
      </c>
      <c r="AD46" s="54"/>
      <c r="AE46" s="24">
        <v>35</v>
      </c>
      <c r="AF46" s="48">
        <f t="shared" si="73"/>
        <v>0</v>
      </c>
      <c r="AG46" s="278">
        <f t="shared" si="0"/>
        <v>0</v>
      </c>
      <c r="AH46" s="48">
        <f t="shared" si="74"/>
        <v>0</v>
      </c>
      <c r="AI46" s="39">
        <f t="shared" si="57"/>
        <v>33433.33</v>
      </c>
      <c r="AJ46" s="34"/>
      <c r="AK46" s="34">
        <f t="shared" si="58"/>
        <v>401.2</v>
      </c>
      <c r="AL46" s="34">
        <f t="shared" si="75"/>
        <v>190.5</v>
      </c>
      <c r="AM46" s="51">
        <v>0.30199999999999999</v>
      </c>
      <c r="AQ46" s="50">
        <f t="shared" si="11"/>
        <v>0</v>
      </c>
      <c r="AR46" s="51"/>
    </row>
    <row r="47" spans="1:45" x14ac:dyDescent="0.2">
      <c r="A47" s="278">
        <v>39</v>
      </c>
      <c r="B47" s="218" t="s">
        <v>40</v>
      </c>
      <c r="C47" s="54">
        <v>1</v>
      </c>
      <c r="D47" s="177">
        <v>11.061999999999999</v>
      </c>
      <c r="E47" s="171">
        <f t="shared" si="62"/>
        <v>11.06</v>
      </c>
      <c r="F47" s="154">
        <f t="shared" si="63"/>
        <v>132.69999999999999</v>
      </c>
      <c r="G47" s="228">
        <f>131.07/1000</f>
        <v>0.13</v>
      </c>
      <c r="H47" s="154">
        <v>2.1</v>
      </c>
      <c r="I47" s="154"/>
      <c r="J47" s="154"/>
      <c r="K47" s="154">
        <f>D47*2*0.2</f>
        <v>4.4000000000000004</v>
      </c>
      <c r="L47" s="154">
        <f t="shared" si="4"/>
        <v>44.9</v>
      </c>
      <c r="M47" s="154">
        <f t="shared" si="64"/>
        <v>184.2</v>
      </c>
      <c r="N47" s="171">
        <v>0.43</v>
      </c>
      <c r="O47" s="154">
        <f t="shared" si="65"/>
        <v>79.2</v>
      </c>
      <c r="P47" s="154">
        <f t="shared" si="66"/>
        <v>263.39999999999998</v>
      </c>
      <c r="Q47" s="154">
        <f t="shared" si="67"/>
        <v>210.7</v>
      </c>
      <c r="R47" s="154">
        <f t="shared" si="68"/>
        <v>210.7</v>
      </c>
      <c r="S47" s="154">
        <f t="shared" si="69"/>
        <v>21.9</v>
      </c>
      <c r="T47" s="154">
        <f t="shared" si="70"/>
        <v>706.7</v>
      </c>
      <c r="U47" s="2247"/>
      <c r="V47" s="154">
        <f t="shared" si="5"/>
        <v>706.7</v>
      </c>
      <c r="W47" s="154">
        <f t="shared" si="31"/>
        <v>213.4</v>
      </c>
      <c r="X47" s="278"/>
      <c r="Y47" s="24">
        <v>35</v>
      </c>
      <c r="Z47" s="48">
        <f t="shared" si="71"/>
        <v>0</v>
      </c>
      <c r="AA47" s="54"/>
      <c r="AB47" s="24">
        <v>17.5</v>
      </c>
      <c r="AC47" s="48">
        <f t="shared" si="72"/>
        <v>0</v>
      </c>
      <c r="AD47" s="54"/>
      <c r="AE47" s="24">
        <v>35</v>
      </c>
      <c r="AF47" s="48">
        <f t="shared" si="73"/>
        <v>0</v>
      </c>
      <c r="AG47" s="278">
        <f t="shared" si="0"/>
        <v>0</v>
      </c>
      <c r="AH47" s="48">
        <f t="shared" si="74"/>
        <v>0</v>
      </c>
      <c r="AI47" s="39">
        <f t="shared" si="57"/>
        <v>58891.67</v>
      </c>
      <c r="AJ47" s="34"/>
      <c r="AK47" s="34">
        <f t="shared" si="58"/>
        <v>706.7</v>
      </c>
      <c r="AL47" s="34">
        <f t="shared" si="75"/>
        <v>246.1</v>
      </c>
      <c r="AM47" s="51">
        <v>0.30199999999999999</v>
      </c>
      <c r="AN47" s="50"/>
      <c r="AO47" s="50"/>
      <c r="AP47" s="50"/>
      <c r="AQ47" s="50">
        <f t="shared" si="11"/>
        <v>0</v>
      </c>
      <c r="AR47" s="51"/>
    </row>
    <row r="48" spans="1:45" x14ac:dyDescent="0.2">
      <c r="A48" s="278">
        <v>40</v>
      </c>
      <c r="B48" s="218" t="s">
        <v>41</v>
      </c>
      <c r="C48" s="54">
        <v>1</v>
      </c>
      <c r="D48" s="177">
        <v>8.4730000000000008</v>
      </c>
      <c r="E48" s="171">
        <f t="shared" si="62"/>
        <v>8.4700000000000006</v>
      </c>
      <c r="F48" s="154">
        <f t="shared" si="63"/>
        <v>101.6</v>
      </c>
      <c r="G48" s="154">
        <f>100.4/1000</f>
        <v>0.1</v>
      </c>
      <c r="H48" s="154">
        <v>0.5</v>
      </c>
      <c r="I48" s="154"/>
      <c r="J48" s="154"/>
      <c r="K48" s="154">
        <f>D48*8.5*0.2</f>
        <v>14.4</v>
      </c>
      <c r="L48" s="154">
        <f t="shared" si="4"/>
        <v>34.4</v>
      </c>
      <c r="M48" s="154">
        <f t="shared" si="64"/>
        <v>151</v>
      </c>
      <c r="N48" s="171">
        <v>0.41</v>
      </c>
      <c r="O48" s="154">
        <f t="shared" si="65"/>
        <v>61.9</v>
      </c>
      <c r="P48" s="154">
        <f t="shared" si="66"/>
        <v>212.9</v>
      </c>
      <c r="Q48" s="154">
        <f t="shared" si="67"/>
        <v>170.3</v>
      </c>
      <c r="R48" s="154">
        <f t="shared" si="68"/>
        <v>170.3</v>
      </c>
      <c r="S48" s="154">
        <f t="shared" si="69"/>
        <v>17.7</v>
      </c>
      <c r="T48" s="154">
        <f t="shared" si="70"/>
        <v>571.20000000000005</v>
      </c>
      <c r="U48" s="2247"/>
      <c r="V48" s="154">
        <f t="shared" si="5"/>
        <v>571.20000000000005</v>
      </c>
      <c r="W48" s="154">
        <f t="shared" si="31"/>
        <v>172.5</v>
      </c>
      <c r="X48" s="278">
        <v>1</v>
      </c>
      <c r="Y48" s="24">
        <v>35</v>
      </c>
      <c r="Z48" s="48">
        <f t="shared" si="71"/>
        <v>35</v>
      </c>
      <c r="AA48" s="54"/>
      <c r="AB48" s="24">
        <v>17.5</v>
      </c>
      <c r="AC48" s="48">
        <f>AA48*AB48</f>
        <v>0</v>
      </c>
      <c r="AD48" s="54"/>
      <c r="AE48" s="24">
        <v>35</v>
      </c>
      <c r="AF48" s="48">
        <f t="shared" si="73"/>
        <v>0</v>
      </c>
      <c r="AG48" s="278">
        <f t="shared" si="0"/>
        <v>10.5</v>
      </c>
      <c r="AH48" s="48">
        <f t="shared" si="74"/>
        <v>45.5</v>
      </c>
      <c r="AI48" s="39">
        <f t="shared" si="57"/>
        <v>47600</v>
      </c>
      <c r="AJ48" s="34"/>
      <c r="AK48" s="34">
        <f t="shared" si="58"/>
        <v>571.20000000000005</v>
      </c>
      <c r="AL48" s="34">
        <f t="shared" si="75"/>
        <v>221.4</v>
      </c>
      <c r="AM48" s="51">
        <v>0.30199999999999999</v>
      </c>
      <c r="AN48" s="50"/>
      <c r="AO48" s="50"/>
      <c r="AP48" s="50"/>
      <c r="AQ48" s="50">
        <f t="shared" si="11"/>
        <v>0</v>
      </c>
      <c r="AR48" s="51"/>
    </row>
    <row r="49" spans="1:44" x14ac:dyDescent="0.2">
      <c r="A49" s="278">
        <v>41</v>
      </c>
      <c r="B49" s="218" t="s">
        <v>42</v>
      </c>
      <c r="C49" s="24">
        <v>0.5</v>
      </c>
      <c r="D49" s="213">
        <v>11.061999999999999</v>
      </c>
      <c r="E49" s="171">
        <f t="shared" si="62"/>
        <v>5.53</v>
      </c>
      <c r="F49" s="154">
        <f t="shared" si="63"/>
        <v>66.400000000000006</v>
      </c>
      <c r="G49" s="154">
        <f>65.5/1000</f>
        <v>0.1</v>
      </c>
      <c r="H49" s="154">
        <v>3</v>
      </c>
      <c r="I49" s="154"/>
      <c r="J49" s="154"/>
      <c r="K49" s="154"/>
      <c r="L49" s="154">
        <f t="shared" si="4"/>
        <v>22.5</v>
      </c>
      <c r="M49" s="154">
        <f t="shared" si="64"/>
        <v>92</v>
      </c>
      <c r="N49" s="171">
        <v>0.43</v>
      </c>
      <c r="O49" s="154">
        <f t="shared" si="65"/>
        <v>39.6</v>
      </c>
      <c r="P49" s="154">
        <f t="shared" si="66"/>
        <v>131.6</v>
      </c>
      <c r="Q49" s="154">
        <f t="shared" si="67"/>
        <v>105.3</v>
      </c>
      <c r="R49" s="154">
        <f t="shared" si="68"/>
        <v>105.3</v>
      </c>
      <c r="S49" s="154">
        <f t="shared" si="69"/>
        <v>11</v>
      </c>
      <c r="T49" s="154">
        <f t="shared" si="70"/>
        <v>353.2</v>
      </c>
      <c r="U49" s="2247"/>
      <c r="V49" s="154">
        <f t="shared" si="5"/>
        <v>353.2</v>
      </c>
      <c r="W49" s="154">
        <f t="shared" si="31"/>
        <v>106.7</v>
      </c>
      <c r="X49" s="278"/>
      <c r="Y49" s="24">
        <v>35</v>
      </c>
      <c r="Z49" s="48">
        <f t="shared" si="71"/>
        <v>0</v>
      </c>
      <c r="AA49" s="54"/>
      <c r="AB49" s="24">
        <v>17.5</v>
      </c>
      <c r="AC49" s="48">
        <f t="shared" si="72"/>
        <v>0</v>
      </c>
      <c r="AD49" s="54"/>
      <c r="AE49" s="24">
        <v>35</v>
      </c>
      <c r="AF49" s="48">
        <f t="shared" si="73"/>
        <v>0</v>
      </c>
      <c r="AG49" s="278">
        <f t="shared" si="0"/>
        <v>0</v>
      </c>
      <c r="AH49" s="48">
        <f t="shared" si="74"/>
        <v>0</v>
      </c>
      <c r="AI49" s="39">
        <f t="shared" si="57"/>
        <v>58866.67</v>
      </c>
      <c r="AJ49" s="34"/>
      <c r="AK49" s="34">
        <f t="shared" si="58"/>
        <v>706.4</v>
      </c>
      <c r="AL49" s="34">
        <f t="shared" si="75"/>
        <v>246</v>
      </c>
      <c r="AM49" s="51">
        <v>0.30199999999999999</v>
      </c>
      <c r="AO49" s="50"/>
      <c r="AP49" s="50"/>
      <c r="AQ49" s="50">
        <f t="shared" si="11"/>
        <v>0</v>
      </c>
      <c r="AR49" s="51"/>
    </row>
    <row r="50" spans="1:44" x14ac:dyDescent="0.2">
      <c r="A50" s="278">
        <v>42</v>
      </c>
      <c r="B50" s="52" t="s">
        <v>43</v>
      </c>
      <c r="C50" s="167">
        <v>0.25</v>
      </c>
      <c r="D50" s="177">
        <v>8.4730000000000008</v>
      </c>
      <c r="E50" s="171">
        <f t="shared" si="62"/>
        <v>2.12</v>
      </c>
      <c r="F50" s="154">
        <f t="shared" si="63"/>
        <v>25.4</v>
      </c>
      <c r="G50" s="154"/>
      <c r="H50" s="154"/>
      <c r="I50" s="154"/>
      <c r="J50" s="154"/>
      <c r="K50" s="154"/>
      <c r="L50" s="154">
        <f t="shared" si="4"/>
        <v>8.6</v>
      </c>
      <c r="M50" s="154">
        <f t="shared" si="64"/>
        <v>34</v>
      </c>
      <c r="N50" s="171">
        <v>0.41</v>
      </c>
      <c r="O50" s="154">
        <f t="shared" si="65"/>
        <v>13.9</v>
      </c>
      <c r="P50" s="154">
        <f t="shared" si="66"/>
        <v>47.9</v>
      </c>
      <c r="Q50" s="154">
        <f t="shared" si="67"/>
        <v>38.299999999999997</v>
      </c>
      <c r="R50" s="154">
        <f t="shared" si="68"/>
        <v>38.299999999999997</v>
      </c>
      <c r="S50" s="154">
        <f t="shared" si="69"/>
        <v>4</v>
      </c>
      <c r="T50" s="154">
        <f t="shared" si="70"/>
        <v>128.5</v>
      </c>
      <c r="U50" s="2247"/>
      <c r="V50" s="154">
        <f t="shared" si="5"/>
        <v>128.5</v>
      </c>
      <c r="W50" s="154">
        <f t="shared" si="31"/>
        <v>38.799999999999997</v>
      </c>
      <c r="X50" s="278"/>
      <c r="Y50" s="24">
        <v>35</v>
      </c>
      <c r="Z50" s="48">
        <f t="shared" si="71"/>
        <v>0</v>
      </c>
      <c r="AA50" s="54"/>
      <c r="AB50" s="24">
        <v>17.5</v>
      </c>
      <c r="AC50" s="48">
        <f t="shared" si="72"/>
        <v>0</v>
      </c>
      <c r="AD50" s="54"/>
      <c r="AE50" s="24">
        <v>35</v>
      </c>
      <c r="AF50" s="48">
        <f t="shared" si="73"/>
        <v>0</v>
      </c>
      <c r="AG50" s="278">
        <f t="shared" si="0"/>
        <v>0</v>
      </c>
      <c r="AH50" s="48">
        <f t="shared" si="74"/>
        <v>0</v>
      </c>
      <c r="AI50" s="39">
        <f t="shared" si="57"/>
        <v>42833.33</v>
      </c>
      <c r="AJ50" s="34"/>
      <c r="AK50" s="34">
        <f t="shared" si="58"/>
        <v>514</v>
      </c>
      <c r="AL50" s="34">
        <f t="shared" si="75"/>
        <v>211</v>
      </c>
      <c r="AM50" s="51">
        <v>0.30199999999999999</v>
      </c>
      <c r="AN50" s="50"/>
      <c r="AO50" s="50"/>
      <c r="AP50" s="50"/>
      <c r="AQ50" s="50">
        <f t="shared" si="11"/>
        <v>0</v>
      </c>
      <c r="AR50" s="51"/>
    </row>
    <row r="51" spans="1:44" x14ac:dyDescent="0.2">
      <c r="A51" s="278">
        <v>43</v>
      </c>
      <c r="B51" s="229" t="s">
        <v>44</v>
      </c>
      <c r="C51" s="179">
        <f>1-0.25</f>
        <v>0.75</v>
      </c>
      <c r="D51" s="213">
        <v>11.061999999999999</v>
      </c>
      <c r="E51" s="171">
        <f t="shared" si="62"/>
        <v>8.3000000000000007</v>
      </c>
      <c r="F51" s="154">
        <f t="shared" si="63"/>
        <v>99.6</v>
      </c>
      <c r="G51" s="154"/>
      <c r="H51" s="154">
        <v>2.4</v>
      </c>
      <c r="I51" s="154"/>
      <c r="J51" s="154"/>
      <c r="K51" s="154"/>
      <c r="L51" s="154">
        <f t="shared" si="4"/>
        <v>33.700000000000003</v>
      </c>
      <c r="M51" s="154">
        <f t="shared" si="64"/>
        <v>135.69999999999999</v>
      </c>
      <c r="N51" s="171">
        <v>0.43</v>
      </c>
      <c r="O51" s="154">
        <f t="shared" si="65"/>
        <v>58.4</v>
      </c>
      <c r="P51" s="154">
        <f t="shared" si="66"/>
        <v>194.1</v>
      </c>
      <c r="Q51" s="154">
        <f t="shared" si="67"/>
        <v>155.30000000000001</v>
      </c>
      <c r="R51" s="154">
        <f t="shared" si="68"/>
        <v>155.30000000000001</v>
      </c>
      <c r="S51" s="154">
        <f t="shared" si="69"/>
        <v>16.2</v>
      </c>
      <c r="T51" s="154">
        <f t="shared" si="70"/>
        <v>520.9</v>
      </c>
      <c r="U51" s="2247"/>
      <c r="V51" s="154">
        <f>T51*$U$9-0.3</f>
        <v>520.6</v>
      </c>
      <c r="W51" s="154">
        <f t="shared" si="31"/>
        <v>157.19999999999999</v>
      </c>
      <c r="X51" s="278"/>
      <c r="Y51" s="24">
        <v>35</v>
      </c>
      <c r="Z51" s="48">
        <f t="shared" si="71"/>
        <v>0</v>
      </c>
      <c r="AA51" s="54"/>
      <c r="AB51" s="24">
        <v>17.5</v>
      </c>
      <c r="AC51" s="48">
        <f t="shared" si="72"/>
        <v>0</v>
      </c>
      <c r="AD51" s="54"/>
      <c r="AE51" s="24">
        <v>35</v>
      </c>
      <c r="AF51" s="48">
        <f t="shared" si="73"/>
        <v>0</v>
      </c>
      <c r="AG51" s="278">
        <f t="shared" si="0"/>
        <v>0</v>
      </c>
      <c r="AH51" s="48">
        <f t="shared" si="74"/>
        <v>0</v>
      </c>
      <c r="AI51" s="39">
        <f t="shared" si="57"/>
        <v>57844.44</v>
      </c>
      <c r="AJ51" s="34"/>
      <c r="AK51" s="34">
        <f t="shared" si="58"/>
        <v>694.1</v>
      </c>
      <c r="AL51" s="34">
        <f t="shared" si="75"/>
        <v>243.8</v>
      </c>
      <c r="AM51" s="51">
        <v>0.30199999999999999</v>
      </c>
      <c r="AN51" s="50"/>
      <c r="AO51" s="50"/>
      <c r="AP51" s="50"/>
      <c r="AQ51" s="50">
        <f t="shared" si="11"/>
        <v>0</v>
      </c>
      <c r="AR51" s="51"/>
    </row>
    <row r="52" spans="1:44" s="33" customFormat="1" ht="20.25" customHeight="1" x14ac:dyDescent="0.2">
      <c r="A52" s="2244" t="s">
        <v>72</v>
      </c>
      <c r="B52" s="2244"/>
      <c r="C52" s="230">
        <f t="shared" ref="C52:AG52" si="76">SUM(C9:C51)</f>
        <v>59.75</v>
      </c>
      <c r="D52" s="231">
        <f t="shared" si="76"/>
        <v>419</v>
      </c>
      <c r="E52" s="231">
        <f t="shared" si="76"/>
        <v>591.79999999999995</v>
      </c>
      <c r="F52" s="231">
        <f t="shared" si="76"/>
        <v>7100.7</v>
      </c>
      <c r="G52" s="231">
        <f t="shared" si="76"/>
        <v>0.4</v>
      </c>
      <c r="H52" s="231">
        <f t="shared" si="76"/>
        <v>204.3</v>
      </c>
      <c r="I52" s="231">
        <f t="shared" si="76"/>
        <v>0</v>
      </c>
      <c r="J52" s="231">
        <f t="shared" si="76"/>
        <v>93.9</v>
      </c>
      <c r="K52" s="231">
        <f t="shared" si="76"/>
        <v>1647.5</v>
      </c>
      <c r="L52" s="231">
        <f t="shared" si="76"/>
        <v>2508.9</v>
      </c>
      <c r="M52" s="231">
        <f t="shared" si="76"/>
        <v>11555.7</v>
      </c>
      <c r="N52" s="231">
        <f t="shared" si="76"/>
        <v>19.100000000000001</v>
      </c>
      <c r="O52" s="231">
        <f t="shared" si="76"/>
        <v>5402.6</v>
      </c>
      <c r="P52" s="231">
        <f t="shared" si="76"/>
        <v>16958.3</v>
      </c>
      <c r="Q52" s="231">
        <f t="shared" si="76"/>
        <v>13566</v>
      </c>
      <c r="R52" s="231">
        <f t="shared" si="76"/>
        <v>13566</v>
      </c>
      <c r="S52" s="231">
        <f t="shared" si="76"/>
        <v>1410.9</v>
      </c>
      <c r="T52" s="231">
        <f t="shared" si="76"/>
        <v>45501.2</v>
      </c>
      <c r="U52" s="231">
        <f t="shared" si="76"/>
        <v>1</v>
      </c>
      <c r="V52" s="231">
        <f t="shared" si="76"/>
        <v>45500.9</v>
      </c>
      <c r="W52" s="231">
        <f t="shared" si="76"/>
        <v>13348.7</v>
      </c>
      <c r="X52" s="231">
        <f t="shared" si="76"/>
        <v>34</v>
      </c>
      <c r="Y52" s="231">
        <f t="shared" si="76"/>
        <v>1305</v>
      </c>
      <c r="Z52" s="231">
        <f t="shared" si="76"/>
        <v>1040</v>
      </c>
      <c r="AA52" s="231">
        <f t="shared" si="76"/>
        <v>17</v>
      </c>
      <c r="AB52" s="231">
        <f t="shared" si="76"/>
        <v>652.5</v>
      </c>
      <c r="AC52" s="231">
        <f t="shared" si="76"/>
        <v>255</v>
      </c>
      <c r="AD52" s="231">
        <f t="shared" si="76"/>
        <v>6</v>
      </c>
      <c r="AE52" s="231">
        <f t="shared" si="76"/>
        <v>1305</v>
      </c>
      <c r="AF52" s="231">
        <f t="shared" si="76"/>
        <v>185</v>
      </c>
      <c r="AG52" s="231">
        <f t="shared" si="76"/>
        <v>444</v>
      </c>
      <c r="AH52" s="231">
        <f>SUM(AH9:AH51)</f>
        <v>1924</v>
      </c>
      <c r="AN52" s="211"/>
      <c r="AO52" s="211"/>
      <c r="AP52" s="211"/>
      <c r="AQ52" s="50">
        <f t="shared" si="11"/>
        <v>0</v>
      </c>
    </row>
    <row r="53" spans="1:44" ht="17.25" customHeight="1" x14ac:dyDescent="0.2">
      <c r="G53" s="39"/>
      <c r="H53" s="39"/>
      <c r="I53" s="39"/>
      <c r="J53" s="39"/>
      <c r="K53" s="39"/>
      <c r="L53" s="232"/>
      <c r="M53" s="232"/>
      <c r="N53" s="232"/>
      <c r="O53" s="232"/>
      <c r="P53" s="232"/>
      <c r="Q53" s="39"/>
      <c r="R53" s="39"/>
      <c r="S53" s="39"/>
      <c r="T53" s="39"/>
      <c r="V53" s="34"/>
      <c r="W53" s="66"/>
      <c r="X53" s="39"/>
      <c r="AA53" s="39"/>
      <c r="AD53" s="39"/>
      <c r="AG53" s="39"/>
      <c r="AH53" s="39"/>
    </row>
    <row r="54" spans="1:44" s="75" customFormat="1" x14ac:dyDescent="0.2">
      <c r="A54" s="70"/>
      <c r="B54" s="70"/>
      <c r="C54" s="71"/>
      <c r="D54" s="72"/>
      <c r="E54" s="72"/>
      <c r="F54" s="72"/>
      <c r="G54" s="72"/>
      <c r="H54" s="73"/>
      <c r="I54" s="73"/>
      <c r="J54" s="27"/>
      <c r="K54" s="27"/>
      <c r="L54" s="27"/>
      <c r="M54" s="27"/>
      <c r="N54" s="74"/>
      <c r="O54" s="27"/>
      <c r="P54" s="27"/>
      <c r="Q54" s="27"/>
      <c r="R54" s="27"/>
      <c r="S54" s="27"/>
      <c r="T54" s="27"/>
      <c r="U54" s="27"/>
      <c r="V54" s="27"/>
      <c r="W54" s="27"/>
      <c r="X54" s="27"/>
      <c r="Y54" s="27"/>
      <c r="Z54" s="27"/>
      <c r="AA54" s="27"/>
      <c r="AB54" s="27"/>
      <c r="AC54" s="27"/>
      <c r="AD54" s="27"/>
      <c r="AE54" s="27"/>
      <c r="AF54" s="27"/>
      <c r="AG54" s="27"/>
      <c r="AH54" s="27"/>
      <c r="AI54" s="27"/>
      <c r="AJ54" s="76"/>
      <c r="AN54" s="76"/>
      <c r="AO54" s="76"/>
      <c r="AP54" s="76"/>
      <c r="AQ54" s="76"/>
      <c r="AR54" s="76"/>
    </row>
    <row r="55" spans="1:44" s="75" customFormat="1" ht="104.25" customHeight="1" x14ac:dyDescent="0.2">
      <c r="A55" s="70"/>
      <c r="B55" s="70"/>
      <c r="C55" s="71"/>
      <c r="D55" s="77"/>
      <c r="E55" s="77"/>
      <c r="F55" s="27"/>
      <c r="G55" s="2244" t="s">
        <v>140</v>
      </c>
      <c r="H55" s="2244"/>
      <c r="I55" s="2244" t="s">
        <v>144</v>
      </c>
      <c r="J55" s="2244"/>
      <c r="K55" s="2240" t="s">
        <v>145</v>
      </c>
      <c r="L55" s="2241"/>
      <c r="M55" s="2244" t="s">
        <v>128</v>
      </c>
      <c r="N55" s="2244"/>
      <c r="O55" s="70"/>
      <c r="P55" s="70"/>
      <c r="Q55" s="27"/>
      <c r="R55" s="27"/>
      <c r="S55" s="27"/>
      <c r="T55" s="27"/>
      <c r="U55" s="27"/>
      <c r="V55" s="27"/>
      <c r="W55" s="27"/>
      <c r="X55" s="27"/>
      <c r="Y55" s="27"/>
      <c r="Z55" s="27"/>
      <c r="AA55" s="27"/>
      <c r="AB55" s="27"/>
      <c r="AC55" s="27"/>
      <c r="AD55" s="27"/>
      <c r="AE55" s="27"/>
      <c r="AF55" s="27"/>
      <c r="AG55" s="27"/>
      <c r="AH55" s="27"/>
      <c r="AI55" s="27"/>
      <c r="AJ55" s="76"/>
      <c r="AN55" s="76"/>
      <c r="AO55" s="76"/>
      <c r="AP55" s="76"/>
      <c r="AQ55" s="76"/>
      <c r="AR55" s="76"/>
    </row>
    <row r="56" spans="1:44" s="75" customFormat="1" x14ac:dyDescent="0.2">
      <c r="A56" s="70"/>
      <c r="B56" s="70"/>
      <c r="C56" s="71"/>
      <c r="D56" s="77"/>
      <c r="E56" s="77"/>
      <c r="F56" s="27"/>
      <c r="G56" s="279">
        <v>991</v>
      </c>
      <c r="H56" s="279">
        <v>992</v>
      </c>
      <c r="I56" s="279">
        <v>991</v>
      </c>
      <c r="J56" s="279">
        <v>992</v>
      </c>
      <c r="K56" s="279">
        <v>991</v>
      </c>
      <c r="L56" s="279">
        <v>992</v>
      </c>
      <c r="M56" s="279">
        <v>991</v>
      </c>
      <c r="N56" s="279">
        <v>992</v>
      </c>
      <c r="O56" s="79"/>
      <c r="P56" s="79"/>
      <c r="Q56" s="27"/>
      <c r="R56" s="27"/>
      <c r="S56" s="27"/>
      <c r="T56" s="27"/>
      <c r="U56" s="27"/>
      <c r="V56" s="27"/>
      <c r="W56" s="27"/>
      <c r="X56" s="27"/>
      <c r="Y56" s="27"/>
      <c r="Z56" s="27"/>
      <c r="AA56" s="27"/>
      <c r="AB56" s="27"/>
      <c r="AC56" s="27"/>
      <c r="AD56" s="27"/>
      <c r="AE56" s="27"/>
      <c r="AF56" s="27"/>
      <c r="AG56" s="27"/>
      <c r="AH56" s="27"/>
      <c r="AI56" s="27"/>
      <c r="AJ56" s="76"/>
      <c r="AN56" s="76"/>
      <c r="AO56" s="76"/>
      <c r="AP56" s="76"/>
      <c r="AQ56" s="76"/>
      <c r="AR56" s="76"/>
    </row>
    <row r="57" spans="1:44" s="75" customFormat="1" x14ac:dyDescent="0.2">
      <c r="A57" s="70"/>
      <c r="B57" s="70"/>
      <c r="C57" s="71"/>
      <c r="D57" s="77"/>
      <c r="E57" s="77"/>
      <c r="F57" s="27"/>
      <c r="G57" s="29">
        <v>46179.199999999997</v>
      </c>
      <c r="H57" s="29">
        <v>13446.9</v>
      </c>
      <c r="I57" s="29">
        <f>245.4+176.6+93.6+162.7</f>
        <v>678.3</v>
      </c>
      <c r="J57" s="29">
        <f>74.1+53.3+28.3+49.1</f>
        <v>204.8</v>
      </c>
      <c r="K57" s="29">
        <f>V52</f>
        <v>45500.9</v>
      </c>
      <c r="L57" s="29">
        <f>W52</f>
        <v>13348.7</v>
      </c>
      <c r="M57" s="29">
        <f>G57-I57-K57</f>
        <v>0</v>
      </c>
      <c r="N57" s="29">
        <f>H57-J57-L57</f>
        <v>-106.6</v>
      </c>
      <c r="O57" s="80"/>
      <c r="P57" s="80"/>
      <c r="Q57" s="27"/>
      <c r="R57" s="27"/>
      <c r="S57" s="27"/>
      <c r="T57" s="27"/>
      <c r="U57" s="27"/>
      <c r="V57" s="27"/>
      <c r="W57" s="27"/>
      <c r="X57" s="27"/>
      <c r="Y57" s="27"/>
      <c r="Z57" s="27"/>
      <c r="AA57" s="27"/>
      <c r="AB57" s="27"/>
      <c r="AC57" s="27"/>
      <c r="AD57" s="27"/>
      <c r="AE57" s="27"/>
      <c r="AF57" s="27"/>
      <c r="AG57" s="27"/>
      <c r="AH57" s="27"/>
      <c r="AI57" s="27"/>
      <c r="AJ57" s="76"/>
      <c r="AN57" s="76"/>
      <c r="AO57" s="76"/>
      <c r="AP57" s="76"/>
      <c r="AQ57" s="76"/>
      <c r="AR57" s="76"/>
    </row>
    <row r="58" spans="1:44" s="75" customFormat="1" x14ac:dyDescent="0.2">
      <c r="A58" s="70"/>
      <c r="B58" s="70"/>
      <c r="C58" s="71"/>
      <c r="D58" s="77"/>
      <c r="E58" s="77"/>
      <c r="F58" s="27"/>
      <c r="G58" s="27"/>
      <c r="H58" s="73"/>
      <c r="I58" s="73"/>
      <c r="J58" s="27"/>
      <c r="K58" s="27"/>
      <c r="L58" s="27"/>
      <c r="M58" s="27"/>
      <c r="N58" s="74"/>
      <c r="O58" s="27"/>
      <c r="P58" s="27"/>
      <c r="Q58" s="27"/>
      <c r="R58" s="27"/>
      <c r="S58" s="27"/>
      <c r="T58" s="27"/>
      <c r="U58" s="27"/>
      <c r="V58" s="27"/>
      <c r="W58" s="27"/>
      <c r="X58" s="27"/>
      <c r="Y58" s="27"/>
      <c r="Z58" s="27"/>
      <c r="AA58" s="27"/>
      <c r="AB58" s="27"/>
      <c r="AC58" s="27"/>
      <c r="AD58" s="27"/>
      <c r="AE58" s="27"/>
      <c r="AF58" s="27"/>
      <c r="AG58" s="27"/>
      <c r="AH58" s="76"/>
      <c r="AM58" s="76"/>
      <c r="AN58" s="211"/>
      <c r="AO58" s="211"/>
      <c r="AP58" s="211"/>
      <c r="AQ58" s="211"/>
    </row>
    <row r="59" spans="1:44" s="282" customFormat="1" ht="20.25" x14ac:dyDescent="0.2">
      <c r="A59" s="81"/>
      <c r="B59" s="82" t="s">
        <v>138</v>
      </c>
      <c r="C59" s="83"/>
      <c r="D59" s="84"/>
      <c r="E59" s="84"/>
      <c r="F59" s="85"/>
      <c r="G59" s="85"/>
      <c r="H59" s="86"/>
      <c r="I59" s="86"/>
      <c r="J59" s="85"/>
      <c r="K59" s="30" t="s">
        <v>167</v>
      </c>
      <c r="L59" s="85"/>
      <c r="M59" s="85"/>
      <c r="N59" s="87"/>
      <c r="O59" s="85"/>
      <c r="P59" s="85"/>
      <c r="Q59" s="85"/>
      <c r="R59" s="85"/>
      <c r="S59" s="85"/>
      <c r="T59" s="85"/>
      <c r="U59" s="85"/>
      <c r="V59" s="85"/>
      <c r="W59" s="85"/>
      <c r="X59" s="85"/>
      <c r="Y59" s="85"/>
      <c r="Z59" s="85"/>
      <c r="AA59" s="85"/>
      <c r="AB59" s="85"/>
      <c r="AC59" s="85"/>
      <c r="AD59" s="85"/>
      <c r="AE59" s="85"/>
      <c r="AF59" s="85"/>
      <c r="AG59" s="85"/>
      <c r="AH59" s="85"/>
      <c r="AI59" s="85"/>
      <c r="AK59" s="88"/>
      <c r="AL59" s="88"/>
      <c r="AM59" s="88"/>
      <c r="AN59" s="88"/>
      <c r="AO59" s="88"/>
    </row>
    <row r="60" spans="1:44" s="75" customFormat="1" x14ac:dyDescent="0.2">
      <c r="A60" s="70"/>
      <c r="B60" s="70"/>
      <c r="C60" s="71"/>
      <c r="D60" s="77"/>
      <c r="E60" s="77"/>
      <c r="F60" s="27"/>
      <c r="G60" s="27"/>
      <c r="H60" s="73"/>
      <c r="I60" s="73"/>
      <c r="J60" s="27"/>
      <c r="K60" s="27"/>
      <c r="L60" s="27"/>
      <c r="M60" s="27"/>
      <c r="N60" s="74"/>
      <c r="O60" s="27"/>
      <c r="P60" s="27"/>
      <c r="Q60" s="27"/>
      <c r="R60" s="27"/>
      <c r="S60" s="27"/>
      <c r="T60" s="27"/>
      <c r="U60" s="27"/>
      <c r="V60" s="27"/>
      <c r="W60" s="27"/>
      <c r="X60" s="27"/>
      <c r="Y60" s="27"/>
      <c r="Z60" s="27"/>
      <c r="AA60" s="27"/>
      <c r="AB60" s="27"/>
      <c r="AC60" s="27"/>
      <c r="AD60" s="27"/>
      <c r="AE60" s="27"/>
      <c r="AF60" s="27"/>
      <c r="AG60" s="27"/>
      <c r="AH60" s="76"/>
      <c r="AM60" s="76"/>
      <c r="AN60" s="211"/>
      <c r="AO60" s="211"/>
      <c r="AP60" s="211"/>
      <c r="AQ60" s="211"/>
    </row>
    <row r="61" spans="1:44" s="75" customFormat="1" ht="20.25" customHeight="1" x14ac:dyDescent="0.2">
      <c r="A61" s="89" t="s">
        <v>96</v>
      </c>
      <c r="B61" s="89"/>
      <c r="C61" s="31"/>
      <c r="D61" s="31"/>
      <c r="E61" s="31"/>
      <c r="F61" s="31"/>
      <c r="G61" s="31"/>
      <c r="H61" s="31"/>
      <c r="I61" s="31"/>
      <c r="J61" s="31"/>
      <c r="K61" s="31"/>
      <c r="L61" s="90"/>
      <c r="M61" s="90"/>
      <c r="N61" s="91"/>
      <c r="O61" s="90"/>
      <c r="P61" s="90"/>
      <c r="Q61" s="90"/>
      <c r="R61" s="90"/>
      <c r="S61" s="90"/>
      <c r="T61" s="90"/>
      <c r="U61" s="90"/>
      <c r="V61" s="90"/>
      <c r="W61" s="90"/>
      <c r="X61" s="90"/>
      <c r="Y61" s="90"/>
      <c r="Z61" s="90"/>
      <c r="AA61" s="90"/>
      <c r="AB61" s="90"/>
      <c r="AC61" s="90"/>
      <c r="AD61" s="90"/>
      <c r="AE61" s="90"/>
      <c r="AF61" s="90"/>
      <c r="AG61" s="90"/>
      <c r="AH61" s="76"/>
      <c r="AM61" s="76"/>
      <c r="AN61" s="211"/>
      <c r="AO61" s="211"/>
      <c r="AP61" s="211"/>
      <c r="AQ61" s="211"/>
    </row>
    <row r="62" spans="1:44" s="75" customFormat="1" ht="20.25" customHeight="1" x14ac:dyDescent="0.2">
      <c r="A62" s="89" t="s">
        <v>139</v>
      </c>
      <c r="B62" s="92"/>
      <c r="C62" s="93"/>
      <c r="D62" s="93"/>
      <c r="E62" s="32"/>
      <c r="F62" s="32"/>
      <c r="G62" s="32"/>
      <c r="H62" s="32"/>
      <c r="I62" s="32"/>
      <c r="J62" s="32"/>
      <c r="K62" s="32"/>
      <c r="L62" s="90"/>
      <c r="M62" s="90"/>
      <c r="N62" s="90"/>
      <c r="O62" s="90"/>
      <c r="P62" s="90"/>
      <c r="Q62" s="90"/>
      <c r="R62" s="90"/>
      <c r="S62" s="90"/>
      <c r="T62" s="90"/>
      <c r="U62" s="90"/>
      <c r="V62" s="90"/>
      <c r="W62" s="90"/>
      <c r="X62" s="90"/>
      <c r="Y62" s="90"/>
      <c r="Z62" s="90"/>
      <c r="AA62" s="90"/>
      <c r="AB62" s="90"/>
      <c r="AC62" s="90"/>
      <c r="AD62" s="90"/>
      <c r="AE62" s="90"/>
      <c r="AF62" s="90"/>
      <c r="AG62" s="90"/>
      <c r="AH62" s="76"/>
      <c r="AM62" s="76"/>
      <c r="AN62" s="211"/>
      <c r="AO62" s="211"/>
      <c r="AP62" s="211"/>
      <c r="AQ62" s="211"/>
    </row>
    <row r="64" spans="1:44" hidden="1" x14ac:dyDescent="0.2">
      <c r="A64" s="278"/>
      <c r="B64" s="233" t="s">
        <v>121</v>
      </c>
      <c r="C64" s="233">
        <f t="shared" ref="C64:W64" si="77">C9+C10+C12</f>
        <v>3</v>
      </c>
      <c r="D64" s="233">
        <f t="shared" si="77"/>
        <v>61.43</v>
      </c>
      <c r="E64" s="183">
        <f t="shared" si="77"/>
        <v>61.44</v>
      </c>
      <c r="F64" s="233">
        <f t="shared" si="77"/>
        <v>737.2</v>
      </c>
      <c r="G64" s="233">
        <f t="shared" si="77"/>
        <v>0</v>
      </c>
      <c r="H64" s="233">
        <f t="shared" si="77"/>
        <v>8.6999999999999993</v>
      </c>
      <c r="I64" s="233">
        <f t="shared" si="77"/>
        <v>0</v>
      </c>
      <c r="J64" s="233">
        <f t="shared" si="77"/>
        <v>0</v>
      </c>
      <c r="K64" s="233">
        <f t="shared" si="77"/>
        <v>208.9</v>
      </c>
      <c r="L64" s="233">
        <f t="shared" si="77"/>
        <v>249.5</v>
      </c>
      <c r="M64" s="233">
        <f t="shared" si="77"/>
        <v>1204.3</v>
      </c>
      <c r="N64" s="233">
        <f t="shared" si="77"/>
        <v>1.92</v>
      </c>
      <c r="O64" s="233">
        <f t="shared" si="77"/>
        <v>838.4</v>
      </c>
      <c r="P64" s="233">
        <f t="shared" si="77"/>
        <v>2042.7</v>
      </c>
      <c r="Q64" s="233">
        <f t="shared" si="77"/>
        <v>1634.1</v>
      </c>
      <c r="R64" s="233">
        <f t="shared" si="77"/>
        <v>1634.1</v>
      </c>
      <c r="S64" s="233">
        <f t="shared" si="77"/>
        <v>170</v>
      </c>
      <c r="T64" s="233">
        <f t="shared" si="77"/>
        <v>5480.9</v>
      </c>
      <c r="U64" s="233">
        <f t="shared" si="77"/>
        <v>1</v>
      </c>
      <c r="V64" s="233">
        <f t="shared" si="77"/>
        <v>5480.9</v>
      </c>
      <c r="W64" s="233">
        <f t="shared" si="77"/>
        <v>1328</v>
      </c>
      <c r="X64" s="234">
        <f>V64+W64</f>
        <v>6808.9</v>
      </c>
    </row>
    <row r="65" spans="1:26" hidden="1" x14ac:dyDescent="0.2">
      <c r="A65" s="278"/>
      <c r="B65" s="233" t="s">
        <v>122</v>
      </c>
      <c r="C65" s="233" t="e">
        <f>C13+C14+#REF!+C15+C16+C17+C19+C20+C21+C22+C23+C24+C25+C26+C27+C28+C29+C30+C31+C32+C33+C34+C35+C36+C38+#REF!+C39+C40+C41</f>
        <v>#REF!</v>
      </c>
      <c r="D65" s="233" t="e">
        <f>D13+D14+#REF!+D15+D16+D17+D19+D20+D21+D22+D23+D24+D25+D26+D27+D28+D29+D30+D31+D32+D33+D34+D35+D36+D38+#REF!+D39+D40+D41</f>
        <v>#REF!</v>
      </c>
      <c r="E65" s="183" t="e">
        <f>E13+E14+#REF!+E15+E16+E17+E19+E20+E21+E22+E23+E24+E25+E26+E27+E28+E29+E30+E31+E32+E33+E34+E35+E36+E38+#REF!+E39+E40+E41</f>
        <v>#REF!</v>
      </c>
      <c r="F65" s="233" t="e">
        <f>F13+F14+#REF!+F15+F16+F17+F19+F20+F21+F22+F23+F24+F25+F26+F27+F28+F29+F30+F31+F32+F33+F34+F35+F36+F38+#REF!+F39+F40+F41</f>
        <v>#REF!</v>
      </c>
      <c r="G65" s="233" t="e">
        <f>G13+G14+#REF!+G15+G16+G17+G19+G20+G21+G22+G23+G24+G25+G26+G27+G28+G29+G30+G31+G32+G33+G34+G35+G36+G38+#REF!+G39+G40+G41</f>
        <v>#REF!</v>
      </c>
      <c r="H65" s="233" t="e">
        <f>H13+H14+#REF!+H15+H16+H17+H19+H20+H21+H22+H23+H24+H25+H26+H27+H28+H29+H30+H31+H32+H33+H34+H35+H36+H38+#REF!+H39+H40+H41</f>
        <v>#REF!</v>
      </c>
      <c r="I65" s="233" t="e">
        <f>I13+I14+#REF!+I15+I16+I17+I19+I20+I21+I22+I23+I24+I25+I26+I27+I28+I29+I30+I31+I32+I33+I34+I35+I36+I38+#REF!+I39+I40+I41</f>
        <v>#REF!</v>
      </c>
      <c r="J65" s="233" t="e">
        <f>J13+J14+#REF!+J15+J16+J17+J19+J20+J21+J22+J23+J24+J25+J26+J27+J28+J29+J30+J31+J32+J33+J34+J35+J36+J38+#REF!+J39+J40+J41</f>
        <v>#REF!</v>
      </c>
      <c r="K65" s="233" t="e">
        <f>K13+K14+#REF!+K15+K16+K17+K19+K20+K21+K22+K23+K24+K25+K26+K27+K28+K29+K30+K31+K32+K33+K34+K35+K36+K38+#REF!+K39+K40+K41</f>
        <v>#REF!</v>
      </c>
      <c r="L65" s="233" t="e">
        <f>L13+L14+#REF!+L15+L16+L17+L19+L20+L21+L22+L23+L24+L25+L26+L27+L28+L29+L30+L31+L32+L33+L34+L35+L36+L38+#REF!+L39+L40+L41</f>
        <v>#REF!</v>
      </c>
      <c r="M65" s="233" t="e">
        <f>M13+M14+#REF!+M15+M16+M17+M19+M20+M21+M22+M23+M24+M25+M26+M27+M28+M29+M30+M31+M32+M33+M34+M35+M36+M38+#REF!+M39+M40+M41</f>
        <v>#REF!</v>
      </c>
      <c r="N65" s="233" t="e">
        <f>N13+N14+#REF!+N15+N16+N17+N19+N20+N21+N22+N23+N24+N25+N26+N27+N28+N29+N30+N31+N32+N33+N34+N35+N36+N38+#REF!+N39+N40+N41</f>
        <v>#REF!</v>
      </c>
      <c r="O65" s="233" t="e">
        <f>O13+O14+#REF!+O15+O16+O17+O19+O20+O21+O22+O23+O24+O25+O26+O27+O28+O29+O30+O31+O32+O33+O34+O35+O36+O38+#REF!+O39+O40+O41</f>
        <v>#REF!</v>
      </c>
      <c r="P65" s="233" t="e">
        <f>P13+P14+#REF!+P15+P16+P17+P19+P20+P21+P22+P23+P24+P25+P26+P27+P28+P29+P30+P31+P32+P33+P34+P35+P36+P38+#REF!+P39+P40+P41</f>
        <v>#REF!</v>
      </c>
      <c r="Q65" s="233" t="e">
        <f>Q13+Q14+#REF!+Q15+Q16+Q17+Q19+Q20+Q21+Q22+Q23+Q24+Q25+Q26+Q27+Q28+Q29+Q30+Q31+Q32+Q33+Q34+Q35+Q36+Q38+#REF!+Q39+Q40+Q41</f>
        <v>#REF!</v>
      </c>
      <c r="R65" s="233" t="e">
        <f>R13+R14+#REF!+R15+R16+R17+R19+R20+R21+R22+R23+R24+R25+R26+R27+R28+R29+R30+R31+R32+R33+R34+R35+R36+R38+#REF!+R39+R40+R41</f>
        <v>#REF!</v>
      </c>
      <c r="S65" s="233" t="e">
        <f>S13+S14+#REF!+S15+S16+S17+S19+S20+S21+S22+S23+S24+S25+S26+S27+S28+S29+S30+S31+S32+S33+S34+S35+S36+S38+#REF!+S39+S40+S41</f>
        <v>#REF!</v>
      </c>
      <c r="T65" s="233" t="e">
        <f>T13+T14+#REF!+T15+T16+T17+T19+T20+T21+T22+T23+T24+T25+T26+T27+T28+T29+T30+T31+T32+T33+T34+T35+T36+T38+#REF!+T39+T40+T41</f>
        <v>#REF!</v>
      </c>
      <c r="U65" s="233" t="e">
        <f>U13+U14+#REF!+U15+U16+U17+U19+U20+U21+U22+U23+U24+U25+U26+U27+U28+U29+U30+U31+U32+U33+U34+U35+U36+U38+#REF!+U39+U40+U41</f>
        <v>#REF!</v>
      </c>
      <c r="V65" s="233" t="e">
        <f>V13+V14+#REF!+V15+V16+V17+V19+V20+V21+V22+V23+V24+V25+V26+V27+V28+V29+V30+V31+V32+V33+V34+V35+V36+V38+#REF!+V39+V40+V41</f>
        <v>#REF!</v>
      </c>
      <c r="W65" s="233" t="e">
        <f>W13+W14+#REF!+W15+W16+W17+W19+W20+W21+W22+W23+W24+W25+W26+W27+W28+W29+W30+W31+W32+W33+W34+W35+W36+W38+#REF!+W39+W40+W41</f>
        <v>#REF!</v>
      </c>
      <c r="X65" s="234" t="e">
        <f t="shared" ref="X65:X67" si="78">V65+W65</f>
        <v>#REF!</v>
      </c>
    </row>
    <row r="66" spans="1:26" hidden="1" x14ac:dyDescent="0.2">
      <c r="A66" s="278"/>
      <c r="B66" s="233" t="s">
        <v>123</v>
      </c>
      <c r="C66" s="233" t="e">
        <f>C11+C18+#REF!</f>
        <v>#REF!</v>
      </c>
      <c r="D66" s="233" t="e">
        <f>D11+D18+#REF!</f>
        <v>#REF!</v>
      </c>
      <c r="E66" s="183" t="e">
        <f>E11+E18+#REF!</f>
        <v>#REF!</v>
      </c>
      <c r="F66" s="233" t="e">
        <f>F11+F18+#REF!</f>
        <v>#REF!</v>
      </c>
      <c r="G66" s="233" t="e">
        <f>G11+G18+#REF!</f>
        <v>#REF!</v>
      </c>
      <c r="H66" s="233" t="e">
        <f>H11+H18+#REF!</f>
        <v>#REF!</v>
      </c>
      <c r="I66" s="233" t="e">
        <f>I11+I18+#REF!</f>
        <v>#REF!</v>
      </c>
      <c r="J66" s="233" t="e">
        <f>J11+J18+#REF!</f>
        <v>#REF!</v>
      </c>
      <c r="K66" s="233" t="e">
        <f>K11+K18+#REF!</f>
        <v>#REF!</v>
      </c>
      <c r="L66" s="233" t="e">
        <f>L11+L18+#REF!</f>
        <v>#REF!</v>
      </c>
      <c r="M66" s="233" t="e">
        <f>M11+M18+#REF!</f>
        <v>#REF!</v>
      </c>
      <c r="N66" s="233" t="e">
        <f>N11+N18+#REF!</f>
        <v>#REF!</v>
      </c>
      <c r="O66" s="233" t="e">
        <f>O11+O18+#REF!</f>
        <v>#REF!</v>
      </c>
      <c r="P66" s="233" t="e">
        <f>P11+P18+#REF!</f>
        <v>#REF!</v>
      </c>
      <c r="Q66" s="233" t="e">
        <f>Q11+Q18+#REF!</f>
        <v>#REF!</v>
      </c>
      <c r="R66" s="233" t="e">
        <f>R11+R18+#REF!</f>
        <v>#REF!</v>
      </c>
      <c r="S66" s="233" t="e">
        <f>S11+S18+#REF!</f>
        <v>#REF!</v>
      </c>
      <c r="T66" s="233" t="e">
        <f>T11+T18+#REF!</f>
        <v>#REF!</v>
      </c>
      <c r="U66" s="233" t="e">
        <f>U11+U18+#REF!</f>
        <v>#REF!</v>
      </c>
      <c r="V66" s="233" t="e">
        <f>V11+V18+#REF!</f>
        <v>#REF!</v>
      </c>
      <c r="W66" s="233" t="e">
        <f>W11+W18+#REF!</f>
        <v>#REF!</v>
      </c>
      <c r="X66" s="234" t="e">
        <f t="shared" si="78"/>
        <v>#REF!</v>
      </c>
    </row>
    <row r="67" spans="1:26" hidden="1" x14ac:dyDescent="0.2">
      <c r="A67" s="278"/>
      <c r="B67" s="233"/>
      <c r="C67" s="233" t="e">
        <f>C64+C65+C66</f>
        <v>#REF!</v>
      </c>
      <c r="D67" s="233" t="e">
        <f t="shared" ref="D67:W67" si="79">D64+D65+D66</f>
        <v>#REF!</v>
      </c>
      <c r="E67" s="183" t="e">
        <f t="shared" si="79"/>
        <v>#REF!</v>
      </c>
      <c r="F67" s="233" t="e">
        <f t="shared" si="79"/>
        <v>#REF!</v>
      </c>
      <c r="G67" s="233" t="e">
        <f t="shared" si="79"/>
        <v>#REF!</v>
      </c>
      <c r="H67" s="233" t="e">
        <f t="shared" si="79"/>
        <v>#REF!</v>
      </c>
      <c r="I67" s="233" t="e">
        <f t="shared" si="79"/>
        <v>#REF!</v>
      </c>
      <c r="J67" s="233" t="e">
        <f t="shared" si="79"/>
        <v>#REF!</v>
      </c>
      <c r="K67" s="233" t="e">
        <f t="shared" si="79"/>
        <v>#REF!</v>
      </c>
      <c r="L67" s="233" t="e">
        <f t="shared" si="79"/>
        <v>#REF!</v>
      </c>
      <c r="M67" s="233" t="e">
        <f t="shared" si="79"/>
        <v>#REF!</v>
      </c>
      <c r="N67" s="233" t="e">
        <f t="shared" si="79"/>
        <v>#REF!</v>
      </c>
      <c r="O67" s="233" t="e">
        <f t="shared" si="79"/>
        <v>#REF!</v>
      </c>
      <c r="P67" s="233" t="e">
        <f t="shared" si="79"/>
        <v>#REF!</v>
      </c>
      <c r="Q67" s="233" t="e">
        <f t="shared" si="79"/>
        <v>#REF!</v>
      </c>
      <c r="R67" s="233" t="e">
        <f t="shared" si="79"/>
        <v>#REF!</v>
      </c>
      <c r="S67" s="233" t="e">
        <f t="shared" si="79"/>
        <v>#REF!</v>
      </c>
      <c r="T67" s="233" t="e">
        <f t="shared" si="79"/>
        <v>#REF!</v>
      </c>
      <c r="U67" s="233" t="e">
        <f t="shared" si="79"/>
        <v>#REF!</v>
      </c>
      <c r="V67" s="233" t="e">
        <f t="shared" si="79"/>
        <v>#REF!</v>
      </c>
      <c r="W67" s="233" t="e">
        <f t="shared" si="79"/>
        <v>#REF!</v>
      </c>
      <c r="X67" s="234" t="e">
        <f t="shared" si="78"/>
        <v>#REF!</v>
      </c>
      <c r="Y67" s="22" t="e">
        <f>V67+#REF!</f>
        <v>#REF!</v>
      </c>
      <c r="Z67" s="22" t="e">
        <f>W67+#REF!</f>
        <v>#REF!</v>
      </c>
    </row>
    <row r="68" spans="1:26" hidden="1" x14ac:dyDescent="0.2">
      <c r="A68" s="278"/>
      <c r="B68" s="233"/>
      <c r="C68" s="233"/>
      <c r="D68" s="233"/>
      <c r="E68" s="183"/>
      <c r="F68" s="233"/>
      <c r="G68" s="233"/>
      <c r="H68" s="233"/>
      <c r="I68" s="233"/>
      <c r="J68" s="233"/>
      <c r="K68" s="233"/>
      <c r="L68" s="233"/>
      <c r="M68" s="233"/>
      <c r="N68" s="233"/>
      <c r="O68" s="233"/>
      <c r="P68" s="233"/>
      <c r="Q68" s="233"/>
      <c r="R68" s="233"/>
      <c r="S68" s="233"/>
      <c r="T68" s="233"/>
      <c r="U68" s="233"/>
      <c r="V68" s="233"/>
      <c r="W68" s="233"/>
      <c r="X68" s="233"/>
    </row>
    <row r="69" spans="1:26" hidden="1" x14ac:dyDescent="0.2">
      <c r="E69" s="51"/>
    </row>
    <row r="70" spans="1:26" hidden="1" x14ac:dyDescent="0.2">
      <c r="E70" s="51"/>
    </row>
    <row r="71" spans="1:26" hidden="1" x14ac:dyDescent="0.2">
      <c r="E71" s="51"/>
    </row>
    <row r="72" spans="1:26" hidden="1" x14ac:dyDescent="0.2">
      <c r="E72" s="51"/>
    </row>
    <row r="73" spans="1:26" hidden="1" x14ac:dyDescent="0.2">
      <c r="E73" s="51"/>
    </row>
    <row r="74" spans="1:26" hidden="1" x14ac:dyDescent="0.2">
      <c r="E74" s="51"/>
    </row>
    <row r="75" spans="1:26" hidden="1" x14ac:dyDescent="0.2">
      <c r="E75" s="51"/>
    </row>
    <row r="76" spans="1:26" x14ac:dyDescent="0.2">
      <c r="E76" s="51"/>
    </row>
    <row r="77" spans="1:26" x14ac:dyDescent="0.2">
      <c r="E77" s="51"/>
    </row>
    <row r="78" spans="1:26" x14ac:dyDescent="0.2">
      <c r="E78" s="51"/>
    </row>
    <row r="79" spans="1:26" x14ac:dyDescent="0.2">
      <c r="E79" s="51"/>
    </row>
    <row r="80" spans="1:26" x14ac:dyDescent="0.2">
      <c r="E80" s="51"/>
    </row>
    <row r="81" spans="5:5" x14ac:dyDescent="0.2">
      <c r="E81" s="51"/>
    </row>
    <row r="82" spans="5:5" x14ac:dyDescent="0.2">
      <c r="E82" s="51"/>
    </row>
    <row r="83" spans="5:5" x14ac:dyDescent="0.2">
      <c r="E83" s="51"/>
    </row>
    <row r="84" spans="5:5" x14ac:dyDescent="0.2">
      <c r="E84" s="51"/>
    </row>
    <row r="85" spans="5:5" x14ac:dyDescent="0.2">
      <c r="E85" s="51"/>
    </row>
    <row r="86" spans="5:5" x14ac:dyDescent="0.2">
      <c r="E86" s="51"/>
    </row>
    <row r="87" spans="5:5" x14ac:dyDescent="0.2">
      <c r="E87" s="51"/>
    </row>
    <row r="88" spans="5:5" x14ac:dyDescent="0.2">
      <c r="E88" s="51"/>
    </row>
    <row r="89" spans="5:5" x14ac:dyDescent="0.2">
      <c r="E89" s="51"/>
    </row>
    <row r="90" spans="5:5" x14ac:dyDescent="0.2">
      <c r="E90" s="51"/>
    </row>
    <row r="91" spans="5:5" x14ac:dyDescent="0.2">
      <c r="E91" s="51"/>
    </row>
    <row r="92" spans="5:5" x14ac:dyDescent="0.2">
      <c r="E92" s="51"/>
    </row>
    <row r="93" spans="5:5" x14ac:dyDescent="0.2">
      <c r="E93" s="51"/>
    </row>
    <row r="94" spans="5:5" x14ac:dyDescent="0.2">
      <c r="E94" s="51"/>
    </row>
    <row r="95" spans="5:5" x14ac:dyDescent="0.2">
      <c r="E95" s="51"/>
    </row>
    <row r="96" spans="5:5" x14ac:dyDescent="0.2">
      <c r="E96" s="51"/>
    </row>
    <row r="97" spans="5:5" x14ac:dyDescent="0.2">
      <c r="E97" s="51"/>
    </row>
    <row r="98" spans="5:5" x14ac:dyDescent="0.2">
      <c r="E98" s="51"/>
    </row>
    <row r="99" spans="5:5" x14ac:dyDescent="0.2">
      <c r="E99" s="51"/>
    </row>
    <row r="100" spans="5:5" x14ac:dyDescent="0.2">
      <c r="E100" s="51"/>
    </row>
    <row r="101" spans="5:5" x14ac:dyDescent="0.2">
      <c r="E101" s="51"/>
    </row>
    <row r="102" spans="5:5" x14ac:dyDescent="0.2">
      <c r="E102" s="51"/>
    </row>
    <row r="103" spans="5:5" x14ac:dyDescent="0.2">
      <c r="E103" s="51"/>
    </row>
    <row r="104" spans="5:5" x14ac:dyDescent="0.2">
      <c r="E104" s="51"/>
    </row>
    <row r="105" spans="5:5" x14ac:dyDescent="0.2">
      <c r="E105" s="51"/>
    </row>
  </sheetData>
  <autoFilter ref="A8:AS57" xr:uid="{00000000-0009-0000-0000-00005A000000}"/>
  <mergeCells count="38">
    <mergeCell ref="AE1:AH1"/>
    <mergeCell ref="A2:AH2"/>
    <mergeCell ref="A3:AH3"/>
    <mergeCell ref="A5:A7"/>
    <mergeCell ref="B5:B7"/>
    <mergeCell ref="C5:C7"/>
    <mergeCell ref="D5:W5"/>
    <mergeCell ref="X5:AH5"/>
    <mergeCell ref="D6:D7"/>
    <mergeCell ref="E6:E7"/>
    <mergeCell ref="F6:F7"/>
    <mergeCell ref="G6:G7"/>
    <mergeCell ref="H6:H7"/>
    <mergeCell ref="I6:I7"/>
    <mergeCell ref="J6:J7"/>
    <mergeCell ref="AD6:AF6"/>
    <mergeCell ref="AG6:AG7"/>
    <mergeCell ref="AH6:AH7"/>
    <mergeCell ref="U9:U51"/>
    <mergeCell ref="A52:B52"/>
    <mergeCell ref="S6:S7"/>
    <mergeCell ref="T6:T7"/>
    <mergeCell ref="U6:U7"/>
    <mergeCell ref="V6:V7"/>
    <mergeCell ref="W6:W7"/>
    <mergeCell ref="X6:Z6"/>
    <mergeCell ref="L6:L7"/>
    <mergeCell ref="M6:M7"/>
    <mergeCell ref="N6:O6"/>
    <mergeCell ref="P6:P7"/>
    <mergeCell ref="Q6:Q7"/>
    <mergeCell ref="G55:H55"/>
    <mergeCell ref="I55:J55"/>
    <mergeCell ref="K55:L55"/>
    <mergeCell ref="M55:N55"/>
    <mergeCell ref="AA6:AC6"/>
    <mergeCell ref="R6:R7"/>
    <mergeCell ref="K6:K7"/>
  </mergeCells>
  <printOptions horizontalCentered="1"/>
  <pageMargins left="0" right="0" top="0" bottom="0" header="0.31496062992125984" footer="0.31496062992125984"/>
  <pageSetup paperSize="9" scale="37" orientation="landscape" r:id="rId1"/>
  <legacyDrawing r:id="rId2"/>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FFFF00"/>
    <pageSetUpPr fitToPage="1"/>
  </sheetPr>
  <dimension ref="A1:AS66"/>
  <sheetViews>
    <sheetView view="pageBreakPreview" zoomScale="80" zoomScaleNormal="70" zoomScaleSheetLayoutView="80" workbookViewId="0">
      <pane xSplit="3" ySplit="8" topLeftCell="D18" activePane="bottomRight" state="frozen"/>
      <selection activeCell="M26" sqref="M26:N26"/>
      <selection pane="topRight" activeCell="M26" sqref="M26:N26"/>
      <selection pane="bottomLeft" activeCell="M26" sqref="M26:N26"/>
      <selection pane="bottomRight" activeCell="M26" sqref="M26:N26"/>
    </sheetView>
  </sheetViews>
  <sheetFormatPr defaultRowHeight="15" x14ac:dyDescent="0.2"/>
  <cols>
    <col min="1" max="1" width="9.6640625" style="98" customWidth="1"/>
    <col min="2" max="2" width="30.83203125" style="99" customWidth="1"/>
    <col min="3" max="3" width="13.83203125" style="99" customWidth="1"/>
    <col min="4" max="4" width="13.5" style="99" customWidth="1"/>
    <col min="5" max="5" width="13" style="99" customWidth="1"/>
    <col min="6" max="6" width="14.6640625" style="99" customWidth="1"/>
    <col min="7" max="7" width="11.5" style="99" customWidth="1"/>
    <col min="8" max="8" width="11.6640625" style="99" customWidth="1"/>
    <col min="9" max="9" width="11.33203125" style="99" customWidth="1"/>
    <col min="10" max="10" width="16" style="99" customWidth="1"/>
    <col min="11" max="11" width="13.1640625" style="99" customWidth="1"/>
    <col min="12" max="17" width="11.5" style="99" customWidth="1"/>
    <col min="18" max="18" width="11.6640625" style="99" customWidth="1"/>
    <col min="19" max="19" width="14.6640625" style="99" customWidth="1"/>
    <col min="20" max="20" width="12.33203125" style="99" customWidth="1"/>
    <col min="21" max="21" width="11.6640625" style="99" customWidth="1"/>
    <col min="22" max="22" width="13.83203125" style="99" customWidth="1"/>
    <col min="23" max="23" width="13" style="99" customWidth="1"/>
    <col min="24" max="24" width="11" style="99" customWidth="1"/>
    <col min="25" max="25" width="12.1640625" style="99" customWidth="1"/>
    <col min="26" max="26" width="9.6640625" style="99" customWidth="1"/>
    <col min="27" max="27" width="8.5" style="99" customWidth="1"/>
    <col min="28" max="28" width="9.1640625" style="99" customWidth="1"/>
    <col min="29" max="29" width="9" style="99" customWidth="1"/>
    <col min="30" max="30" width="8.5" style="99" customWidth="1"/>
    <col min="31" max="31" width="9.1640625" style="99" customWidth="1"/>
    <col min="32" max="32" width="10" style="99" customWidth="1"/>
    <col min="33" max="33" width="9.33203125" style="99" customWidth="1"/>
    <col min="34" max="34" width="10.6640625" style="99" customWidth="1"/>
    <col min="35" max="35" width="11.1640625" style="99" customWidth="1"/>
    <col min="36" max="36" width="9.33203125" style="99"/>
    <col min="37" max="37" width="10.6640625" style="99" bestFit="1" customWidth="1"/>
    <col min="38" max="38" width="9.33203125" style="99" hidden="1" customWidth="1"/>
    <col min="39" max="39" width="13" style="99" hidden="1" customWidth="1"/>
    <col min="40" max="40" width="14.1640625" style="211" bestFit="1" customWidth="1"/>
    <col min="41" max="42" width="9.33203125" style="211"/>
    <col min="43" max="43" width="11.33203125" style="211" bestFit="1" customWidth="1"/>
    <col min="44" max="16384" width="9.33203125" style="99"/>
  </cols>
  <sheetData>
    <row r="1" spans="1:45" ht="23.25" customHeight="1" x14ac:dyDescent="0.2">
      <c r="AE1" s="2263"/>
      <c r="AF1" s="2263"/>
      <c r="AG1" s="2263"/>
      <c r="AH1" s="2263"/>
    </row>
    <row r="2" spans="1:45" ht="24" customHeight="1" x14ac:dyDescent="0.2">
      <c r="A2" s="2264" t="s">
        <v>161</v>
      </c>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35"/>
    </row>
    <row r="3" spans="1:45" ht="24.75" customHeight="1" x14ac:dyDescent="0.2">
      <c r="A3" s="2265"/>
      <c r="B3" s="2265"/>
      <c r="C3" s="2265"/>
      <c r="D3" s="2265"/>
      <c r="E3" s="2265"/>
      <c r="F3" s="2265"/>
      <c r="G3" s="2265"/>
      <c r="H3" s="2265"/>
      <c r="I3" s="2265"/>
      <c r="J3" s="2265"/>
      <c r="K3" s="2265"/>
      <c r="L3" s="2265"/>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87"/>
    </row>
    <row r="4" spans="1:45" x14ac:dyDescent="0.2">
      <c r="L4" s="38">
        <v>0.15451000000000001</v>
      </c>
    </row>
    <row r="5" spans="1:45" ht="38.25" customHeight="1" x14ac:dyDescent="0.2">
      <c r="A5" s="2266" t="s">
        <v>78</v>
      </c>
      <c r="B5" s="2266" t="s">
        <v>77</v>
      </c>
      <c r="C5" s="2256" t="s">
        <v>0</v>
      </c>
      <c r="D5" s="2256" t="s">
        <v>3</v>
      </c>
      <c r="E5" s="2256"/>
      <c r="F5" s="2256"/>
      <c r="G5" s="2256"/>
      <c r="H5" s="2256"/>
      <c r="I5" s="2256"/>
      <c r="J5" s="2256"/>
      <c r="K5" s="2256"/>
      <c r="L5" s="2256"/>
      <c r="M5" s="2256"/>
      <c r="N5" s="2256"/>
      <c r="O5" s="2256"/>
      <c r="P5" s="2256"/>
      <c r="Q5" s="2256"/>
      <c r="R5" s="2256"/>
      <c r="S5" s="2256"/>
      <c r="T5" s="2256"/>
      <c r="U5" s="2256"/>
      <c r="V5" s="2256"/>
      <c r="W5" s="2256"/>
      <c r="X5" s="2256" t="s">
        <v>4</v>
      </c>
      <c r="Y5" s="2256"/>
      <c r="Z5" s="2256"/>
      <c r="AA5" s="2256"/>
      <c r="AB5" s="2256"/>
      <c r="AC5" s="2256"/>
      <c r="AD5" s="2256"/>
      <c r="AE5" s="2256"/>
      <c r="AF5" s="2256"/>
      <c r="AG5" s="2256"/>
      <c r="AH5" s="2256"/>
    </row>
    <row r="6" spans="1:45" ht="60" customHeight="1" x14ac:dyDescent="0.2">
      <c r="A6" s="2266"/>
      <c r="B6" s="2266"/>
      <c r="C6" s="2256"/>
      <c r="D6" s="2259" t="s">
        <v>68</v>
      </c>
      <c r="E6" s="2259" t="s">
        <v>69</v>
      </c>
      <c r="F6" s="2259" t="s">
        <v>89</v>
      </c>
      <c r="G6" s="2259" t="s">
        <v>1</v>
      </c>
      <c r="H6" s="2259" t="s">
        <v>2</v>
      </c>
      <c r="I6" s="2259" t="s">
        <v>70</v>
      </c>
      <c r="J6" s="2259" t="s">
        <v>61</v>
      </c>
      <c r="K6" s="2259" t="s">
        <v>27</v>
      </c>
      <c r="L6" s="2261" t="s">
        <v>65</v>
      </c>
      <c r="M6" s="2261" t="s">
        <v>86</v>
      </c>
      <c r="N6" s="2262" t="s">
        <v>90</v>
      </c>
      <c r="O6" s="2262"/>
      <c r="P6" s="2262" t="s">
        <v>88</v>
      </c>
      <c r="Q6" s="2261" t="s">
        <v>82</v>
      </c>
      <c r="R6" s="2259" t="s">
        <v>83</v>
      </c>
      <c r="S6" s="2261" t="s">
        <v>87</v>
      </c>
      <c r="T6" s="2259" t="s">
        <v>84</v>
      </c>
      <c r="U6" s="2259" t="s">
        <v>9</v>
      </c>
      <c r="V6" s="2259" t="s">
        <v>7</v>
      </c>
      <c r="W6" s="2259" t="s">
        <v>85</v>
      </c>
      <c r="X6" s="2256" t="s">
        <v>10</v>
      </c>
      <c r="Y6" s="2256"/>
      <c r="Z6" s="2256"/>
      <c r="AA6" s="2256" t="s">
        <v>11</v>
      </c>
      <c r="AB6" s="2256"/>
      <c r="AC6" s="2256"/>
      <c r="AD6" s="2256" t="s">
        <v>12</v>
      </c>
      <c r="AE6" s="2256"/>
      <c r="AF6" s="2256"/>
      <c r="AG6" s="2256" t="s">
        <v>13</v>
      </c>
      <c r="AH6" s="2256" t="s">
        <v>73</v>
      </c>
    </row>
    <row r="7" spans="1:45" ht="97.5" customHeight="1" x14ac:dyDescent="0.2">
      <c r="A7" s="2266"/>
      <c r="B7" s="2266"/>
      <c r="C7" s="2256"/>
      <c r="D7" s="2259"/>
      <c r="E7" s="2259"/>
      <c r="F7" s="2259"/>
      <c r="G7" s="2259"/>
      <c r="H7" s="2259"/>
      <c r="I7" s="2259"/>
      <c r="J7" s="2259"/>
      <c r="K7" s="2259"/>
      <c r="L7" s="2261" t="s">
        <v>66</v>
      </c>
      <c r="M7" s="2261"/>
      <c r="N7" s="286" t="s">
        <v>80</v>
      </c>
      <c r="O7" s="286" t="s">
        <v>81</v>
      </c>
      <c r="P7" s="2262"/>
      <c r="Q7" s="2261"/>
      <c r="R7" s="2259"/>
      <c r="S7" s="2261" t="s">
        <v>67</v>
      </c>
      <c r="T7" s="2259"/>
      <c r="U7" s="2259"/>
      <c r="V7" s="2259"/>
      <c r="W7" s="2259"/>
      <c r="X7" s="285" t="s">
        <v>5</v>
      </c>
      <c r="Y7" s="285" t="s">
        <v>6</v>
      </c>
      <c r="Z7" s="285" t="s">
        <v>74</v>
      </c>
      <c r="AA7" s="285" t="s">
        <v>5</v>
      </c>
      <c r="AB7" s="285" t="s">
        <v>6</v>
      </c>
      <c r="AC7" s="285" t="s">
        <v>75</v>
      </c>
      <c r="AD7" s="285" t="s">
        <v>5</v>
      </c>
      <c r="AE7" s="285" t="s">
        <v>6</v>
      </c>
      <c r="AF7" s="285" t="s">
        <v>76</v>
      </c>
      <c r="AG7" s="2256"/>
      <c r="AH7" s="2256"/>
      <c r="AK7" s="98" t="s">
        <v>64</v>
      </c>
      <c r="AL7" s="98" t="s">
        <v>62</v>
      </c>
      <c r="AM7" s="98" t="s">
        <v>63</v>
      </c>
    </row>
    <row r="8" spans="1:45" ht="15.75" customHeight="1" x14ac:dyDescent="0.2">
      <c r="A8" s="284">
        <v>1</v>
      </c>
      <c r="B8" s="284">
        <v>2</v>
      </c>
      <c r="C8" s="284">
        <v>3</v>
      </c>
      <c r="D8" s="284">
        <v>4</v>
      </c>
      <c r="E8" s="284">
        <v>5</v>
      </c>
      <c r="F8" s="284">
        <v>6</v>
      </c>
      <c r="G8" s="284">
        <v>7</v>
      </c>
      <c r="H8" s="284">
        <v>8</v>
      </c>
      <c r="I8" s="284">
        <v>9</v>
      </c>
      <c r="J8" s="284">
        <v>10</v>
      </c>
      <c r="K8" s="284">
        <v>11</v>
      </c>
      <c r="L8" s="284">
        <v>12</v>
      </c>
      <c r="M8" s="284">
        <v>13</v>
      </c>
      <c r="N8" s="284">
        <v>14</v>
      </c>
      <c r="O8" s="284">
        <v>15</v>
      </c>
      <c r="P8" s="284">
        <v>16</v>
      </c>
      <c r="Q8" s="284">
        <v>17</v>
      </c>
      <c r="R8" s="284">
        <v>18</v>
      </c>
      <c r="S8" s="284">
        <v>19</v>
      </c>
      <c r="T8" s="284">
        <v>20</v>
      </c>
      <c r="U8" s="284">
        <v>21</v>
      </c>
      <c r="V8" s="284">
        <v>22</v>
      </c>
      <c r="W8" s="284">
        <v>23</v>
      </c>
      <c r="X8" s="284">
        <v>25</v>
      </c>
      <c r="Y8" s="284">
        <v>26</v>
      </c>
      <c r="Z8" s="284">
        <v>27</v>
      </c>
      <c r="AA8" s="284">
        <v>28</v>
      </c>
      <c r="AB8" s="284">
        <v>29</v>
      </c>
      <c r="AC8" s="284">
        <v>30</v>
      </c>
      <c r="AD8" s="284">
        <v>31</v>
      </c>
      <c r="AE8" s="284">
        <v>32</v>
      </c>
      <c r="AF8" s="284">
        <v>33</v>
      </c>
      <c r="AG8" s="284">
        <v>34</v>
      </c>
      <c r="AH8" s="284">
        <v>35</v>
      </c>
      <c r="AN8" s="212" t="s">
        <v>116</v>
      </c>
      <c r="AO8" s="212" t="s">
        <v>117</v>
      </c>
      <c r="AP8" s="212" t="s">
        <v>118</v>
      </c>
      <c r="AQ8" s="212" t="s">
        <v>119</v>
      </c>
    </row>
    <row r="9" spans="1:45" ht="16.5" customHeight="1" x14ac:dyDescent="0.2">
      <c r="A9" s="284">
        <v>1</v>
      </c>
      <c r="B9" s="236" t="s">
        <v>14</v>
      </c>
      <c r="C9" s="284">
        <v>1</v>
      </c>
      <c r="D9" s="237">
        <v>25.672999999999998</v>
      </c>
      <c r="E9" s="169">
        <f t="shared" ref="E9:E24" si="0">C9*D9</f>
        <v>25.67</v>
      </c>
      <c r="F9" s="170">
        <f t="shared" ref="F9:F24" si="1">E9*12</f>
        <v>308</v>
      </c>
      <c r="G9" s="95"/>
      <c r="H9" s="95"/>
      <c r="I9" s="95"/>
      <c r="J9" s="95"/>
      <c r="K9" s="95">
        <f>F9*0.3</f>
        <v>92.4</v>
      </c>
      <c r="L9" s="95">
        <f>F9*$L$4</f>
        <v>47.6</v>
      </c>
      <c r="M9" s="95">
        <f t="shared" ref="M9:M24" si="2">F9+G9+H9+I9+J9+K9+L9</f>
        <v>448</v>
      </c>
      <c r="N9" s="111">
        <v>0.42</v>
      </c>
      <c r="O9" s="95">
        <f t="shared" ref="O9:O24" si="3">M9*N9</f>
        <v>188.2</v>
      </c>
      <c r="P9" s="95">
        <f t="shared" ref="P9:P24" si="4">M9+O9</f>
        <v>636.20000000000005</v>
      </c>
      <c r="Q9" s="95">
        <f t="shared" ref="Q9:Q24" si="5">P9*0.8</f>
        <v>509</v>
      </c>
      <c r="R9" s="95">
        <f t="shared" ref="R9:R24" si="6">P9*0.8</f>
        <v>509</v>
      </c>
      <c r="S9" s="95">
        <f t="shared" ref="S9:S24" si="7">(P9+Q9+R9)*0.032</f>
        <v>52.9</v>
      </c>
      <c r="T9" s="95">
        <f t="shared" ref="T9:T24" si="8">P9+Q9+R9+S9</f>
        <v>1707.1</v>
      </c>
      <c r="U9" s="2915">
        <v>1</v>
      </c>
      <c r="V9" s="95">
        <f>T9*$U$9</f>
        <v>1707.1</v>
      </c>
      <c r="W9" s="95">
        <f>AQ9</f>
        <v>424.3</v>
      </c>
      <c r="X9" s="284">
        <v>1</v>
      </c>
      <c r="Y9" s="112">
        <v>30</v>
      </c>
      <c r="Z9" s="113">
        <f t="shared" ref="Z9:Z24" si="9">X9*Y9</f>
        <v>30</v>
      </c>
      <c r="AA9" s="284"/>
      <c r="AB9" s="112">
        <v>15</v>
      </c>
      <c r="AC9" s="113">
        <f t="shared" ref="AC9:AC24" si="10">AA9*AB9</f>
        <v>0</v>
      </c>
      <c r="AD9" s="284">
        <v>1</v>
      </c>
      <c r="AE9" s="112">
        <v>30</v>
      </c>
      <c r="AF9" s="113">
        <f t="shared" ref="AF9:AF24" si="11">AD9*AE9</f>
        <v>30</v>
      </c>
      <c r="AG9" s="113">
        <f t="shared" ref="AG9:AG24" si="12">(Z9+AC9+AF9)*1%*30</f>
        <v>18</v>
      </c>
      <c r="AH9" s="113">
        <f t="shared" ref="AH9:AH24" si="13">Z9+AC9+AF9+AG9</f>
        <v>78</v>
      </c>
      <c r="AI9" s="114">
        <f t="shared" ref="AI9:AI17" si="14">V9/12/C9*1000</f>
        <v>142258.29999999999</v>
      </c>
      <c r="AK9" s="114">
        <f t="shared" ref="AK9:AK24" si="15">V9/C9</f>
        <v>1707.1</v>
      </c>
      <c r="AL9" s="114">
        <f>((979*0.302)+((AK9-979)*0.182))</f>
        <v>428.2</v>
      </c>
      <c r="AM9" s="115">
        <f>AL9/AK9</f>
        <v>0.251</v>
      </c>
      <c r="AN9" s="50">
        <f>1150*0.22+(AK9-1150)*0.1</f>
        <v>308.7</v>
      </c>
      <c r="AO9" s="50">
        <f>865*0.029</f>
        <v>25.1</v>
      </c>
      <c r="AP9" s="50">
        <f>AK9*0.053</f>
        <v>90.5</v>
      </c>
      <c r="AQ9" s="50">
        <f t="shared" ref="AQ9:AQ24" si="16">SUM(AN9:AP9)*C9</f>
        <v>424.3</v>
      </c>
      <c r="AS9" s="99">
        <f t="shared" ref="AS9:AS17" si="17">D9*1.5</f>
        <v>38.509500000000003</v>
      </c>
    </row>
    <row r="10" spans="1:45" x14ac:dyDescent="0.2">
      <c r="A10" s="284">
        <v>2</v>
      </c>
      <c r="B10" s="236" t="s">
        <v>127</v>
      </c>
      <c r="C10" s="284">
        <v>1</v>
      </c>
      <c r="D10" s="237">
        <v>17.971</v>
      </c>
      <c r="E10" s="169">
        <f>C10*D10</f>
        <v>17.97</v>
      </c>
      <c r="F10" s="170">
        <f t="shared" si="1"/>
        <v>215.6</v>
      </c>
      <c r="G10" s="95"/>
      <c r="H10" s="95">
        <v>11.2</v>
      </c>
      <c r="I10" s="95"/>
      <c r="J10" s="95"/>
      <c r="K10" s="95">
        <f>F10*0.3+D10*0.05*6.5</f>
        <v>70.5</v>
      </c>
      <c r="L10" s="95">
        <f t="shared" ref="L10:L23" si="18">F10*$L$4</f>
        <v>33.299999999999997</v>
      </c>
      <c r="M10" s="95">
        <f t="shared" si="2"/>
        <v>330.6</v>
      </c>
      <c r="N10" s="111">
        <v>0.47</v>
      </c>
      <c r="O10" s="95">
        <f t="shared" si="3"/>
        <v>155.4</v>
      </c>
      <c r="P10" s="95">
        <f t="shared" si="4"/>
        <v>486</v>
      </c>
      <c r="Q10" s="95">
        <f t="shared" si="5"/>
        <v>388.8</v>
      </c>
      <c r="R10" s="95">
        <f t="shared" si="6"/>
        <v>388.8</v>
      </c>
      <c r="S10" s="95">
        <f t="shared" si="7"/>
        <v>40.4</v>
      </c>
      <c r="T10" s="95">
        <f t="shared" si="8"/>
        <v>1304</v>
      </c>
      <c r="U10" s="2916"/>
      <c r="V10" s="95">
        <f>T10*$U$9</f>
        <v>1304</v>
      </c>
      <c r="W10" s="95">
        <f>AQ10</f>
        <v>362.6</v>
      </c>
      <c r="X10" s="284">
        <v>1</v>
      </c>
      <c r="Y10" s="112">
        <v>30</v>
      </c>
      <c r="Z10" s="113">
        <f t="shared" si="9"/>
        <v>30</v>
      </c>
      <c r="AA10" s="284"/>
      <c r="AB10" s="112">
        <v>15</v>
      </c>
      <c r="AC10" s="113">
        <f t="shared" si="10"/>
        <v>0</v>
      </c>
      <c r="AD10" s="284"/>
      <c r="AE10" s="112">
        <v>30</v>
      </c>
      <c r="AF10" s="113">
        <f t="shared" si="11"/>
        <v>0</v>
      </c>
      <c r="AG10" s="113">
        <f t="shared" si="12"/>
        <v>9</v>
      </c>
      <c r="AH10" s="113">
        <f t="shared" si="13"/>
        <v>39</v>
      </c>
      <c r="AI10" s="114">
        <f t="shared" si="14"/>
        <v>108666.7</v>
      </c>
      <c r="AK10" s="114">
        <f t="shared" si="15"/>
        <v>1304</v>
      </c>
      <c r="AL10" s="114">
        <f t="shared" ref="AL10:AL24" si="19">((979*0.302)+((AK10-979)*0.182))</f>
        <v>354.8</v>
      </c>
      <c r="AM10" s="115">
        <f>AL10/AK10</f>
        <v>0.27200000000000002</v>
      </c>
      <c r="AN10" s="50">
        <f>1150*0.22+(AK10-1150)*0.1</f>
        <v>268.39999999999998</v>
      </c>
      <c r="AO10" s="50">
        <f>865*0.029</f>
        <v>25.1</v>
      </c>
      <c r="AP10" s="50">
        <f>AK10*0.053</f>
        <v>69.099999999999994</v>
      </c>
      <c r="AQ10" s="50">
        <f t="shared" si="16"/>
        <v>362.6</v>
      </c>
      <c r="AS10" s="99">
        <f t="shared" si="17"/>
        <v>26.956499999999998</v>
      </c>
    </row>
    <row r="11" spans="1:45" x14ac:dyDescent="0.2">
      <c r="A11" s="284">
        <v>3</v>
      </c>
      <c r="B11" s="236" t="s">
        <v>23</v>
      </c>
      <c r="C11" s="238">
        <v>4</v>
      </c>
      <c r="D11" s="237">
        <v>11.061999999999999</v>
      </c>
      <c r="E11" s="111">
        <f t="shared" si="0"/>
        <v>44.25</v>
      </c>
      <c r="F11" s="95">
        <f t="shared" si="1"/>
        <v>531</v>
      </c>
      <c r="G11" s="95"/>
      <c r="H11" s="95">
        <f>7.01+7.789+7.01</f>
        <v>21.8</v>
      </c>
      <c r="I11" s="95"/>
      <c r="J11" s="95"/>
      <c r="K11" s="95">
        <f>F11*0.25*2+F11*0.3+D11*0.05*11.5</f>
        <v>431.2</v>
      </c>
      <c r="L11" s="95">
        <f t="shared" si="18"/>
        <v>82</v>
      </c>
      <c r="M11" s="95">
        <f t="shared" si="2"/>
        <v>1066</v>
      </c>
      <c r="N11" s="111">
        <v>0.43</v>
      </c>
      <c r="O11" s="95">
        <f t="shared" si="3"/>
        <v>458.4</v>
      </c>
      <c r="P11" s="95">
        <f t="shared" si="4"/>
        <v>1524.4</v>
      </c>
      <c r="Q11" s="95">
        <f t="shared" si="5"/>
        <v>1219.5</v>
      </c>
      <c r="R11" s="95">
        <f t="shared" si="6"/>
        <v>1219.5</v>
      </c>
      <c r="S11" s="95">
        <f t="shared" si="7"/>
        <v>126.8</v>
      </c>
      <c r="T11" s="95">
        <f t="shared" si="8"/>
        <v>4090.2</v>
      </c>
      <c r="U11" s="2916"/>
      <c r="V11" s="95">
        <f t="shared" ref="V11:V23" si="20">T11*$U$9</f>
        <v>4090.2</v>
      </c>
      <c r="W11" s="95">
        <f>AQ11</f>
        <v>1217.2</v>
      </c>
      <c r="X11" s="239">
        <v>2</v>
      </c>
      <c r="Y11" s="240">
        <v>30</v>
      </c>
      <c r="Z11" s="241">
        <f t="shared" si="9"/>
        <v>60</v>
      </c>
      <c r="AA11" s="239">
        <v>1</v>
      </c>
      <c r="AB11" s="240">
        <v>15</v>
      </c>
      <c r="AC11" s="241">
        <f t="shared" si="10"/>
        <v>15</v>
      </c>
      <c r="AD11" s="239">
        <v>1</v>
      </c>
      <c r="AE11" s="240">
        <v>30</v>
      </c>
      <c r="AF11" s="241">
        <f t="shared" si="11"/>
        <v>30</v>
      </c>
      <c r="AG11" s="241">
        <f t="shared" si="12"/>
        <v>31.5</v>
      </c>
      <c r="AH11" s="241">
        <f t="shared" si="13"/>
        <v>136.5</v>
      </c>
      <c r="AI11" s="114">
        <f t="shared" si="14"/>
        <v>85212.5</v>
      </c>
      <c r="AK11" s="114">
        <f t="shared" si="15"/>
        <v>1022.6</v>
      </c>
      <c r="AL11" s="114">
        <f t="shared" si="19"/>
        <v>303.60000000000002</v>
      </c>
      <c r="AM11" s="115">
        <v>0.30199999999999999</v>
      </c>
      <c r="AN11" s="50">
        <f t="shared" ref="AN11:AN24" si="21">AK11*0.22</f>
        <v>225</v>
      </c>
      <c r="AO11" s="50">
        <f>865*0.029</f>
        <v>25.1</v>
      </c>
      <c r="AP11" s="50">
        <f>AK11*0.053</f>
        <v>54.2</v>
      </c>
      <c r="AQ11" s="50">
        <f t="shared" si="16"/>
        <v>1217.2</v>
      </c>
      <c r="AS11" s="99">
        <f t="shared" si="17"/>
        <v>16.593</v>
      </c>
    </row>
    <row r="12" spans="1:45" x14ac:dyDescent="0.2">
      <c r="A12" s="284">
        <v>4</v>
      </c>
      <c r="B12" s="236" t="s">
        <v>47</v>
      </c>
      <c r="C12" s="238">
        <v>1</v>
      </c>
      <c r="D12" s="237">
        <v>6.2859999999999996</v>
      </c>
      <c r="E12" s="111">
        <f t="shared" si="0"/>
        <v>6.29</v>
      </c>
      <c r="F12" s="95">
        <f t="shared" si="1"/>
        <v>75.5</v>
      </c>
      <c r="G12" s="95"/>
      <c r="H12" s="95"/>
      <c r="I12" s="95"/>
      <c r="J12" s="95"/>
      <c r="K12" s="95"/>
      <c r="L12" s="95">
        <f t="shared" si="18"/>
        <v>11.7</v>
      </c>
      <c r="M12" s="95">
        <f t="shared" si="2"/>
        <v>87.2</v>
      </c>
      <c r="N12" s="111">
        <v>0.45</v>
      </c>
      <c r="O12" s="95">
        <f t="shared" si="3"/>
        <v>39.200000000000003</v>
      </c>
      <c r="P12" s="95">
        <f t="shared" si="4"/>
        <v>126.4</v>
      </c>
      <c r="Q12" s="95">
        <f t="shared" si="5"/>
        <v>101.1</v>
      </c>
      <c r="R12" s="95">
        <f t="shared" si="6"/>
        <v>101.1</v>
      </c>
      <c r="S12" s="95">
        <f t="shared" si="7"/>
        <v>10.5</v>
      </c>
      <c r="T12" s="95">
        <f t="shared" si="8"/>
        <v>339.1</v>
      </c>
      <c r="U12" s="2916"/>
      <c r="V12" s="95">
        <f t="shared" si="20"/>
        <v>339.1</v>
      </c>
      <c r="W12" s="95">
        <f t="shared" ref="W12:W24" si="22">V12*0.302</f>
        <v>102.4</v>
      </c>
      <c r="X12" s="239"/>
      <c r="Y12" s="240">
        <v>30</v>
      </c>
      <c r="Z12" s="241">
        <f t="shared" si="9"/>
        <v>0</v>
      </c>
      <c r="AA12" s="239"/>
      <c r="AB12" s="240">
        <v>15</v>
      </c>
      <c r="AC12" s="241">
        <f t="shared" si="10"/>
        <v>0</v>
      </c>
      <c r="AD12" s="239"/>
      <c r="AE12" s="240">
        <v>30</v>
      </c>
      <c r="AF12" s="241">
        <f t="shared" si="11"/>
        <v>0</v>
      </c>
      <c r="AG12" s="241">
        <f t="shared" si="12"/>
        <v>0</v>
      </c>
      <c r="AH12" s="241">
        <f t="shared" si="13"/>
        <v>0</v>
      </c>
      <c r="AI12" s="114">
        <f t="shared" si="14"/>
        <v>28258.3</v>
      </c>
      <c r="AK12" s="114">
        <f t="shared" si="15"/>
        <v>339.1</v>
      </c>
      <c r="AL12" s="114">
        <f t="shared" si="19"/>
        <v>179.2</v>
      </c>
      <c r="AM12" s="115">
        <v>0.30199999999999999</v>
      </c>
      <c r="AN12" s="50">
        <f t="shared" si="21"/>
        <v>74.599999999999994</v>
      </c>
      <c r="AO12" s="50"/>
      <c r="AP12" s="50">
        <f t="shared" ref="AP12:AP24" si="23">AK12*0.053</f>
        <v>18</v>
      </c>
      <c r="AQ12" s="50">
        <f t="shared" si="16"/>
        <v>92.6</v>
      </c>
      <c r="AR12" s="22"/>
      <c r="AS12" s="99">
        <f t="shared" si="17"/>
        <v>9.4290000000000003</v>
      </c>
    </row>
    <row r="13" spans="1:45" s="33" customFormat="1" x14ac:dyDescent="0.2">
      <c r="A13" s="284">
        <v>5</v>
      </c>
      <c r="B13" s="52" t="s">
        <v>48</v>
      </c>
      <c r="C13" s="278">
        <v>1</v>
      </c>
      <c r="D13" s="177">
        <v>11.061999999999999</v>
      </c>
      <c r="E13" s="171">
        <f t="shared" si="0"/>
        <v>11.06</v>
      </c>
      <c r="F13" s="154">
        <f t="shared" si="1"/>
        <v>132.69999999999999</v>
      </c>
      <c r="G13" s="154"/>
      <c r="H13" s="154">
        <f>7010.2/1000</f>
        <v>7</v>
      </c>
      <c r="I13" s="154"/>
      <c r="J13" s="154"/>
      <c r="K13" s="154">
        <f>F13*0.4</f>
        <v>53.1</v>
      </c>
      <c r="L13" s="95">
        <f t="shared" si="18"/>
        <v>20.5</v>
      </c>
      <c r="M13" s="154">
        <f t="shared" si="2"/>
        <v>213.3</v>
      </c>
      <c r="N13" s="111">
        <v>0.47</v>
      </c>
      <c r="O13" s="154">
        <f t="shared" si="3"/>
        <v>100.3</v>
      </c>
      <c r="P13" s="154">
        <f t="shared" si="4"/>
        <v>313.60000000000002</v>
      </c>
      <c r="Q13" s="154">
        <f t="shared" si="5"/>
        <v>250.9</v>
      </c>
      <c r="R13" s="154">
        <f t="shared" si="6"/>
        <v>250.9</v>
      </c>
      <c r="S13" s="154">
        <f t="shared" si="7"/>
        <v>26.1</v>
      </c>
      <c r="T13" s="154">
        <f t="shared" si="8"/>
        <v>841.5</v>
      </c>
      <c r="U13" s="2916"/>
      <c r="V13" s="154">
        <f t="shared" si="20"/>
        <v>841.5</v>
      </c>
      <c r="W13" s="95">
        <f t="shared" si="22"/>
        <v>254.1</v>
      </c>
      <c r="X13" s="54"/>
      <c r="Y13" s="24">
        <v>30</v>
      </c>
      <c r="Z13" s="48">
        <f t="shared" si="9"/>
        <v>0</v>
      </c>
      <c r="AA13" s="54"/>
      <c r="AB13" s="24">
        <v>15</v>
      </c>
      <c r="AC13" s="48">
        <f t="shared" si="10"/>
        <v>0</v>
      </c>
      <c r="AD13" s="54"/>
      <c r="AE13" s="24">
        <v>30</v>
      </c>
      <c r="AF13" s="48">
        <f t="shared" si="11"/>
        <v>0</v>
      </c>
      <c r="AG13" s="48">
        <f t="shared" si="12"/>
        <v>0</v>
      </c>
      <c r="AH13" s="48">
        <f t="shared" si="13"/>
        <v>0</v>
      </c>
      <c r="AI13" s="34">
        <f t="shared" si="14"/>
        <v>70125</v>
      </c>
      <c r="AK13" s="34">
        <f t="shared" si="15"/>
        <v>841.5</v>
      </c>
      <c r="AL13" s="34">
        <f t="shared" si="19"/>
        <v>270.60000000000002</v>
      </c>
      <c r="AM13" s="51">
        <v>0.30199999999999999</v>
      </c>
      <c r="AN13" s="50">
        <f t="shared" si="21"/>
        <v>185.1</v>
      </c>
      <c r="AO13" s="50"/>
      <c r="AP13" s="50">
        <f t="shared" si="23"/>
        <v>44.6</v>
      </c>
      <c r="AQ13" s="50">
        <f t="shared" si="16"/>
        <v>229.7</v>
      </c>
      <c r="AR13" s="22"/>
      <c r="AS13" s="22">
        <f t="shared" si="17"/>
        <v>16.593</v>
      </c>
    </row>
    <row r="14" spans="1:45" x14ac:dyDescent="0.2">
      <c r="A14" s="284">
        <v>6</v>
      </c>
      <c r="B14" s="236" t="s">
        <v>49</v>
      </c>
      <c r="C14" s="127">
        <v>1</v>
      </c>
      <c r="D14" s="237">
        <v>8.4730000000000008</v>
      </c>
      <c r="E14" s="111">
        <f t="shared" si="0"/>
        <v>8.4700000000000006</v>
      </c>
      <c r="F14" s="95">
        <f t="shared" si="1"/>
        <v>101.6</v>
      </c>
      <c r="G14" s="95"/>
      <c r="H14" s="95">
        <f>5966.1/1000</f>
        <v>6</v>
      </c>
      <c r="I14" s="95"/>
      <c r="J14" s="95"/>
      <c r="K14" s="95">
        <f>F14*0.4</f>
        <v>40.6</v>
      </c>
      <c r="L14" s="95">
        <f t="shared" si="18"/>
        <v>15.7</v>
      </c>
      <c r="M14" s="95">
        <f t="shared" si="2"/>
        <v>163.9</v>
      </c>
      <c r="N14" s="111">
        <v>0.41</v>
      </c>
      <c r="O14" s="95">
        <f t="shared" si="3"/>
        <v>67.2</v>
      </c>
      <c r="P14" s="95">
        <f t="shared" si="4"/>
        <v>231.1</v>
      </c>
      <c r="Q14" s="95">
        <f t="shared" si="5"/>
        <v>184.9</v>
      </c>
      <c r="R14" s="95">
        <f t="shared" si="6"/>
        <v>184.9</v>
      </c>
      <c r="S14" s="95">
        <f t="shared" si="7"/>
        <v>19.2</v>
      </c>
      <c r="T14" s="95">
        <f t="shared" si="8"/>
        <v>620.1</v>
      </c>
      <c r="U14" s="2916"/>
      <c r="V14" s="95">
        <f>T14*$U$9</f>
        <v>620.1</v>
      </c>
      <c r="W14" s="95">
        <f t="shared" si="22"/>
        <v>187.3</v>
      </c>
      <c r="X14" s="284"/>
      <c r="Y14" s="112">
        <v>30</v>
      </c>
      <c r="Z14" s="113">
        <f t="shared" si="9"/>
        <v>0</v>
      </c>
      <c r="AA14" s="127"/>
      <c r="AB14" s="112">
        <v>15</v>
      </c>
      <c r="AC14" s="113">
        <f t="shared" si="10"/>
        <v>0</v>
      </c>
      <c r="AD14" s="127"/>
      <c r="AE14" s="112">
        <v>30</v>
      </c>
      <c r="AF14" s="113">
        <f t="shared" si="11"/>
        <v>0</v>
      </c>
      <c r="AG14" s="113">
        <f t="shared" si="12"/>
        <v>0</v>
      </c>
      <c r="AH14" s="113">
        <f t="shared" si="13"/>
        <v>0</v>
      </c>
      <c r="AI14" s="114">
        <f t="shared" si="14"/>
        <v>51675</v>
      </c>
      <c r="AK14" s="114">
        <f t="shared" si="15"/>
        <v>620.1</v>
      </c>
      <c r="AL14" s="114">
        <f t="shared" si="19"/>
        <v>230.3</v>
      </c>
      <c r="AM14" s="115">
        <v>0.30199999999999999</v>
      </c>
      <c r="AN14" s="50">
        <f t="shared" si="21"/>
        <v>136.4</v>
      </c>
      <c r="AO14" s="50"/>
      <c r="AP14" s="50">
        <f t="shared" si="23"/>
        <v>32.9</v>
      </c>
      <c r="AQ14" s="50">
        <f t="shared" si="16"/>
        <v>169.3</v>
      </c>
      <c r="AR14" s="22"/>
      <c r="AS14" s="99">
        <f t="shared" si="17"/>
        <v>12.7095</v>
      </c>
    </row>
    <row r="15" spans="1:45" x14ac:dyDescent="0.2">
      <c r="A15" s="284">
        <v>7</v>
      </c>
      <c r="B15" s="236" t="s">
        <v>52</v>
      </c>
      <c r="C15" s="127">
        <v>1</v>
      </c>
      <c r="D15" s="237">
        <v>8.4730000000000008</v>
      </c>
      <c r="E15" s="111">
        <f t="shared" si="0"/>
        <v>8.4700000000000006</v>
      </c>
      <c r="F15" s="95">
        <f t="shared" si="1"/>
        <v>101.6</v>
      </c>
      <c r="G15" s="95"/>
      <c r="H15" s="95">
        <f>5966.1/1000</f>
        <v>6</v>
      </c>
      <c r="I15" s="95"/>
      <c r="J15" s="95"/>
      <c r="K15" s="95">
        <f>F15*0.25</f>
        <v>25.4</v>
      </c>
      <c r="L15" s="95">
        <f t="shared" si="18"/>
        <v>15.7</v>
      </c>
      <c r="M15" s="95">
        <f t="shared" si="2"/>
        <v>148.69999999999999</v>
      </c>
      <c r="N15" s="111">
        <v>0.41</v>
      </c>
      <c r="O15" s="95">
        <f t="shared" si="3"/>
        <v>61</v>
      </c>
      <c r="P15" s="95">
        <f t="shared" si="4"/>
        <v>209.7</v>
      </c>
      <c r="Q15" s="95">
        <f t="shared" si="5"/>
        <v>167.8</v>
      </c>
      <c r="R15" s="95">
        <f t="shared" si="6"/>
        <v>167.8</v>
      </c>
      <c r="S15" s="95">
        <f t="shared" si="7"/>
        <v>17.399999999999999</v>
      </c>
      <c r="T15" s="95">
        <f t="shared" si="8"/>
        <v>562.70000000000005</v>
      </c>
      <c r="U15" s="2916"/>
      <c r="V15" s="95">
        <f t="shared" si="20"/>
        <v>562.70000000000005</v>
      </c>
      <c r="W15" s="95">
        <f t="shared" si="22"/>
        <v>169.9</v>
      </c>
      <c r="X15" s="284"/>
      <c r="Y15" s="112">
        <v>30</v>
      </c>
      <c r="Z15" s="113">
        <f t="shared" si="9"/>
        <v>0</v>
      </c>
      <c r="AA15" s="127"/>
      <c r="AB15" s="112">
        <v>15</v>
      </c>
      <c r="AC15" s="113">
        <f t="shared" si="10"/>
        <v>0</v>
      </c>
      <c r="AD15" s="127"/>
      <c r="AE15" s="112">
        <v>30</v>
      </c>
      <c r="AF15" s="113">
        <f t="shared" si="11"/>
        <v>0</v>
      </c>
      <c r="AG15" s="113">
        <f t="shared" si="12"/>
        <v>0</v>
      </c>
      <c r="AH15" s="113">
        <f t="shared" si="13"/>
        <v>0</v>
      </c>
      <c r="AI15" s="114">
        <f t="shared" si="14"/>
        <v>46891.7</v>
      </c>
      <c r="AK15" s="114">
        <f t="shared" si="15"/>
        <v>562.70000000000005</v>
      </c>
      <c r="AL15" s="114">
        <f t="shared" si="19"/>
        <v>219.9</v>
      </c>
      <c r="AM15" s="115">
        <v>0.30199999999999999</v>
      </c>
      <c r="AN15" s="50">
        <f t="shared" si="21"/>
        <v>123.8</v>
      </c>
      <c r="AO15" s="50"/>
      <c r="AP15" s="50">
        <f t="shared" si="23"/>
        <v>29.8</v>
      </c>
      <c r="AQ15" s="50">
        <f t="shared" si="16"/>
        <v>153.6</v>
      </c>
      <c r="AS15" s="99">
        <f t="shared" si="17"/>
        <v>12.7095</v>
      </c>
    </row>
    <row r="16" spans="1:45" x14ac:dyDescent="0.2">
      <c r="A16" s="284">
        <v>8</v>
      </c>
      <c r="B16" s="236" t="s">
        <v>40</v>
      </c>
      <c r="C16" s="127">
        <v>1</v>
      </c>
      <c r="D16" s="237">
        <v>11.061999999999999</v>
      </c>
      <c r="E16" s="111">
        <f t="shared" si="0"/>
        <v>11.06</v>
      </c>
      <c r="F16" s="95">
        <f t="shared" si="1"/>
        <v>132.69999999999999</v>
      </c>
      <c r="G16" s="95"/>
      <c r="H16" s="95">
        <f>7010.2/1000</f>
        <v>7</v>
      </c>
      <c r="I16" s="95"/>
      <c r="J16" s="95"/>
      <c r="K16" s="95">
        <f>F16*0.25</f>
        <v>33.200000000000003</v>
      </c>
      <c r="L16" s="95">
        <f t="shared" si="18"/>
        <v>20.5</v>
      </c>
      <c r="M16" s="95">
        <f t="shared" si="2"/>
        <v>193.4</v>
      </c>
      <c r="N16" s="111">
        <v>0.43</v>
      </c>
      <c r="O16" s="95">
        <f t="shared" si="3"/>
        <v>83.2</v>
      </c>
      <c r="P16" s="95">
        <f t="shared" si="4"/>
        <v>276.60000000000002</v>
      </c>
      <c r="Q16" s="95">
        <f t="shared" si="5"/>
        <v>221.3</v>
      </c>
      <c r="R16" s="95">
        <f t="shared" si="6"/>
        <v>221.3</v>
      </c>
      <c r="S16" s="95">
        <f t="shared" si="7"/>
        <v>23</v>
      </c>
      <c r="T16" s="95">
        <f t="shared" si="8"/>
        <v>742.2</v>
      </c>
      <c r="U16" s="2916"/>
      <c r="V16" s="95">
        <f t="shared" si="20"/>
        <v>742.2</v>
      </c>
      <c r="W16" s="95">
        <f t="shared" si="22"/>
        <v>224.1</v>
      </c>
      <c r="X16" s="284"/>
      <c r="Y16" s="112">
        <v>30</v>
      </c>
      <c r="Z16" s="113">
        <f t="shared" si="9"/>
        <v>0</v>
      </c>
      <c r="AA16" s="127"/>
      <c r="AB16" s="112">
        <v>15</v>
      </c>
      <c r="AC16" s="113">
        <f t="shared" si="10"/>
        <v>0</v>
      </c>
      <c r="AD16" s="127"/>
      <c r="AE16" s="112">
        <v>30</v>
      </c>
      <c r="AF16" s="113">
        <f t="shared" si="11"/>
        <v>0</v>
      </c>
      <c r="AG16" s="113">
        <f t="shared" si="12"/>
        <v>0</v>
      </c>
      <c r="AH16" s="113">
        <f t="shared" si="13"/>
        <v>0</v>
      </c>
      <c r="AI16" s="114">
        <f t="shared" si="14"/>
        <v>61850</v>
      </c>
      <c r="AK16" s="114">
        <f t="shared" si="15"/>
        <v>742.2</v>
      </c>
      <c r="AL16" s="114">
        <f t="shared" si="19"/>
        <v>252.6</v>
      </c>
      <c r="AM16" s="115">
        <v>0.30199999999999999</v>
      </c>
      <c r="AN16" s="50">
        <f t="shared" si="21"/>
        <v>163.30000000000001</v>
      </c>
      <c r="AO16" s="242"/>
      <c r="AP16" s="50">
        <f t="shared" si="23"/>
        <v>39.299999999999997</v>
      </c>
      <c r="AQ16" s="50">
        <f t="shared" si="16"/>
        <v>202.6</v>
      </c>
      <c r="AS16" s="99">
        <f t="shared" si="17"/>
        <v>16.593</v>
      </c>
    </row>
    <row r="17" spans="1:45" x14ac:dyDescent="0.2">
      <c r="A17" s="284">
        <v>9</v>
      </c>
      <c r="B17" s="236" t="s">
        <v>29</v>
      </c>
      <c r="C17" s="127">
        <v>1</v>
      </c>
      <c r="D17" s="237">
        <v>8.4730000000000008</v>
      </c>
      <c r="E17" s="111">
        <f t="shared" si="0"/>
        <v>8.4700000000000006</v>
      </c>
      <c r="F17" s="95">
        <f t="shared" si="1"/>
        <v>101.6</v>
      </c>
      <c r="G17" s="95"/>
      <c r="H17" s="95">
        <f>5369.5/1000</f>
        <v>5.4</v>
      </c>
      <c r="I17" s="95"/>
      <c r="J17" s="95">
        <f>D17*0.1*3</f>
        <v>2.5</v>
      </c>
      <c r="K17" s="95">
        <f>D17*0.25*12</f>
        <v>25.4</v>
      </c>
      <c r="L17" s="95">
        <f t="shared" si="18"/>
        <v>15.7</v>
      </c>
      <c r="M17" s="95">
        <f t="shared" si="2"/>
        <v>150.6</v>
      </c>
      <c r="N17" s="111">
        <v>0.41</v>
      </c>
      <c r="O17" s="95">
        <f t="shared" si="3"/>
        <v>61.7</v>
      </c>
      <c r="P17" s="95">
        <f t="shared" si="4"/>
        <v>212.3</v>
      </c>
      <c r="Q17" s="95">
        <f t="shared" si="5"/>
        <v>169.8</v>
      </c>
      <c r="R17" s="95">
        <f t="shared" si="6"/>
        <v>169.8</v>
      </c>
      <c r="S17" s="95">
        <f t="shared" si="7"/>
        <v>17.7</v>
      </c>
      <c r="T17" s="95">
        <f t="shared" si="8"/>
        <v>569.6</v>
      </c>
      <c r="U17" s="2916"/>
      <c r="V17" s="95">
        <f t="shared" si="20"/>
        <v>569.6</v>
      </c>
      <c r="W17" s="95">
        <f t="shared" si="22"/>
        <v>172</v>
      </c>
      <c r="X17" s="284">
        <v>1</v>
      </c>
      <c r="Y17" s="112">
        <v>30</v>
      </c>
      <c r="Z17" s="113">
        <f t="shared" si="9"/>
        <v>30</v>
      </c>
      <c r="AA17" s="127"/>
      <c r="AB17" s="112">
        <v>15</v>
      </c>
      <c r="AC17" s="113">
        <f t="shared" si="10"/>
        <v>0</v>
      </c>
      <c r="AD17" s="127"/>
      <c r="AE17" s="112">
        <v>30</v>
      </c>
      <c r="AF17" s="113">
        <f t="shared" si="11"/>
        <v>0</v>
      </c>
      <c r="AG17" s="113">
        <f t="shared" si="12"/>
        <v>9</v>
      </c>
      <c r="AH17" s="113">
        <f t="shared" si="13"/>
        <v>39</v>
      </c>
      <c r="AI17" s="114">
        <f t="shared" si="14"/>
        <v>47466.7</v>
      </c>
      <c r="AK17" s="114">
        <f t="shared" si="15"/>
        <v>569.6</v>
      </c>
      <c r="AL17" s="114">
        <f t="shared" si="19"/>
        <v>221.1</v>
      </c>
      <c r="AM17" s="115">
        <v>0.30199999999999999</v>
      </c>
      <c r="AN17" s="50">
        <f t="shared" si="21"/>
        <v>125.3</v>
      </c>
      <c r="AO17" s="242"/>
      <c r="AP17" s="50">
        <f t="shared" si="23"/>
        <v>30.2</v>
      </c>
      <c r="AQ17" s="50">
        <f t="shared" si="16"/>
        <v>155.5</v>
      </c>
      <c r="AS17" s="99">
        <f t="shared" si="17"/>
        <v>12.7095</v>
      </c>
    </row>
    <row r="18" spans="1:45" ht="25.5" x14ac:dyDescent="0.2">
      <c r="A18" s="284">
        <v>10</v>
      </c>
      <c r="B18" s="236" t="s">
        <v>148</v>
      </c>
      <c r="C18" s="127">
        <v>1</v>
      </c>
      <c r="D18" s="237">
        <v>8.4730000000000008</v>
      </c>
      <c r="E18" s="111">
        <f t="shared" si="0"/>
        <v>8.4700000000000006</v>
      </c>
      <c r="F18" s="95">
        <f t="shared" si="1"/>
        <v>101.6</v>
      </c>
      <c r="G18" s="95"/>
      <c r="H18" s="95"/>
      <c r="I18" s="95"/>
      <c r="J18" s="95"/>
      <c r="K18" s="95">
        <f>F18*0.25+D18*0.05*11</f>
        <v>30.1</v>
      </c>
      <c r="L18" s="95">
        <f t="shared" si="18"/>
        <v>15.7</v>
      </c>
      <c r="M18" s="95">
        <f t="shared" si="2"/>
        <v>147.4</v>
      </c>
      <c r="N18" s="111">
        <v>0.41</v>
      </c>
      <c r="O18" s="95">
        <f t="shared" si="3"/>
        <v>60.4</v>
      </c>
      <c r="P18" s="95">
        <f t="shared" si="4"/>
        <v>207.8</v>
      </c>
      <c r="Q18" s="95">
        <f t="shared" si="5"/>
        <v>166.2</v>
      </c>
      <c r="R18" s="95">
        <f t="shared" si="6"/>
        <v>166.2</v>
      </c>
      <c r="S18" s="95">
        <f t="shared" si="7"/>
        <v>17.3</v>
      </c>
      <c r="T18" s="95">
        <f t="shared" si="8"/>
        <v>557.5</v>
      </c>
      <c r="U18" s="2916"/>
      <c r="V18" s="95">
        <f t="shared" si="20"/>
        <v>557.5</v>
      </c>
      <c r="W18" s="95">
        <f t="shared" si="22"/>
        <v>168.4</v>
      </c>
      <c r="X18" s="284">
        <v>1</v>
      </c>
      <c r="Y18" s="112">
        <v>30</v>
      </c>
      <c r="Z18" s="113">
        <f t="shared" si="9"/>
        <v>30</v>
      </c>
      <c r="AA18" s="127"/>
      <c r="AB18" s="112">
        <v>15</v>
      </c>
      <c r="AC18" s="113">
        <f t="shared" si="10"/>
        <v>0</v>
      </c>
      <c r="AD18" s="127"/>
      <c r="AE18" s="112">
        <v>30</v>
      </c>
      <c r="AF18" s="113">
        <f t="shared" si="11"/>
        <v>0</v>
      </c>
      <c r="AG18" s="113">
        <f t="shared" si="12"/>
        <v>9</v>
      </c>
      <c r="AH18" s="113">
        <f t="shared" si="13"/>
        <v>39</v>
      </c>
      <c r="AI18" s="114"/>
      <c r="AK18" s="114">
        <f t="shared" si="15"/>
        <v>557.5</v>
      </c>
      <c r="AL18" s="114"/>
      <c r="AM18" s="115"/>
      <c r="AN18" s="50">
        <f t="shared" si="21"/>
        <v>122.7</v>
      </c>
      <c r="AO18" s="242"/>
      <c r="AP18" s="50">
        <f t="shared" si="23"/>
        <v>29.5</v>
      </c>
      <c r="AQ18" s="50">
        <f t="shared" si="16"/>
        <v>152.19999999999999</v>
      </c>
    </row>
    <row r="19" spans="1:45" ht="25.5" x14ac:dyDescent="0.2">
      <c r="A19" s="284">
        <v>11</v>
      </c>
      <c r="B19" s="236" t="s">
        <v>130</v>
      </c>
      <c r="C19" s="127">
        <v>1</v>
      </c>
      <c r="D19" s="237">
        <v>8.4730000000000008</v>
      </c>
      <c r="E19" s="111">
        <f t="shared" si="0"/>
        <v>8.4700000000000006</v>
      </c>
      <c r="F19" s="95">
        <f t="shared" si="1"/>
        <v>101.6</v>
      </c>
      <c r="G19" s="95"/>
      <c r="H19" s="95"/>
      <c r="I19" s="95"/>
      <c r="J19" s="95"/>
      <c r="K19" s="95"/>
      <c r="L19" s="95">
        <f t="shared" si="18"/>
        <v>15.7</v>
      </c>
      <c r="M19" s="95">
        <f t="shared" si="2"/>
        <v>117.3</v>
      </c>
      <c r="N19" s="111">
        <v>0.47</v>
      </c>
      <c r="O19" s="95">
        <f t="shared" si="3"/>
        <v>55.1</v>
      </c>
      <c r="P19" s="95">
        <f t="shared" si="4"/>
        <v>172.4</v>
      </c>
      <c r="Q19" s="95">
        <f t="shared" si="5"/>
        <v>137.9</v>
      </c>
      <c r="R19" s="95">
        <f t="shared" si="6"/>
        <v>137.9</v>
      </c>
      <c r="S19" s="95">
        <f t="shared" si="7"/>
        <v>14.3</v>
      </c>
      <c r="T19" s="95">
        <f t="shared" si="8"/>
        <v>462.5</v>
      </c>
      <c r="U19" s="2916"/>
      <c r="V19" s="95">
        <f t="shared" si="20"/>
        <v>462.5</v>
      </c>
      <c r="W19" s="95">
        <f t="shared" si="22"/>
        <v>139.69999999999999</v>
      </c>
      <c r="X19" s="284"/>
      <c r="Y19" s="112">
        <v>30</v>
      </c>
      <c r="Z19" s="113">
        <f t="shared" si="9"/>
        <v>0</v>
      </c>
      <c r="AA19" s="127"/>
      <c r="AB19" s="112">
        <v>15</v>
      </c>
      <c r="AC19" s="113">
        <f t="shared" si="10"/>
        <v>0</v>
      </c>
      <c r="AD19" s="127"/>
      <c r="AE19" s="112">
        <v>30</v>
      </c>
      <c r="AF19" s="113">
        <f t="shared" si="11"/>
        <v>0</v>
      </c>
      <c r="AG19" s="113">
        <f t="shared" si="12"/>
        <v>0</v>
      </c>
      <c r="AH19" s="113">
        <f t="shared" si="13"/>
        <v>0</v>
      </c>
      <c r="AI19" s="114"/>
      <c r="AK19" s="114">
        <f t="shared" si="15"/>
        <v>462.5</v>
      </c>
      <c r="AL19" s="114"/>
      <c r="AM19" s="115"/>
      <c r="AN19" s="50">
        <f t="shared" si="21"/>
        <v>101.8</v>
      </c>
      <c r="AO19" s="242"/>
      <c r="AP19" s="50">
        <f t="shared" si="23"/>
        <v>24.5</v>
      </c>
      <c r="AQ19" s="50">
        <f t="shared" si="16"/>
        <v>126.3</v>
      </c>
    </row>
    <row r="20" spans="1:45" ht="25.5" x14ac:dyDescent="0.2">
      <c r="A20" s="284">
        <v>12</v>
      </c>
      <c r="B20" s="236" t="s">
        <v>149</v>
      </c>
      <c r="C20" s="127">
        <v>1</v>
      </c>
      <c r="D20" s="237">
        <v>11.061999999999999</v>
      </c>
      <c r="E20" s="111">
        <f t="shared" si="0"/>
        <v>11.06</v>
      </c>
      <c r="F20" s="95">
        <f t="shared" si="1"/>
        <v>132.69999999999999</v>
      </c>
      <c r="G20" s="95"/>
      <c r="H20" s="95"/>
      <c r="I20" s="95"/>
      <c r="J20" s="95"/>
      <c r="K20" s="95"/>
      <c r="L20" s="95">
        <f t="shared" si="18"/>
        <v>20.5</v>
      </c>
      <c r="M20" s="95">
        <f t="shared" si="2"/>
        <v>153.19999999999999</v>
      </c>
      <c r="N20" s="111">
        <v>0.43</v>
      </c>
      <c r="O20" s="95">
        <f t="shared" si="3"/>
        <v>65.900000000000006</v>
      </c>
      <c r="P20" s="95">
        <f t="shared" si="4"/>
        <v>219.1</v>
      </c>
      <c r="Q20" s="95">
        <f t="shared" si="5"/>
        <v>175.3</v>
      </c>
      <c r="R20" s="95">
        <f t="shared" si="6"/>
        <v>175.3</v>
      </c>
      <c r="S20" s="95">
        <f t="shared" si="7"/>
        <v>18.2</v>
      </c>
      <c r="T20" s="95">
        <f t="shared" si="8"/>
        <v>587.9</v>
      </c>
      <c r="U20" s="2916"/>
      <c r="V20" s="95">
        <f t="shared" si="20"/>
        <v>587.9</v>
      </c>
      <c r="W20" s="95">
        <f t="shared" si="22"/>
        <v>177.5</v>
      </c>
      <c r="X20" s="284"/>
      <c r="Y20" s="112">
        <v>30</v>
      </c>
      <c r="Z20" s="113">
        <f t="shared" si="9"/>
        <v>0</v>
      </c>
      <c r="AA20" s="127"/>
      <c r="AB20" s="112">
        <v>15</v>
      </c>
      <c r="AC20" s="113">
        <f t="shared" si="10"/>
        <v>0</v>
      </c>
      <c r="AD20" s="127"/>
      <c r="AE20" s="112">
        <v>30</v>
      </c>
      <c r="AF20" s="113">
        <f t="shared" si="11"/>
        <v>0</v>
      </c>
      <c r="AG20" s="113">
        <f t="shared" si="12"/>
        <v>0</v>
      </c>
      <c r="AH20" s="113">
        <f t="shared" si="13"/>
        <v>0</v>
      </c>
      <c r="AI20" s="114"/>
      <c r="AK20" s="114">
        <f t="shared" si="15"/>
        <v>587.9</v>
      </c>
      <c r="AL20" s="114"/>
      <c r="AM20" s="115"/>
      <c r="AN20" s="50">
        <f t="shared" si="21"/>
        <v>129.30000000000001</v>
      </c>
      <c r="AO20" s="242"/>
      <c r="AP20" s="50">
        <f t="shared" si="23"/>
        <v>31.2</v>
      </c>
      <c r="AQ20" s="50">
        <f t="shared" si="16"/>
        <v>160.5</v>
      </c>
    </row>
    <row r="21" spans="1:45" x14ac:dyDescent="0.2">
      <c r="A21" s="284">
        <v>13</v>
      </c>
      <c r="B21" s="243" t="s">
        <v>42</v>
      </c>
      <c r="C21" s="127">
        <v>1</v>
      </c>
      <c r="D21" s="237">
        <v>11.061999999999999</v>
      </c>
      <c r="E21" s="111">
        <f t="shared" si="0"/>
        <v>11.06</v>
      </c>
      <c r="F21" s="95">
        <f t="shared" si="1"/>
        <v>132.69999999999999</v>
      </c>
      <c r="G21" s="95"/>
      <c r="H21" s="95">
        <f>7789.1/1000</f>
        <v>7.8</v>
      </c>
      <c r="I21" s="95"/>
      <c r="J21" s="95"/>
      <c r="K21" s="95">
        <f>F21*0.3+D21*0.05*2</f>
        <v>40.9</v>
      </c>
      <c r="L21" s="95">
        <f t="shared" si="18"/>
        <v>20.5</v>
      </c>
      <c r="M21" s="95">
        <f t="shared" si="2"/>
        <v>201.9</v>
      </c>
      <c r="N21" s="111">
        <v>0.43</v>
      </c>
      <c r="O21" s="95">
        <f t="shared" si="3"/>
        <v>86.8</v>
      </c>
      <c r="P21" s="95">
        <f t="shared" si="4"/>
        <v>288.7</v>
      </c>
      <c r="Q21" s="95">
        <f t="shared" si="5"/>
        <v>231</v>
      </c>
      <c r="R21" s="95">
        <f t="shared" si="6"/>
        <v>231</v>
      </c>
      <c r="S21" s="95">
        <f t="shared" si="7"/>
        <v>24</v>
      </c>
      <c r="T21" s="95">
        <f t="shared" si="8"/>
        <v>774.7</v>
      </c>
      <c r="U21" s="2916"/>
      <c r="V21" s="95">
        <f t="shared" si="20"/>
        <v>774.7</v>
      </c>
      <c r="W21" s="95">
        <f t="shared" si="22"/>
        <v>234</v>
      </c>
      <c r="X21" s="284"/>
      <c r="Y21" s="112">
        <v>30</v>
      </c>
      <c r="Z21" s="113">
        <f t="shared" si="9"/>
        <v>0</v>
      </c>
      <c r="AA21" s="127"/>
      <c r="AB21" s="112">
        <v>15</v>
      </c>
      <c r="AC21" s="113">
        <f t="shared" si="10"/>
        <v>0</v>
      </c>
      <c r="AD21" s="127"/>
      <c r="AE21" s="112">
        <v>30</v>
      </c>
      <c r="AF21" s="113">
        <f t="shared" si="11"/>
        <v>0</v>
      </c>
      <c r="AG21" s="113">
        <f t="shared" si="12"/>
        <v>0</v>
      </c>
      <c r="AH21" s="113">
        <f t="shared" si="13"/>
        <v>0</v>
      </c>
      <c r="AI21" s="114">
        <f>V21/12/C21*1000</f>
        <v>64558.3</v>
      </c>
      <c r="AK21" s="114">
        <f t="shared" si="15"/>
        <v>774.7</v>
      </c>
      <c r="AL21" s="114">
        <f t="shared" si="19"/>
        <v>258.5</v>
      </c>
      <c r="AM21" s="115">
        <v>0.30199999999999999</v>
      </c>
      <c r="AN21" s="50">
        <f t="shared" si="21"/>
        <v>170.4</v>
      </c>
      <c r="AO21" s="244"/>
      <c r="AP21" s="50">
        <f t="shared" si="23"/>
        <v>41.1</v>
      </c>
      <c r="AQ21" s="50">
        <f t="shared" si="16"/>
        <v>211.5</v>
      </c>
      <c r="AS21" s="99">
        <f>D21*1.5</f>
        <v>16.593</v>
      </c>
    </row>
    <row r="22" spans="1:45" x14ac:dyDescent="0.2">
      <c r="A22" s="284">
        <v>14</v>
      </c>
      <c r="B22" s="236" t="s">
        <v>33</v>
      </c>
      <c r="C22" s="127">
        <v>1</v>
      </c>
      <c r="D22" s="237">
        <v>8.4730000000000008</v>
      </c>
      <c r="E22" s="111">
        <f t="shared" si="0"/>
        <v>8.4700000000000006</v>
      </c>
      <c r="F22" s="95">
        <f t="shared" si="1"/>
        <v>101.6</v>
      </c>
      <c r="G22" s="95">
        <f>18010.1/1000</f>
        <v>18</v>
      </c>
      <c r="H22" s="95">
        <f>4474.6/1000</f>
        <v>4.5</v>
      </c>
      <c r="I22" s="95"/>
      <c r="J22" s="95"/>
      <c r="K22" s="95">
        <f>F22*0.25</f>
        <v>25.4</v>
      </c>
      <c r="L22" s="95">
        <f t="shared" si="18"/>
        <v>15.7</v>
      </c>
      <c r="M22" s="95">
        <f t="shared" si="2"/>
        <v>165.2</v>
      </c>
      <c r="N22" s="111">
        <v>0.41</v>
      </c>
      <c r="O22" s="95">
        <f t="shared" si="3"/>
        <v>67.7</v>
      </c>
      <c r="P22" s="95">
        <f t="shared" si="4"/>
        <v>232.9</v>
      </c>
      <c r="Q22" s="95">
        <f t="shared" si="5"/>
        <v>186.3</v>
      </c>
      <c r="R22" s="95">
        <f t="shared" si="6"/>
        <v>186.3</v>
      </c>
      <c r="S22" s="95">
        <f t="shared" si="7"/>
        <v>19.399999999999999</v>
      </c>
      <c r="T22" s="95">
        <f t="shared" si="8"/>
        <v>624.9</v>
      </c>
      <c r="U22" s="2916"/>
      <c r="V22" s="95">
        <f t="shared" si="20"/>
        <v>624.9</v>
      </c>
      <c r="W22" s="95">
        <f t="shared" si="22"/>
        <v>188.7</v>
      </c>
      <c r="X22" s="238"/>
      <c r="Y22" s="240">
        <v>30</v>
      </c>
      <c r="Z22" s="241">
        <f t="shared" si="9"/>
        <v>0</v>
      </c>
      <c r="AA22" s="238"/>
      <c r="AB22" s="240">
        <v>15</v>
      </c>
      <c r="AC22" s="241">
        <f t="shared" si="10"/>
        <v>0</v>
      </c>
      <c r="AD22" s="238"/>
      <c r="AE22" s="240">
        <v>30</v>
      </c>
      <c r="AF22" s="241">
        <f t="shared" si="11"/>
        <v>0</v>
      </c>
      <c r="AG22" s="241">
        <f t="shared" si="12"/>
        <v>0</v>
      </c>
      <c r="AH22" s="241">
        <f t="shared" si="13"/>
        <v>0</v>
      </c>
      <c r="AI22" s="114">
        <f>V22/12/C22*1000</f>
        <v>52075</v>
      </c>
      <c r="AK22" s="114">
        <f t="shared" si="15"/>
        <v>624.9</v>
      </c>
      <c r="AL22" s="114">
        <f t="shared" si="19"/>
        <v>231.2</v>
      </c>
      <c r="AM22" s="115">
        <v>0.30199999999999999</v>
      </c>
      <c r="AN22" s="50">
        <f t="shared" si="21"/>
        <v>137.5</v>
      </c>
      <c r="AO22" s="244"/>
      <c r="AP22" s="50">
        <f t="shared" si="23"/>
        <v>33.1</v>
      </c>
      <c r="AQ22" s="50">
        <f t="shared" si="16"/>
        <v>170.6</v>
      </c>
      <c r="AR22" s="245"/>
      <c r="AS22" s="99">
        <f>D22*1.5</f>
        <v>12.7095</v>
      </c>
    </row>
    <row r="23" spans="1:45" s="245" customFormat="1" x14ac:dyDescent="0.2">
      <c r="A23" s="284">
        <v>15</v>
      </c>
      <c r="B23" s="236" t="s">
        <v>58</v>
      </c>
      <c r="C23" s="246">
        <v>1</v>
      </c>
      <c r="D23" s="247">
        <v>11.061999999999999</v>
      </c>
      <c r="E23" s="111">
        <f t="shared" si="0"/>
        <v>11.06</v>
      </c>
      <c r="F23" s="95">
        <f t="shared" si="1"/>
        <v>132.69999999999999</v>
      </c>
      <c r="G23" s="248"/>
      <c r="H23" s="248"/>
      <c r="I23" s="248"/>
      <c r="J23" s="248"/>
      <c r="K23" s="248"/>
      <c r="L23" s="95">
        <f t="shared" si="18"/>
        <v>20.5</v>
      </c>
      <c r="M23" s="95">
        <f t="shared" si="2"/>
        <v>153.19999999999999</v>
      </c>
      <c r="N23" s="111">
        <v>0.43</v>
      </c>
      <c r="O23" s="95">
        <f t="shared" si="3"/>
        <v>65.900000000000006</v>
      </c>
      <c r="P23" s="95">
        <f t="shared" si="4"/>
        <v>219.1</v>
      </c>
      <c r="Q23" s="95">
        <f t="shared" si="5"/>
        <v>175.3</v>
      </c>
      <c r="R23" s="95">
        <f t="shared" si="6"/>
        <v>175.3</v>
      </c>
      <c r="S23" s="95">
        <f t="shared" si="7"/>
        <v>18.2</v>
      </c>
      <c r="T23" s="95">
        <f t="shared" si="8"/>
        <v>587.9</v>
      </c>
      <c r="U23" s="2916"/>
      <c r="V23" s="95">
        <f t="shared" si="20"/>
        <v>587.9</v>
      </c>
      <c r="W23" s="95">
        <f t="shared" si="22"/>
        <v>177.5</v>
      </c>
      <c r="X23" s="246"/>
      <c r="Y23" s="240">
        <v>30</v>
      </c>
      <c r="Z23" s="241">
        <f t="shared" si="9"/>
        <v>0</v>
      </c>
      <c r="AA23" s="246"/>
      <c r="AB23" s="240">
        <v>15</v>
      </c>
      <c r="AC23" s="241">
        <f t="shared" si="10"/>
        <v>0</v>
      </c>
      <c r="AD23" s="246"/>
      <c r="AE23" s="240">
        <v>30</v>
      </c>
      <c r="AF23" s="241">
        <f t="shared" si="11"/>
        <v>0</v>
      </c>
      <c r="AG23" s="241">
        <f t="shared" si="12"/>
        <v>0</v>
      </c>
      <c r="AH23" s="241">
        <f t="shared" si="13"/>
        <v>0</v>
      </c>
      <c r="AI23" s="114"/>
      <c r="AK23" s="114">
        <f t="shared" si="15"/>
        <v>587.9</v>
      </c>
      <c r="AL23" s="114"/>
      <c r="AM23" s="115"/>
      <c r="AN23" s="50">
        <f t="shared" si="21"/>
        <v>129.30000000000001</v>
      </c>
      <c r="AO23" s="211"/>
      <c r="AP23" s="50">
        <f t="shared" si="23"/>
        <v>31.2</v>
      </c>
      <c r="AQ23" s="50">
        <f t="shared" si="16"/>
        <v>160.5</v>
      </c>
      <c r="AR23" s="99"/>
      <c r="AS23" s="99"/>
    </row>
    <row r="24" spans="1:45" s="252" customFormat="1" ht="25.5" x14ac:dyDescent="0.2">
      <c r="A24" s="284">
        <v>16</v>
      </c>
      <c r="B24" s="236" t="s">
        <v>102</v>
      </c>
      <c r="C24" s="238">
        <v>1</v>
      </c>
      <c r="D24" s="237">
        <v>4.3769999999999998</v>
      </c>
      <c r="E24" s="249">
        <f t="shared" si="0"/>
        <v>4.38</v>
      </c>
      <c r="F24" s="170">
        <f t="shared" si="1"/>
        <v>52.6</v>
      </c>
      <c r="G24" s="248"/>
      <c r="H24" s="248"/>
      <c r="I24" s="248"/>
      <c r="J24" s="248"/>
      <c r="K24" s="248"/>
      <c r="L24" s="95">
        <v>35.200000000000003</v>
      </c>
      <c r="M24" s="248">
        <f t="shared" si="2"/>
        <v>87.8</v>
      </c>
      <c r="N24" s="111">
        <v>0.49</v>
      </c>
      <c r="O24" s="248">
        <f t="shared" si="3"/>
        <v>43</v>
      </c>
      <c r="P24" s="248">
        <f t="shared" si="4"/>
        <v>130.80000000000001</v>
      </c>
      <c r="Q24" s="248">
        <f t="shared" si="5"/>
        <v>104.6</v>
      </c>
      <c r="R24" s="95">
        <f t="shared" si="6"/>
        <v>104.6</v>
      </c>
      <c r="S24" s="248">
        <f t="shared" si="7"/>
        <v>10.9</v>
      </c>
      <c r="T24" s="248">
        <f t="shared" si="8"/>
        <v>350.9</v>
      </c>
      <c r="U24" s="2917"/>
      <c r="V24" s="250">
        <f>T24*$U$9-0.3</f>
        <v>350.6</v>
      </c>
      <c r="W24" s="95">
        <f t="shared" si="22"/>
        <v>105.9</v>
      </c>
      <c r="X24" s="251">
        <v>1</v>
      </c>
      <c r="Y24" s="112">
        <v>30</v>
      </c>
      <c r="Z24" s="113">
        <f t="shared" si="9"/>
        <v>30</v>
      </c>
      <c r="AA24" s="251"/>
      <c r="AB24" s="112">
        <v>15</v>
      </c>
      <c r="AC24" s="113">
        <f t="shared" si="10"/>
        <v>0</v>
      </c>
      <c r="AD24" s="251"/>
      <c r="AE24" s="112">
        <v>30</v>
      </c>
      <c r="AF24" s="113">
        <f t="shared" si="11"/>
        <v>0</v>
      </c>
      <c r="AG24" s="113">
        <f t="shared" si="12"/>
        <v>9</v>
      </c>
      <c r="AH24" s="113">
        <f t="shared" si="13"/>
        <v>39</v>
      </c>
      <c r="AI24" s="114">
        <f>V24/12/C24*1000</f>
        <v>29216.7</v>
      </c>
      <c r="AK24" s="114">
        <f t="shared" si="15"/>
        <v>350.6</v>
      </c>
      <c r="AL24" s="114">
        <f t="shared" si="19"/>
        <v>181.3</v>
      </c>
      <c r="AM24" s="115">
        <v>0.30199999999999999</v>
      </c>
      <c r="AN24" s="50">
        <f t="shared" si="21"/>
        <v>77.099999999999994</v>
      </c>
      <c r="AO24" s="211"/>
      <c r="AP24" s="50">
        <f t="shared" si="23"/>
        <v>18.600000000000001</v>
      </c>
      <c r="AQ24" s="50">
        <f t="shared" si="16"/>
        <v>95.7</v>
      </c>
      <c r="AR24" s="99"/>
      <c r="AS24" s="99">
        <f>D24*1.5</f>
        <v>6.5655000000000001</v>
      </c>
    </row>
    <row r="25" spans="1:45" s="98" customFormat="1" ht="20.25" customHeight="1" x14ac:dyDescent="0.2">
      <c r="A25" s="2918" t="s">
        <v>8</v>
      </c>
      <c r="B25" s="2918"/>
      <c r="C25" s="253">
        <f t="shared" ref="C25:M25" si="24">SUM(C9:C24)</f>
        <v>19</v>
      </c>
      <c r="D25" s="254">
        <f t="shared" si="24"/>
        <v>171.5</v>
      </c>
      <c r="E25" s="254">
        <f t="shared" si="24"/>
        <v>204.7</v>
      </c>
      <c r="F25" s="254">
        <f t="shared" si="24"/>
        <v>2455.8000000000002</v>
      </c>
      <c r="G25" s="254">
        <f t="shared" si="24"/>
        <v>18</v>
      </c>
      <c r="H25" s="254">
        <f t="shared" si="24"/>
        <v>76.7</v>
      </c>
      <c r="I25" s="254">
        <f t="shared" si="24"/>
        <v>0</v>
      </c>
      <c r="J25" s="254">
        <f t="shared" si="24"/>
        <v>2.5</v>
      </c>
      <c r="K25" s="254">
        <f t="shared" si="24"/>
        <v>868.2</v>
      </c>
      <c r="L25" s="254">
        <f t="shared" si="24"/>
        <v>406.5</v>
      </c>
      <c r="M25" s="254">
        <f t="shared" si="24"/>
        <v>3827.7</v>
      </c>
      <c r="N25" s="254"/>
      <c r="O25" s="254">
        <f t="shared" ref="O25:AH25" si="25">SUM(O9:O24)</f>
        <v>1659.4</v>
      </c>
      <c r="P25" s="254">
        <f t="shared" si="25"/>
        <v>5487.1</v>
      </c>
      <c r="Q25" s="254">
        <f t="shared" si="25"/>
        <v>4389.7</v>
      </c>
      <c r="R25" s="254">
        <f t="shared" si="25"/>
        <v>4389.7</v>
      </c>
      <c r="S25" s="254">
        <f t="shared" si="25"/>
        <v>456.3</v>
      </c>
      <c r="T25" s="254">
        <f t="shared" si="25"/>
        <v>14722.8</v>
      </c>
      <c r="U25" s="254">
        <f t="shared" si="25"/>
        <v>1</v>
      </c>
      <c r="V25" s="254">
        <f t="shared" si="25"/>
        <v>14722.5</v>
      </c>
      <c r="W25" s="254">
        <f t="shared" si="25"/>
        <v>4305.6000000000004</v>
      </c>
      <c r="X25" s="254">
        <f t="shared" si="25"/>
        <v>7</v>
      </c>
      <c r="Y25" s="254">
        <f t="shared" si="25"/>
        <v>480</v>
      </c>
      <c r="Z25" s="254">
        <f t="shared" si="25"/>
        <v>210</v>
      </c>
      <c r="AA25" s="254">
        <f t="shared" si="25"/>
        <v>1</v>
      </c>
      <c r="AB25" s="254">
        <f t="shared" si="25"/>
        <v>240</v>
      </c>
      <c r="AC25" s="254">
        <f t="shared" si="25"/>
        <v>15</v>
      </c>
      <c r="AD25" s="254">
        <f t="shared" si="25"/>
        <v>2</v>
      </c>
      <c r="AE25" s="254">
        <f t="shared" si="25"/>
        <v>480</v>
      </c>
      <c r="AF25" s="254">
        <f t="shared" si="25"/>
        <v>60</v>
      </c>
      <c r="AG25" s="254">
        <f t="shared" si="25"/>
        <v>85.5</v>
      </c>
      <c r="AH25" s="254">
        <f t="shared" si="25"/>
        <v>370.5</v>
      </c>
      <c r="AI25" s="114"/>
      <c r="AN25" s="211"/>
      <c r="AO25" s="211"/>
      <c r="AP25" s="211"/>
      <c r="AQ25" s="211"/>
      <c r="AR25" s="99"/>
      <c r="AS25" s="99"/>
    </row>
    <row r="26" spans="1:45" x14ac:dyDescent="0.2">
      <c r="G26" s="131"/>
      <c r="H26" s="131"/>
      <c r="I26" s="131"/>
      <c r="J26" s="131"/>
      <c r="K26" s="131"/>
      <c r="L26" s="131"/>
      <c r="M26" s="131"/>
      <c r="N26" s="131"/>
      <c r="O26" s="131"/>
      <c r="P26" s="131"/>
      <c r="Q26" s="131"/>
      <c r="R26" s="131"/>
      <c r="S26" s="131"/>
      <c r="T26" s="131"/>
      <c r="V26" s="114"/>
      <c r="W26" s="66"/>
      <c r="X26" s="131"/>
      <c r="AA26" s="131"/>
      <c r="AD26" s="131"/>
      <c r="AG26" s="131"/>
      <c r="AH26" s="131"/>
      <c r="AO26" s="50"/>
      <c r="AP26" s="50"/>
      <c r="AQ26" s="50"/>
    </row>
    <row r="27" spans="1:45" x14ac:dyDescent="0.2">
      <c r="B27" s="255"/>
      <c r="C27" s="256"/>
      <c r="D27" s="256"/>
      <c r="E27" s="257"/>
      <c r="F27" s="257"/>
      <c r="G27" s="257"/>
      <c r="H27" s="257"/>
      <c r="I27" s="133"/>
      <c r="J27" s="131"/>
      <c r="K27" s="131"/>
      <c r="L27" s="131"/>
      <c r="M27" s="131"/>
      <c r="N27" s="131"/>
      <c r="O27" s="131"/>
      <c r="P27" s="131"/>
      <c r="Q27" s="131"/>
      <c r="R27" s="131"/>
      <c r="S27" s="131"/>
      <c r="T27" s="131"/>
      <c r="V27" s="114"/>
      <c r="W27" s="114"/>
      <c r="X27" s="131"/>
      <c r="AA27" s="131"/>
      <c r="AD27" s="131"/>
      <c r="AE27" s="131"/>
    </row>
    <row r="28" spans="1:45" s="75" customFormat="1" x14ac:dyDescent="0.2">
      <c r="A28" s="70"/>
      <c r="B28" s="70"/>
      <c r="C28" s="71"/>
      <c r="D28" s="72"/>
      <c r="E28" s="72"/>
      <c r="F28" s="72"/>
      <c r="G28" s="72"/>
      <c r="H28" s="73"/>
      <c r="I28" s="73"/>
      <c r="J28" s="27"/>
      <c r="K28" s="27"/>
      <c r="L28" s="27"/>
      <c r="M28" s="27"/>
      <c r="N28" s="74"/>
      <c r="O28" s="27"/>
      <c r="P28" s="27"/>
      <c r="Q28" s="27"/>
      <c r="R28" s="27"/>
      <c r="S28" s="27"/>
      <c r="T28" s="27"/>
      <c r="U28" s="27"/>
      <c r="V28" s="27"/>
      <c r="W28" s="27"/>
      <c r="X28" s="27"/>
      <c r="Y28" s="27"/>
      <c r="Z28" s="27"/>
      <c r="AA28" s="27"/>
      <c r="AB28" s="27"/>
      <c r="AC28" s="27"/>
      <c r="AD28" s="27"/>
      <c r="AE28" s="27"/>
      <c r="AF28" s="27"/>
      <c r="AG28" s="27"/>
      <c r="AH28" s="27"/>
      <c r="AI28" s="27"/>
      <c r="AJ28" s="76"/>
      <c r="AN28" s="76"/>
      <c r="AO28" s="76"/>
      <c r="AP28" s="76"/>
      <c r="AQ28" s="76"/>
      <c r="AR28" s="76"/>
    </row>
    <row r="29" spans="1:45" s="75" customFormat="1" ht="59.25" customHeight="1" x14ac:dyDescent="0.2">
      <c r="A29" s="70"/>
      <c r="B29" s="70"/>
      <c r="C29" s="71"/>
      <c r="D29" s="77"/>
      <c r="E29" s="77"/>
      <c r="F29" s="27"/>
      <c r="G29" s="2244" t="s">
        <v>140</v>
      </c>
      <c r="H29" s="2244"/>
      <c r="I29" s="2244" t="s">
        <v>145</v>
      </c>
      <c r="J29" s="2244"/>
      <c r="K29" s="2244" t="s">
        <v>128</v>
      </c>
      <c r="L29" s="2244"/>
      <c r="Q29" s="27"/>
      <c r="R29" s="27"/>
      <c r="S29" s="27"/>
      <c r="T29" s="27"/>
      <c r="U29" s="27"/>
      <c r="V29" s="27"/>
      <c r="W29" s="27"/>
      <c r="X29" s="27"/>
      <c r="Y29" s="27"/>
      <c r="Z29" s="27"/>
      <c r="AA29" s="27"/>
      <c r="AB29" s="27"/>
      <c r="AC29" s="27"/>
      <c r="AD29" s="27"/>
      <c r="AE29" s="27"/>
      <c r="AF29" s="27"/>
      <c r="AG29" s="27"/>
      <c r="AH29" s="27"/>
      <c r="AI29" s="27"/>
      <c r="AJ29" s="76"/>
      <c r="AN29" s="76"/>
      <c r="AO29" s="76"/>
      <c r="AP29" s="76"/>
      <c r="AQ29" s="76"/>
      <c r="AR29" s="76"/>
    </row>
    <row r="30" spans="1:45" s="75" customFormat="1" x14ac:dyDescent="0.2">
      <c r="A30" s="70"/>
      <c r="B30" s="70"/>
      <c r="C30" s="71"/>
      <c r="D30" s="77"/>
      <c r="E30" s="77"/>
      <c r="F30" s="27"/>
      <c r="G30" s="279">
        <v>991</v>
      </c>
      <c r="H30" s="279">
        <v>992</v>
      </c>
      <c r="I30" s="279">
        <v>991</v>
      </c>
      <c r="J30" s="279">
        <v>992</v>
      </c>
      <c r="K30" s="279">
        <v>991</v>
      </c>
      <c r="L30" s="279">
        <v>992</v>
      </c>
      <c r="Q30" s="27"/>
      <c r="R30" s="27"/>
      <c r="S30" s="27"/>
      <c r="T30" s="27"/>
      <c r="U30" s="27"/>
      <c r="V30" s="27"/>
      <c r="W30" s="27"/>
      <c r="X30" s="27"/>
      <c r="Y30" s="27"/>
      <c r="Z30" s="27"/>
      <c r="AA30" s="27"/>
      <c r="AB30" s="27"/>
      <c r="AC30" s="27"/>
      <c r="AD30" s="27"/>
      <c r="AE30" s="27"/>
      <c r="AF30" s="27"/>
      <c r="AG30" s="27"/>
      <c r="AH30" s="27"/>
      <c r="AI30" s="27"/>
      <c r="AJ30" s="76"/>
      <c r="AN30" s="76"/>
      <c r="AO30" s="76"/>
      <c r="AP30" s="76"/>
      <c r="AQ30" s="76"/>
      <c r="AR30" s="76"/>
    </row>
    <row r="31" spans="1:45" s="75" customFormat="1" x14ac:dyDescent="0.2">
      <c r="A31" s="70"/>
      <c r="B31" s="70"/>
      <c r="C31" s="71"/>
      <c r="D31" s="77"/>
      <c r="E31" s="77"/>
      <c r="F31" s="27"/>
      <c r="G31" s="29">
        <v>14722.5</v>
      </c>
      <c r="H31" s="29">
        <v>4245.1000000000004</v>
      </c>
      <c r="I31" s="29">
        <f>V25</f>
        <v>14722.5</v>
      </c>
      <c r="J31" s="29">
        <f>W25</f>
        <v>4305.6000000000004</v>
      </c>
      <c r="K31" s="29">
        <f>G31-I31</f>
        <v>0</v>
      </c>
      <c r="L31" s="29">
        <f>H31-J31</f>
        <v>-60.5</v>
      </c>
      <c r="Q31" s="27"/>
      <c r="R31" s="27"/>
      <c r="S31" s="27"/>
      <c r="T31" s="27"/>
      <c r="U31" s="27"/>
      <c r="V31" s="27"/>
      <c r="W31" s="27"/>
      <c r="X31" s="27"/>
      <c r="Y31" s="27"/>
      <c r="Z31" s="27"/>
      <c r="AA31" s="27"/>
      <c r="AB31" s="27"/>
      <c r="AC31" s="27"/>
      <c r="AD31" s="27"/>
      <c r="AE31" s="27"/>
      <c r="AF31" s="27"/>
      <c r="AG31" s="27"/>
      <c r="AH31" s="27"/>
      <c r="AI31" s="27"/>
      <c r="AJ31" s="76"/>
      <c r="AN31" s="76"/>
      <c r="AO31" s="76"/>
      <c r="AP31" s="76"/>
      <c r="AQ31" s="76"/>
      <c r="AR31" s="76"/>
    </row>
    <row r="32" spans="1:45" s="75" customFormat="1" x14ac:dyDescent="0.2">
      <c r="A32" s="70"/>
      <c r="B32" s="70"/>
      <c r="C32" s="71"/>
      <c r="D32" s="77"/>
      <c r="E32" s="77"/>
      <c r="F32" s="27"/>
      <c r="G32" s="27"/>
      <c r="H32" s="80"/>
      <c r="I32" s="27"/>
      <c r="J32" s="80"/>
      <c r="K32" s="27"/>
      <c r="L32" s="27"/>
      <c r="M32" s="27"/>
      <c r="N32" s="74"/>
      <c r="O32" s="27"/>
      <c r="P32" s="27"/>
      <c r="Q32" s="27"/>
      <c r="R32" s="27"/>
      <c r="S32" s="27"/>
      <c r="T32" s="27"/>
      <c r="U32" s="27"/>
      <c r="V32" s="27"/>
      <c r="W32" s="27"/>
      <c r="X32" s="27"/>
      <c r="Y32" s="27"/>
      <c r="Z32" s="27"/>
      <c r="AA32" s="27"/>
      <c r="AB32" s="27"/>
      <c r="AC32" s="27"/>
      <c r="AD32" s="27"/>
      <c r="AE32" s="27"/>
      <c r="AF32" s="27"/>
      <c r="AG32" s="27"/>
      <c r="AH32" s="27"/>
      <c r="AI32" s="27"/>
      <c r="AJ32" s="76"/>
      <c r="AN32" s="76"/>
      <c r="AO32" s="76"/>
      <c r="AP32" s="76"/>
      <c r="AQ32" s="76"/>
      <c r="AR32" s="76"/>
    </row>
    <row r="33" spans="1:44" s="75" customFormat="1" x14ac:dyDescent="0.2">
      <c r="A33" s="70"/>
      <c r="B33" s="70"/>
      <c r="C33" s="71"/>
      <c r="D33" s="77"/>
      <c r="E33" s="77"/>
      <c r="F33" s="27"/>
      <c r="G33" s="27"/>
      <c r="H33" s="80"/>
      <c r="I33" s="27"/>
      <c r="J33" s="80"/>
      <c r="K33" s="27"/>
      <c r="L33" s="27"/>
      <c r="M33" s="27"/>
      <c r="N33" s="74"/>
      <c r="O33" s="27"/>
      <c r="P33" s="27"/>
      <c r="Q33" s="27"/>
      <c r="R33" s="27"/>
      <c r="S33" s="27"/>
      <c r="T33" s="27"/>
      <c r="U33" s="27"/>
      <c r="V33" s="27"/>
      <c r="W33" s="27"/>
      <c r="X33" s="27"/>
      <c r="Y33" s="27"/>
      <c r="Z33" s="27"/>
      <c r="AA33" s="27"/>
      <c r="AB33" s="27"/>
      <c r="AC33" s="27"/>
      <c r="AD33" s="27"/>
      <c r="AE33" s="27"/>
      <c r="AF33" s="27"/>
      <c r="AG33" s="27"/>
      <c r="AH33" s="27"/>
      <c r="AI33" s="27"/>
      <c r="AJ33" s="76"/>
      <c r="AN33" s="76"/>
      <c r="AO33" s="76"/>
      <c r="AP33" s="76"/>
      <c r="AQ33" s="76"/>
      <c r="AR33" s="76"/>
    </row>
    <row r="34" spans="1:44" s="75" customFormat="1" x14ac:dyDescent="0.2">
      <c r="A34" s="70"/>
      <c r="B34" s="70"/>
      <c r="C34" s="71"/>
      <c r="D34" s="77"/>
      <c r="E34" s="77"/>
      <c r="F34" s="27"/>
      <c r="G34" s="27"/>
      <c r="H34" s="80"/>
      <c r="I34" s="27"/>
      <c r="J34" s="80"/>
      <c r="K34" s="27"/>
      <c r="L34" s="27"/>
      <c r="M34" s="27"/>
      <c r="N34" s="74"/>
      <c r="O34" s="27"/>
      <c r="P34" s="27"/>
      <c r="Q34" s="27"/>
      <c r="R34" s="27"/>
      <c r="S34" s="27"/>
      <c r="T34" s="27"/>
      <c r="U34" s="27"/>
      <c r="V34" s="27"/>
      <c r="W34" s="27"/>
      <c r="X34" s="27"/>
      <c r="Y34" s="27"/>
      <c r="Z34" s="27"/>
      <c r="AA34" s="27"/>
      <c r="AB34" s="27"/>
      <c r="AC34" s="27"/>
      <c r="AD34" s="27"/>
      <c r="AE34" s="27"/>
      <c r="AF34" s="27"/>
      <c r="AG34" s="27"/>
      <c r="AH34" s="27"/>
      <c r="AI34" s="27"/>
      <c r="AJ34" s="76"/>
      <c r="AN34" s="76"/>
      <c r="AO34" s="76"/>
      <c r="AP34" s="76"/>
      <c r="AQ34" s="76"/>
      <c r="AR34" s="76"/>
    </row>
    <row r="35" spans="1:44" s="75" customFormat="1" x14ac:dyDescent="0.2">
      <c r="A35" s="70"/>
      <c r="B35" s="70"/>
      <c r="C35" s="71"/>
      <c r="D35" s="77"/>
      <c r="E35" s="77"/>
      <c r="F35" s="27"/>
      <c r="G35" s="27"/>
      <c r="H35" s="80"/>
      <c r="I35" s="27"/>
      <c r="J35" s="80"/>
      <c r="K35" s="27"/>
      <c r="L35" s="27"/>
      <c r="M35" s="27"/>
      <c r="N35" s="74"/>
      <c r="O35" s="27"/>
      <c r="P35" s="27"/>
      <c r="Q35" s="27"/>
      <c r="R35" s="27"/>
      <c r="S35" s="27"/>
      <c r="T35" s="27"/>
      <c r="U35" s="27"/>
      <c r="V35" s="27"/>
      <c r="W35" s="27"/>
      <c r="X35" s="27"/>
      <c r="Y35" s="27"/>
      <c r="Z35" s="27"/>
      <c r="AA35" s="27"/>
      <c r="AB35" s="27"/>
      <c r="AC35" s="27"/>
      <c r="AD35" s="27"/>
      <c r="AE35" s="27"/>
      <c r="AF35" s="27"/>
      <c r="AG35" s="27"/>
      <c r="AH35" s="27"/>
      <c r="AI35" s="27"/>
      <c r="AJ35" s="76"/>
      <c r="AN35" s="76"/>
      <c r="AO35" s="76"/>
      <c r="AP35" s="76"/>
      <c r="AQ35" s="76"/>
      <c r="AR35" s="76"/>
    </row>
    <row r="36" spans="1:44" s="282" customFormat="1" ht="20.25" x14ac:dyDescent="0.2">
      <c r="A36" s="81"/>
      <c r="B36" s="82" t="s">
        <v>138</v>
      </c>
      <c r="C36" s="83"/>
      <c r="D36" s="84"/>
      <c r="E36" s="84"/>
      <c r="F36" s="85"/>
      <c r="G36" s="85"/>
      <c r="H36" s="86"/>
      <c r="I36" s="86"/>
      <c r="J36" s="85"/>
      <c r="K36" s="30" t="s">
        <v>166</v>
      </c>
      <c r="L36" s="85"/>
      <c r="M36" s="85"/>
      <c r="N36" s="87"/>
      <c r="O36" s="85"/>
      <c r="P36" s="85"/>
      <c r="Q36" s="85"/>
      <c r="R36" s="85"/>
      <c r="S36" s="85"/>
      <c r="T36" s="85"/>
      <c r="U36" s="85"/>
      <c r="V36" s="85"/>
      <c r="W36" s="85"/>
      <c r="X36" s="85"/>
      <c r="Y36" s="85"/>
      <c r="Z36" s="85"/>
      <c r="AA36" s="85"/>
      <c r="AB36" s="85"/>
      <c r="AC36" s="85"/>
      <c r="AD36" s="85"/>
      <c r="AE36" s="85"/>
      <c r="AF36" s="85"/>
      <c r="AG36" s="85"/>
      <c r="AH36" s="85"/>
      <c r="AI36" s="85"/>
      <c r="AK36" s="88"/>
      <c r="AL36" s="88"/>
      <c r="AM36" s="88"/>
      <c r="AN36" s="88"/>
      <c r="AO36" s="88"/>
    </row>
    <row r="37" spans="1:44" s="143" customFormat="1" x14ac:dyDescent="0.2">
      <c r="A37" s="136"/>
      <c r="B37" s="136"/>
      <c r="C37" s="137"/>
      <c r="D37" s="144"/>
      <c r="E37" s="144"/>
      <c r="F37" s="140"/>
      <c r="G37" s="140"/>
      <c r="H37" s="139"/>
      <c r="I37" s="139"/>
      <c r="J37" s="140"/>
      <c r="K37" s="140"/>
      <c r="L37" s="140"/>
      <c r="M37" s="140"/>
      <c r="N37" s="141"/>
      <c r="O37" s="140"/>
      <c r="P37" s="140"/>
      <c r="Q37" s="140"/>
      <c r="R37" s="140"/>
      <c r="S37" s="140"/>
      <c r="T37" s="140"/>
      <c r="U37" s="140"/>
      <c r="V37" s="140"/>
      <c r="W37" s="140"/>
      <c r="X37" s="140"/>
      <c r="Y37" s="140"/>
      <c r="Z37" s="140"/>
      <c r="AA37" s="140"/>
      <c r="AB37" s="140"/>
      <c r="AC37" s="140"/>
      <c r="AD37" s="140"/>
      <c r="AE37" s="140"/>
      <c r="AF37" s="142"/>
      <c r="AK37" s="142"/>
      <c r="AL37" s="142"/>
      <c r="AM37" s="142"/>
      <c r="AN37" s="76"/>
      <c r="AO37" s="76"/>
      <c r="AP37" s="76"/>
      <c r="AQ37" s="76"/>
      <c r="AR37" s="99"/>
    </row>
    <row r="38" spans="1:44" s="143" customFormat="1" x14ac:dyDescent="0.2">
      <c r="A38" s="136"/>
      <c r="B38" s="136"/>
      <c r="C38" s="137"/>
      <c r="D38" s="144"/>
      <c r="E38" s="144"/>
      <c r="F38" s="140"/>
      <c r="G38" s="140"/>
      <c r="H38" s="139"/>
      <c r="I38" s="139"/>
      <c r="J38" s="140"/>
      <c r="K38" s="140"/>
      <c r="L38" s="140"/>
      <c r="M38" s="140"/>
      <c r="N38" s="202"/>
      <c r="O38" s="203"/>
      <c r="P38" s="140"/>
      <c r="Q38" s="140"/>
      <c r="R38" s="140"/>
      <c r="S38" s="140"/>
      <c r="T38" s="140"/>
      <c r="U38" s="140"/>
      <c r="V38" s="140"/>
      <c r="W38" s="140"/>
      <c r="X38" s="140"/>
      <c r="Y38" s="140"/>
      <c r="Z38" s="140"/>
      <c r="AA38" s="140"/>
      <c r="AB38" s="140"/>
      <c r="AC38" s="140"/>
      <c r="AD38" s="140"/>
      <c r="AE38" s="140"/>
      <c r="AF38" s="142"/>
      <c r="AK38" s="142"/>
      <c r="AL38" s="142"/>
      <c r="AM38" s="142"/>
      <c r="AN38" s="76"/>
      <c r="AO38" s="76"/>
      <c r="AP38" s="76"/>
      <c r="AQ38" s="76"/>
      <c r="AR38" s="252"/>
    </row>
    <row r="39" spans="1:44" s="143" customFormat="1" ht="20.25" customHeight="1" x14ac:dyDescent="0.2">
      <c r="A39" s="145" t="s">
        <v>96</v>
      </c>
      <c r="B39" s="145"/>
      <c r="C39" s="146"/>
      <c r="D39" s="146"/>
      <c r="E39" s="146"/>
      <c r="F39" s="146"/>
      <c r="G39" s="146"/>
      <c r="H39" s="146"/>
      <c r="I39" s="146"/>
      <c r="J39" s="146"/>
      <c r="K39" s="146"/>
      <c r="L39" s="147"/>
      <c r="M39" s="147"/>
      <c r="N39" s="202"/>
      <c r="O39" s="203"/>
      <c r="P39" s="147"/>
      <c r="Q39" s="147"/>
      <c r="R39" s="147"/>
      <c r="S39" s="147"/>
      <c r="T39" s="147"/>
      <c r="U39" s="147"/>
      <c r="V39" s="147"/>
      <c r="W39" s="147"/>
      <c r="X39" s="147"/>
      <c r="Y39" s="147"/>
      <c r="Z39" s="147"/>
      <c r="AA39" s="147"/>
      <c r="AB39" s="147"/>
      <c r="AC39" s="147"/>
      <c r="AD39" s="147"/>
      <c r="AE39" s="147"/>
      <c r="AF39" s="142"/>
      <c r="AK39" s="142"/>
      <c r="AL39" s="142"/>
      <c r="AM39" s="142"/>
      <c r="AN39" s="76"/>
      <c r="AO39" s="76"/>
      <c r="AP39" s="76"/>
      <c r="AQ39" s="76"/>
      <c r="AR39" s="99"/>
    </row>
    <row r="40" spans="1:44" s="143" customFormat="1" ht="20.25" customHeight="1" x14ac:dyDescent="0.2">
      <c r="A40" s="145" t="s">
        <v>139</v>
      </c>
      <c r="B40" s="149"/>
      <c r="C40" s="150"/>
      <c r="D40" s="150"/>
      <c r="E40" s="151"/>
      <c r="F40" s="151"/>
      <c r="G40" s="151"/>
      <c r="H40" s="151"/>
      <c r="I40" s="151"/>
      <c r="J40" s="151"/>
      <c r="K40" s="151"/>
      <c r="L40" s="147"/>
      <c r="M40" s="147"/>
      <c r="N40" s="202"/>
      <c r="O40" s="203"/>
      <c r="P40" s="147"/>
      <c r="Q40" s="147"/>
      <c r="R40" s="147"/>
      <c r="S40" s="147"/>
      <c r="T40" s="147"/>
      <c r="U40" s="147"/>
      <c r="V40" s="147"/>
      <c r="W40" s="147"/>
      <c r="X40" s="147"/>
      <c r="Y40" s="147"/>
      <c r="Z40" s="147"/>
      <c r="AA40" s="147"/>
      <c r="AB40" s="147"/>
      <c r="AC40" s="147"/>
      <c r="AD40" s="147"/>
      <c r="AE40" s="147"/>
      <c r="AF40" s="142"/>
      <c r="AK40" s="142"/>
      <c r="AL40" s="142"/>
      <c r="AM40" s="142"/>
      <c r="AN40" s="76"/>
      <c r="AO40" s="76"/>
      <c r="AP40" s="76"/>
      <c r="AQ40" s="76"/>
      <c r="AR40" s="252"/>
    </row>
    <row r="41" spans="1:44" x14ac:dyDescent="0.2">
      <c r="A41" s="99"/>
      <c r="I41" s="153"/>
      <c r="J41" s="153"/>
      <c r="W41" s="131"/>
      <c r="X41" s="131"/>
      <c r="AA41" s="131"/>
      <c r="AD41" s="131"/>
      <c r="AE41" s="131"/>
      <c r="AN41" s="76"/>
      <c r="AO41" s="76"/>
      <c r="AP41" s="76"/>
      <c r="AQ41" s="76"/>
      <c r="AR41" s="98"/>
    </row>
    <row r="42" spans="1:44" ht="16.5" x14ac:dyDescent="0.2">
      <c r="A42" s="258"/>
      <c r="W42" s="131"/>
      <c r="X42" s="131"/>
      <c r="AA42" s="131"/>
      <c r="AD42" s="131"/>
      <c r="AE42" s="131"/>
    </row>
    <row r="43" spans="1:44" x14ac:dyDescent="0.2">
      <c r="AG43" s="114"/>
    </row>
    <row r="45" spans="1:44" x14ac:dyDescent="0.2">
      <c r="E45" s="115"/>
    </row>
    <row r="46" spans="1:44" x14ac:dyDescent="0.2">
      <c r="E46" s="115"/>
    </row>
    <row r="47" spans="1:44" x14ac:dyDescent="0.2">
      <c r="E47" s="115"/>
      <c r="K47" s="153"/>
    </row>
    <row r="48" spans="1:44" x14ac:dyDescent="0.2">
      <c r="A48" s="99"/>
      <c r="E48" s="115"/>
    </row>
    <row r="49" spans="1:45" x14ac:dyDescent="0.2">
      <c r="A49" s="99"/>
      <c r="E49" s="115"/>
    </row>
    <row r="50" spans="1:45" x14ac:dyDescent="0.2">
      <c r="A50" s="99"/>
      <c r="E50" s="115"/>
    </row>
    <row r="51" spans="1:45" x14ac:dyDescent="0.2">
      <c r="A51" s="99"/>
      <c r="E51" s="115"/>
    </row>
    <row r="52" spans="1:45" x14ac:dyDescent="0.2">
      <c r="A52" s="99"/>
      <c r="E52" s="115"/>
    </row>
    <row r="53" spans="1:45" x14ac:dyDescent="0.2">
      <c r="A53" s="99"/>
      <c r="E53" s="115"/>
    </row>
    <row r="54" spans="1:45" x14ac:dyDescent="0.2">
      <c r="A54" s="99"/>
      <c r="E54" s="115"/>
    </row>
    <row r="55" spans="1:45" x14ac:dyDescent="0.2">
      <c r="A55" s="99"/>
      <c r="E55" s="115"/>
    </row>
    <row r="56" spans="1:45" x14ac:dyDescent="0.2">
      <c r="A56" s="99"/>
      <c r="E56" s="115"/>
    </row>
    <row r="57" spans="1:45" x14ac:dyDescent="0.2">
      <c r="A57" s="99"/>
      <c r="E57" s="115"/>
    </row>
    <row r="58" spans="1:45" x14ac:dyDescent="0.2">
      <c r="A58" s="99"/>
      <c r="E58" s="115"/>
    </row>
    <row r="59" spans="1:45" x14ac:dyDescent="0.2">
      <c r="A59" s="99"/>
      <c r="E59" s="115"/>
    </row>
    <row r="60" spans="1:45" s="211" customFormat="1" x14ac:dyDescent="0.2">
      <c r="A60" s="99"/>
      <c r="B60" s="99"/>
      <c r="C60" s="99"/>
      <c r="D60" s="99"/>
      <c r="E60" s="115"/>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R60" s="99"/>
      <c r="AS60" s="99"/>
    </row>
    <row r="61" spans="1:45" s="211" customFormat="1" x14ac:dyDescent="0.2">
      <c r="A61" s="99"/>
      <c r="B61" s="99"/>
      <c r="C61" s="99"/>
      <c r="D61" s="99"/>
      <c r="E61" s="115"/>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R61" s="99"/>
      <c r="AS61" s="99"/>
    </row>
    <row r="62" spans="1:45" s="211" customFormat="1" x14ac:dyDescent="0.2">
      <c r="A62" s="99"/>
      <c r="B62" s="99"/>
      <c r="C62" s="99"/>
      <c r="D62" s="99"/>
      <c r="E62" s="115"/>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R62" s="99"/>
      <c r="AS62" s="99"/>
    </row>
    <row r="63" spans="1:45" s="211" customFormat="1" x14ac:dyDescent="0.2">
      <c r="A63" s="99"/>
      <c r="B63" s="99"/>
      <c r="C63" s="99"/>
      <c r="D63" s="99"/>
      <c r="E63" s="115"/>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R63" s="99"/>
      <c r="AS63" s="99"/>
    </row>
    <row r="64" spans="1:45" s="211" customFormat="1" x14ac:dyDescent="0.2">
      <c r="A64" s="99"/>
      <c r="B64" s="99"/>
      <c r="C64" s="99"/>
      <c r="D64" s="99"/>
      <c r="E64" s="115"/>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R64" s="99"/>
      <c r="AS64" s="99"/>
    </row>
    <row r="65" spans="1:45" s="211" customFormat="1" x14ac:dyDescent="0.2">
      <c r="A65" s="99"/>
      <c r="B65" s="99"/>
      <c r="C65" s="99"/>
      <c r="D65" s="99"/>
      <c r="E65" s="115"/>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R65" s="99"/>
      <c r="AS65" s="99"/>
    </row>
    <row r="66" spans="1:45" s="211" customFormat="1" x14ac:dyDescent="0.2">
      <c r="A66" s="99"/>
      <c r="B66" s="99"/>
      <c r="C66" s="99"/>
      <c r="D66" s="99"/>
      <c r="E66" s="115"/>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R66" s="99"/>
      <c r="AS66" s="99"/>
    </row>
  </sheetData>
  <autoFilter ref="A8:AS25" xr:uid="{00000000-0009-0000-0000-00005B000000}"/>
  <mergeCells count="37">
    <mergeCell ref="AE1:AH1"/>
    <mergeCell ref="A2:AH2"/>
    <mergeCell ref="A3:AH3"/>
    <mergeCell ref="A5:A7"/>
    <mergeCell ref="B5:B7"/>
    <mergeCell ref="C5:C7"/>
    <mergeCell ref="D5:W5"/>
    <mergeCell ref="X5:AH5"/>
    <mergeCell ref="D6:D7"/>
    <mergeCell ref="E6:E7"/>
    <mergeCell ref="F6:F7"/>
    <mergeCell ref="G6:G7"/>
    <mergeCell ref="H6:H7"/>
    <mergeCell ref="I6:I7"/>
    <mergeCell ref="J6:J7"/>
    <mergeCell ref="AG6:AG7"/>
    <mergeCell ref="AH6:AH7"/>
    <mergeCell ref="U9:U24"/>
    <mergeCell ref="A25:B25"/>
    <mergeCell ref="S6:S7"/>
    <mergeCell ref="T6:T7"/>
    <mergeCell ref="U6:U7"/>
    <mergeCell ref="V6:V7"/>
    <mergeCell ref="W6:W7"/>
    <mergeCell ref="X6:Z6"/>
    <mergeCell ref="L6:L7"/>
    <mergeCell ref="M6:M7"/>
    <mergeCell ref="N6:O6"/>
    <mergeCell ref="P6:P7"/>
    <mergeCell ref="Q6:Q7"/>
    <mergeCell ref="R6:R7"/>
    <mergeCell ref="G29:H29"/>
    <mergeCell ref="I29:J29"/>
    <mergeCell ref="K29:L29"/>
    <mergeCell ref="AA6:AC6"/>
    <mergeCell ref="AD6:AF6"/>
    <mergeCell ref="K6:K7"/>
  </mergeCells>
  <printOptions horizontalCentered="1"/>
  <pageMargins left="0" right="0" top="0" bottom="0" header="0.31496062992125984" footer="0.31496062992125984"/>
  <pageSetup paperSize="9" scale="40" orientation="landscape" r:id="rId1"/>
  <legacyDrawing r:id="rId2"/>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FFFF00"/>
    <pageSetUpPr fitToPage="1"/>
  </sheetPr>
  <dimension ref="A1:AS68"/>
  <sheetViews>
    <sheetView view="pageBreakPreview" zoomScale="80" zoomScaleNormal="70" zoomScaleSheetLayoutView="80" workbookViewId="0">
      <pane xSplit="3" ySplit="8" topLeftCell="D21" activePane="bottomRight" state="frozen"/>
      <selection activeCell="M26" sqref="M26:N26"/>
      <selection pane="topRight" activeCell="M26" sqref="M26:N26"/>
      <selection pane="bottomLeft" activeCell="M26" sqref="M26:N26"/>
      <selection pane="bottomRight" activeCell="M26" sqref="M26:N26"/>
    </sheetView>
  </sheetViews>
  <sheetFormatPr defaultRowHeight="15" x14ac:dyDescent="0.2"/>
  <cols>
    <col min="1" max="1" width="10.33203125" style="99" customWidth="1"/>
    <col min="2" max="2" width="30.83203125" style="99" customWidth="1"/>
    <col min="3" max="22" width="13.5" style="99" customWidth="1"/>
    <col min="23" max="23" width="12" style="99" customWidth="1"/>
    <col min="24" max="24" width="11.5" style="99" customWidth="1"/>
    <col min="25" max="25" width="12.33203125" style="99" customWidth="1"/>
    <col min="26" max="26" width="9.6640625" style="99" customWidth="1"/>
    <col min="27" max="32" width="8.5" style="99" customWidth="1"/>
    <col min="33" max="33" width="9.33203125" style="99" customWidth="1"/>
    <col min="34" max="34" width="10.6640625" style="99" customWidth="1"/>
    <col min="35" max="35" width="13.5" style="99" customWidth="1"/>
    <col min="36" max="36" width="12.6640625" style="99" customWidth="1"/>
    <col min="37" max="37" width="13" style="99" bestFit="1" customWidth="1"/>
    <col min="38" max="38" width="0" style="99" hidden="1" customWidth="1"/>
    <col min="39" max="39" width="13" style="99" hidden="1" customWidth="1"/>
    <col min="40" max="42" width="9.33203125" style="211"/>
    <col min="43" max="43" width="11.33203125" style="211" bestFit="1" customWidth="1"/>
    <col min="44" max="16384" width="9.33203125" style="99"/>
  </cols>
  <sheetData>
    <row r="1" spans="1:45" ht="22.5" customHeight="1" x14ac:dyDescent="0.2">
      <c r="AE1" s="2263"/>
      <c r="AF1" s="2263"/>
      <c r="AG1" s="2263"/>
      <c r="AH1" s="2263"/>
    </row>
    <row r="2" spans="1:45" ht="24" customHeight="1" x14ac:dyDescent="0.2">
      <c r="A2" s="2264" t="s">
        <v>163</v>
      </c>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35"/>
    </row>
    <row r="3" spans="1:45" ht="24.75" customHeight="1" x14ac:dyDescent="0.2">
      <c r="A3" s="2265"/>
      <c r="B3" s="2265"/>
      <c r="C3" s="2265"/>
      <c r="D3" s="2265"/>
      <c r="E3" s="2265"/>
      <c r="F3" s="2265"/>
      <c r="G3" s="2265"/>
      <c r="H3" s="2265"/>
      <c r="I3" s="2265"/>
      <c r="J3" s="2265"/>
      <c r="K3" s="2265"/>
      <c r="L3" s="2265"/>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87"/>
    </row>
    <row r="4" spans="1:45" x14ac:dyDescent="0.2">
      <c r="L4" s="38">
        <v>0.27208500000000002</v>
      </c>
      <c r="M4" s="38"/>
    </row>
    <row r="5" spans="1:45" ht="38.25" customHeight="1" x14ac:dyDescent="0.2">
      <c r="A5" s="2266" t="s">
        <v>78</v>
      </c>
      <c r="B5" s="2266" t="s">
        <v>77</v>
      </c>
      <c r="C5" s="2256" t="s">
        <v>0</v>
      </c>
      <c r="D5" s="2256" t="s">
        <v>3</v>
      </c>
      <c r="E5" s="2256"/>
      <c r="F5" s="2256"/>
      <c r="G5" s="2256"/>
      <c r="H5" s="2256"/>
      <c r="I5" s="2256"/>
      <c r="J5" s="2256"/>
      <c r="K5" s="2256"/>
      <c r="L5" s="2256"/>
      <c r="M5" s="2256"/>
      <c r="N5" s="2256"/>
      <c r="O5" s="2256"/>
      <c r="P5" s="2256"/>
      <c r="Q5" s="2256"/>
      <c r="R5" s="2256"/>
      <c r="S5" s="2256"/>
      <c r="T5" s="2256"/>
      <c r="U5" s="2256"/>
      <c r="V5" s="2256"/>
      <c r="W5" s="2256"/>
      <c r="X5" s="2256" t="s">
        <v>4</v>
      </c>
      <c r="Y5" s="2256"/>
      <c r="Z5" s="2256"/>
      <c r="AA5" s="2256"/>
      <c r="AB5" s="2256"/>
      <c r="AC5" s="2256"/>
      <c r="AD5" s="2256"/>
      <c r="AE5" s="2256"/>
      <c r="AF5" s="2256"/>
      <c r="AG5" s="2256"/>
      <c r="AH5" s="2256"/>
    </row>
    <row r="6" spans="1:45" ht="60" customHeight="1" x14ac:dyDescent="0.2">
      <c r="A6" s="2266"/>
      <c r="B6" s="2266"/>
      <c r="C6" s="2256"/>
      <c r="D6" s="2259" t="s">
        <v>68</v>
      </c>
      <c r="E6" s="2259" t="s">
        <v>69</v>
      </c>
      <c r="F6" s="2259" t="s">
        <v>89</v>
      </c>
      <c r="G6" s="2259" t="s">
        <v>1</v>
      </c>
      <c r="H6" s="2259" t="s">
        <v>2</v>
      </c>
      <c r="I6" s="2259" t="s">
        <v>70</v>
      </c>
      <c r="J6" s="2259" t="s">
        <v>61</v>
      </c>
      <c r="K6" s="2259" t="s">
        <v>27</v>
      </c>
      <c r="L6" s="2261" t="s">
        <v>65</v>
      </c>
      <c r="M6" s="2261" t="s">
        <v>86</v>
      </c>
      <c r="N6" s="2262" t="s">
        <v>90</v>
      </c>
      <c r="O6" s="2262"/>
      <c r="P6" s="2262" t="s">
        <v>88</v>
      </c>
      <c r="Q6" s="2261" t="s">
        <v>82</v>
      </c>
      <c r="R6" s="2259" t="s">
        <v>83</v>
      </c>
      <c r="S6" s="2261" t="s">
        <v>87</v>
      </c>
      <c r="T6" s="2259" t="s">
        <v>84</v>
      </c>
      <c r="U6" s="2259" t="s">
        <v>9</v>
      </c>
      <c r="V6" s="2259" t="s">
        <v>7</v>
      </c>
      <c r="W6" s="2259" t="s">
        <v>85</v>
      </c>
      <c r="X6" s="2256" t="s">
        <v>10</v>
      </c>
      <c r="Y6" s="2256"/>
      <c r="Z6" s="2256"/>
      <c r="AA6" s="2256" t="s">
        <v>11</v>
      </c>
      <c r="AB6" s="2256"/>
      <c r="AC6" s="2256"/>
      <c r="AD6" s="2256" t="s">
        <v>12</v>
      </c>
      <c r="AE6" s="2256"/>
      <c r="AF6" s="2256"/>
      <c r="AG6" s="2256" t="s">
        <v>13</v>
      </c>
      <c r="AH6" s="2256" t="s">
        <v>73</v>
      </c>
    </row>
    <row r="7" spans="1:45" ht="97.5" customHeight="1" x14ac:dyDescent="0.2">
      <c r="A7" s="2266"/>
      <c r="B7" s="2266"/>
      <c r="C7" s="2256"/>
      <c r="D7" s="2259"/>
      <c r="E7" s="2259"/>
      <c r="F7" s="2259"/>
      <c r="G7" s="2259"/>
      <c r="H7" s="2259"/>
      <c r="I7" s="2259"/>
      <c r="J7" s="2259"/>
      <c r="K7" s="2259"/>
      <c r="L7" s="2261" t="s">
        <v>66</v>
      </c>
      <c r="M7" s="2261"/>
      <c r="N7" s="286" t="s">
        <v>80</v>
      </c>
      <c r="O7" s="286" t="s">
        <v>81</v>
      </c>
      <c r="P7" s="2262"/>
      <c r="Q7" s="2261"/>
      <c r="R7" s="2259"/>
      <c r="S7" s="2261" t="s">
        <v>67</v>
      </c>
      <c r="T7" s="2259"/>
      <c r="U7" s="2259"/>
      <c r="V7" s="2259"/>
      <c r="W7" s="2259"/>
      <c r="X7" s="285" t="s">
        <v>5</v>
      </c>
      <c r="Y7" s="285" t="s">
        <v>6</v>
      </c>
      <c r="Z7" s="285" t="s">
        <v>74</v>
      </c>
      <c r="AA7" s="285" t="s">
        <v>5</v>
      </c>
      <c r="AB7" s="285" t="s">
        <v>6</v>
      </c>
      <c r="AC7" s="285" t="s">
        <v>75</v>
      </c>
      <c r="AD7" s="285" t="s">
        <v>5</v>
      </c>
      <c r="AE7" s="285" t="s">
        <v>6</v>
      </c>
      <c r="AF7" s="285" t="s">
        <v>76</v>
      </c>
      <c r="AG7" s="2256"/>
      <c r="AH7" s="2256"/>
      <c r="AK7" s="99" t="s">
        <v>64</v>
      </c>
      <c r="AL7" s="99" t="s">
        <v>62</v>
      </c>
      <c r="AM7" s="99" t="s">
        <v>63</v>
      </c>
    </row>
    <row r="8" spans="1:45" ht="18" customHeight="1" x14ac:dyDescent="0.2">
      <c r="A8" s="284">
        <v>1</v>
      </c>
      <c r="B8" s="284">
        <v>2</v>
      </c>
      <c r="C8" s="284">
        <v>3</v>
      </c>
      <c r="D8" s="284">
        <v>4</v>
      </c>
      <c r="E8" s="284">
        <v>5</v>
      </c>
      <c r="F8" s="284">
        <v>6</v>
      </c>
      <c r="G8" s="284">
        <v>7</v>
      </c>
      <c r="H8" s="284">
        <v>8</v>
      </c>
      <c r="I8" s="284">
        <v>9</v>
      </c>
      <c r="J8" s="284">
        <v>10</v>
      </c>
      <c r="K8" s="284">
        <v>11</v>
      </c>
      <c r="L8" s="284">
        <v>12</v>
      </c>
      <c r="M8" s="284">
        <v>13</v>
      </c>
      <c r="N8" s="284">
        <v>14</v>
      </c>
      <c r="O8" s="284">
        <v>15</v>
      </c>
      <c r="P8" s="284">
        <v>16</v>
      </c>
      <c r="Q8" s="284">
        <v>17</v>
      </c>
      <c r="R8" s="284">
        <v>18</v>
      </c>
      <c r="S8" s="284">
        <v>19</v>
      </c>
      <c r="T8" s="284">
        <v>20</v>
      </c>
      <c r="U8" s="284">
        <v>21</v>
      </c>
      <c r="V8" s="284">
        <v>22</v>
      </c>
      <c r="W8" s="284">
        <v>23</v>
      </c>
      <c r="X8" s="284">
        <v>24</v>
      </c>
      <c r="Y8" s="284">
        <v>25</v>
      </c>
      <c r="Z8" s="284">
        <v>26</v>
      </c>
      <c r="AA8" s="284">
        <v>27</v>
      </c>
      <c r="AB8" s="284">
        <v>28</v>
      </c>
      <c r="AC8" s="284">
        <v>29</v>
      </c>
      <c r="AD8" s="284">
        <v>30</v>
      </c>
      <c r="AE8" s="284">
        <v>31</v>
      </c>
      <c r="AF8" s="284">
        <v>32</v>
      </c>
      <c r="AG8" s="284">
        <v>33</v>
      </c>
      <c r="AH8" s="284">
        <v>34</v>
      </c>
      <c r="AN8" s="212" t="s">
        <v>116</v>
      </c>
      <c r="AO8" s="212" t="s">
        <v>117</v>
      </c>
      <c r="AP8" s="212" t="s">
        <v>118</v>
      </c>
      <c r="AQ8" s="212" t="s">
        <v>119</v>
      </c>
    </row>
    <row r="9" spans="1:45" ht="16.5" customHeight="1" x14ac:dyDescent="0.2">
      <c r="A9" s="284">
        <v>1</v>
      </c>
      <c r="B9" s="236" t="s">
        <v>14</v>
      </c>
      <c r="C9" s="259">
        <v>1</v>
      </c>
      <c r="D9" s="237">
        <v>25.873000000000001</v>
      </c>
      <c r="E9" s="260">
        <f t="shared" ref="E9:E27" si="0">C9*D9</f>
        <v>25.87</v>
      </c>
      <c r="F9" s="185">
        <f t="shared" ref="F9:F27" si="1">E9*12</f>
        <v>310.39999999999998</v>
      </c>
      <c r="G9" s="95"/>
      <c r="H9" s="95"/>
      <c r="I9" s="95"/>
      <c r="J9" s="95"/>
      <c r="K9" s="95"/>
      <c r="L9" s="95">
        <f>F9*$L$4</f>
        <v>84.5</v>
      </c>
      <c r="M9" s="95">
        <f t="shared" ref="M9:M27" si="2">F9+G9+H9+I9+J9+K9+L9</f>
        <v>394.9</v>
      </c>
      <c r="N9" s="111">
        <v>0.47</v>
      </c>
      <c r="O9" s="95">
        <f t="shared" ref="O9:O27" si="3">M9*N9</f>
        <v>185.6</v>
      </c>
      <c r="P9" s="95">
        <f t="shared" ref="P9:P27" si="4">M9+O9</f>
        <v>580.5</v>
      </c>
      <c r="Q9" s="95">
        <f t="shared" ref="Q9:Q27" si="5">P9*0.8</f>
        <v>464.4</v>
      </c>
      <c r="R9" s="95">
        <f t="shared" ref="R9:R27" si="6">P9*0.8</f>
        <v>464.4</v>
      </c>
      <c r="S9" s="95">
        <f t="shared" ref="S9:S27" si="7">(P9+Q9+R9)*0.032</f>
        <v>48.3</v>
      </c>
      <c r="T9" s="95">
        <f t="shared" ref="T9:T27" si="8">P9+Q9+R9+S9</f>
        <v>1557.6</v>
      </c>
      <c r="U9" s="2915">
        <v>1</v>
      </c>
      <c r="V9" s="95">
        <f t="shared" ref="V9:V26" si="9">T9*$U$9</f>
        <v>1557.6</v>
      </c>
      <c r="W9" s="95">
        <f>AQ9</f>
        <v>401.5</v>
      </c>
      <c r="X9" s="284">
        <v>1</v>
      </c>
      <c r="Y9" s="112">
        <v>30</v>
      </c>
      <c r="Z9" s="113">
        <f t="shared" ref="Z9:Z27" si="10">X9*Y9</f>
        <v>30</v>
      </c>
      <c r="AA9" s="284"/>
      <c r="AB9" s="112">
        <v>15</v>
      </c>
      <c r="AC9" s="113">
        <f t="shared" ref="AC9:AC27" si="11">AA9*AB9</f>
        <v>0</v>
      </c>
      <c r="AD9" s="284"/>
      <c r="AE9" s="112">
        <v>30</v>
      </c>
      <c r="AF9" s="113">
        <f t="shared" ref="AF9:AF27" si="12">AD9*AE9</f>
        <v>0</v>
      </c>
      <c r="AG9" s="113">
        <f t="shared" ref="AG9:AG27" si="13">(Z9+AC9+AF9)*1%*30</f>
        <v>9</v>
      </c>
      <c r="AH9" s="113">
        <f t="shared" ref="AH9:AH27" si="14">Z9+AC9+AF9+AG9</f>
        <v>39</v>
      </c>
      <c r="AI9" s="131">
        <f t="shared" ref="AI9:AI23" si="15">V9/12/C9*1000</f>
        <v>129800</v>
      </c>
      <c r="AK9" s="114">
        <f t="shared" ref="AK9:AK23" si="16">V9/C9</f>
        <v>1557.6</v>
      </c>
      <c r="AL9" s="114">
        <f>((979*0.302)+((AK9-979)*0.182))</f>
        <v>401</v>
      </c>
      <c r="AM9" s="115">
        <f>AL9/AK9</f>
        <v>0.25700000000000001</v>
      </c>
      <c r="AN9" s="50">
        <f>1150*0.22+(AK9-1150)*0.1</f>
        <v>293.8</v>
      </c>
      <c r="AO9" s="50">
        <f>865*0.029</f>
        <v>25.1</v>
      </c>
      <c r="AP9" s="50">
        <f>AK9*0.053</f>
        <v>82.6</v>
      </c>
      <c r="AQ9" s="50">
        <f>SUM(AN9:AP9)*C9</f>
        <v>401.5</v>
      </c>
      <c r="AS9" s="99">
        <f t="shared" ref="AS9:AS27" si="17">D9*1.5</f>
        <v>38.8095</v>
      </c>
    </row>
    <row r="10" spans="1:45" x14ac:dyDescent="0.2">
      <c r="A10" s="284">
        <v>2</v>
      </c>
      <c r="B10" s="236" t="s">
        <v>127</v>
      </c>
      <c r="C10" s="259">
        <v>2</v>
      </c>
      <c r="D10" s="237">
        <v>18.111000000000001</v>
      </c>
      <c r="E10" s="260">
        <f t="shared" si="0"/>
        <v>36.22</v>
      </c>
      <c r="F10" s="185">
        <f t="shared" si="1"/>
        <v>434.6</v>
      </c>
      <c r="G10" s="95"/>
      <c r="H10" s="95">
        <f>7.062+7.945</f>
        <v>15</v>
      </c>
      <c r="I10" s="95"/>
      <c r="J10" s="95"/>
      <c r="K10" s="95">
        <f>(D10*0.4+D10*0.2)*12</f>
        <v>130.4</v>
      </c>
      <c r="L10" s="95">
        <f t="shared" ref="L10:L25" si="18">F10*$L$4</f>
        <v>118.2</v>
      </c>
      <c r="M10" s="95">
        <f t="shared" si="2"/>
        <v>698.2</v>
      </c>
      <c r="N10" s="111">
        <v>0.47</v>
      </c>
      <c r="O10" s="95">
        <f t="shared" si="3"/>
        <v>328.2</v>
      </c>
      <c r="P10" s="95">
        <f t="shared" si="4"/>
        <v>1026.4000000000001</v>
      </c>
      <c r="Q10" s="95">
        <f t="shared" si="5"/>
        <v>821.1</v>
      </c>
      <c r="R10" s="95">
        <f t="shared" si="6"/>
        <v>821.1</v>
      </c>
      <c r="S10" s="95">
        <f t="shared" si="7"/>
        <v>85.4</v>
      </c>
      <c r="T10" s="95">
        <f t="shared" si="8"/>
        <v>2754</v>
      </c>
      <c r="U10" s="2916"/>
      <c r="V10" s="95">
        <f t="shared" si="9"/>
        <v>2754</v>
      </c>
      <c r="W10" s="95">
        <f>AQ10</f>
        <v>747.6</v>
      </c>
      <c r="X10" s="284"/>
      <c r="Y10" s="112">
        <v>30</v>
      </c>
      <c r="Z10" s="113">
        <f t="shared" si="10"/>
        <v>0</v>
      </c>
      <c r="AA10" s="284"/>
      <c r="AB10" s="112">
        <v>15</v>
      </c>
      <c r="AC10" s="113">
        <f t="shared" si="11"/>
        <v>0</v>
      </c>
      <c r="AD10" s="284"/>
      <c r="AE10" s="112">
        <v>30</v>
      </c>
      <c r="AF10" s="113">
        <f t="shared" si="12"/>
        <v>0</v>
      </c>
      <c r="AG10" s="113">
        <f t="shared" si="13"/>
        <v>0</v>
      </c>
      <c r="AH10" s="113">
        <f t="shared" si="14"/>
        <v>0</v>
      </c>
      <c r="AI10" s="131">
        <f t="shared" si="15"/>
        <v>114750</v>
      </c>
      <c r="AK10" s="114">
        <f t="shared" si="16"/>
        <v>1377</v>
      </c>
      <c r="AL10" s="114">
        <f t="shared" ref="AL10:AL27" si="19">((979*0.302)+((AK10-979)*0.182))</f>
        <v>368.1</v>
      </c>
      <c r="AM10" s="115">
        <f>AL10/AK10</f>
        <v>0.26700000000000002</v>
      </c>
      <c r="AN10" s="50">
        <f>1150*0.22+(AK10-1150)*0.1</f>
        <v>275.7</v>
      </c>
      <c r="AO10" s="50">
        <f>865*0.029</f>
        <v>25.1</v>
      </c>
      <c r="AP10" s="50">
        <f>AK10*0.053</f>
        <v>73</v>
      </c>
      <c r="AQ10" s="50">
        <f>SUM(AN10:AP10)*C10</f>
        <v>747.6</v>
      </c>
      <c r="AS10" s="99">
        <f t="shared" si="17"/>
        <v>27.166499999999999</v>
      </c>
    </row>
    <row r="11" spans="1:45" ht="15.75" customHeight="1" x14ac:dyDescent="0.2">
      <c r="A11" s="284">
        <v>3</v>
      </c>
      <c r="B11" s="261" t="s">
        <v>23</v>
      </c>
      <c r="C11" s="262">
        <v>4</v>
      </c>
      <c r="D11" s="237">
        <v>11.061999999999999</v>
      </c>
      <c r="E11" s="111">
        <f t="shared" si="0"/>
        <v>44.25</v>
      </c>
      <c r="F11" s="95">
        <f t="shared" si="1"/>
        <v>531</v>
      </c>
      <c r="G11" s="95"/>
      <c r="H11" s="95">
        <f>2.757+7.01+7.01+7.789</f>
        <v>24.6</v>
      </c>
      <c r="I11" s="95"/>
      <c r="J11" s="95"/>
      <c r="K11" s="95">
        <f>(D11*0.4*3+D11*0.25)*12</f>
        <v>192.5</v>
      </c>
      <c r="L11" s="95">
        <f t="shared" si="18"/>
        <v>144.5</v>
      </c>
      <c r="M11" s="95">
        <f t="shared" si="2"/>
        <v>892.6</v>
      </c>
      <c r="N11" s="111">
        <v>0.43</v>
      </c>
      <c r="O11" s="95">
        <f t="shared" si="3"/>
        <v>383.8</v>
      </c>
      <c r="P11" s="95">
        <f t="shared" si="4"/>
        <v>1276.4000000000001</v>
      </c>
      <c r="Q11" s="95">
        <f t="shared" si="5"/>
        <v>1021.1</v>
      </c>
      <c r="R11" s="95">
        <f t="shared" si="6"/>
        <v>1021.1</v>
      </c>
      <c r="S11" s="95">
        <f t="shared" si="7"/>
        <v>106.2</v>
      </c>
      <c r="T11" s="95">
        <f t="shared" si="8"/>
        <v>3424.8</v>
      </c>
      <c r="U11" s="2916"/>
      <c r="V11" s="95">
        <f>T11*$U$9</f>
        <v>3424.8</v>
      </c>
      <c r="W11" s="95">
        <f>V11*0.302</f>
        <v>1034.3</v>
      </c>
      <c r="X11" s="239">
        <v>2</v>
      </c>
      <c r="Y11" s="240">
        <v>30</v>
      </c>
      <c r="Z11" s="241">
        <f t="shared" si="10"/>
        <v>60</v>
      </c>
      <c r="AA11" s="239"/>
      <c r="AB11" s="240">
        <v>15</v>
      </c>
      <c r="AC11" s="241">
        <f t="shared" si="11"/>
        <v>0</v>
      </c>
      <c r="AD11" s="239">
        <v>2</v>
      </c>
      <c r="AE11" s="240">
        <v>30</v>
      </c>
      <c r="AF11" s="241">
        <f t="shared" si="12"/>
        <v>60</v>
      </c>
      <c r="AG11" s="241">
        <f t="shared" si="13"/>
        <v>36</v>
      </c>
      <c r="AH11" s="241">
        <f t="shared" si="14"/>
        <v>156</v>
      </c>
      <c r="AI11" s="131">
        <f t="shared" si="15"/>
        <v>71350</v>
      </c>
      <c r="AK11" s="114">
        <f t="shared" si="16"/>
        <v>856.2</v>
      </c>
      <c r="AL11" s="114">
        <f t="shared" si="19"/>
        <v>273.3</v>
      </c>
      <c r="AM11" s="115">
        <v>0.30199999999999999</v>
      </c>
      <c r="AN11" s="50"/>
      <c r="AO11" s="50"/>
      <c r="AP11" s="50"/>
      <c r="AQ11" s="50"/>
      <c r="AS11" s="99">
        <f t="shared" si="17"/>
        <v>16.593</v>
      </c>
    </row>
    <row r="12" spans="1:45" x14ac:dyDescent="0.2">
      <c r="A12" s="284">
        <v>4</v>
      </c>
      <c r="B12" s="261" t="s">
        <v>47</v>
      </c>
      <c r="C12" s="262">
        <v>1</v>
      </c>
      <c r="D12" s="237">
        <v>6.2859999999999996</v>
      </c>
      <c r="E12" s="111">
        <f t="shared" si="0"/>
        <v>6.29</v>
      </c>
      <c r="F12" s="95">
        <f t="shared" si="1"/>
        <v>75.5</v>
      </c>
      <c r="G12" s="95"/>
      <c r="H12" s="95">
        <f>3064.3/1000</f>
        <v>3.1</v>
      </c>
      <c r="I12" s="95"/>
      <c r="J12" s="95"/>
      <c r="K12" s="95">
        <f>F12*0.25</f>
        <v>18.899999999999999</v>
      </c>
      <c r="L12" s="95">
        <f t="shared" si="18"/>
        <v>20.5</v>
      </c>
      <c r="M12" s="95">
        <f t="shared" si="2"/>
        <v>118</v>
      </c>
      <c r="N12" s="111">
        <v>0.45</v>
      </c>
      <c r="O12" s="95">
        <f t="shared" si="3"/>
        <v>53.1</v>
      </c>
      <c r="P12" s="95">
        <f t="shared" si="4"/>
        <v>171.1</v>
      </c>
      <c r="Q12" s="95">
        <f t="shared" si="5"/>
        <v>136.9</v>
      </c>
      <c r="R12" s="95">
        <f t="shared" si="6"/>
        <v>136.9</v>
      </c>
      <c r="S12" s="95">
        <f t="shared" si="7"/>
        <v>14.2</v>
      </c>
      <c r="T12" s="95">
        <f t="shared" si="8"/>
        <v>459.1</v>
      </c>
      <c r="U12" s="2916"/>
      <c r="V12" s="95">
        <f t="shared" si="9"/>
        <v>459.1</v>
      </c>
      <c r="W12" s="95">
        <f t="shared" ref="W12:W27" si="20">V12*0.302</f>
        <v>138.6</v>
      </c>
      <c r="X12" s="239">
        <v>1</v>
      </c>
      <c r="Y12" s="240">
        <v>30</v>
      </c>
      <c r="Z12" s="241">
        <f t="shared" si="10"/>
        <v>30</v>
      </c>
      <c r="AA12" s="239"/>
      <c r="AB12" s="240">
        <v>15</v>
      </c>
      <c r="AC12" s="241">
        <f t="shared" si="11"/>
        <v>0</v>
      </c>
      <c r="AD12" s="239"/>
      <c r="AE12" s="240">
        <v>30</v>
      </c>
      <c r="AF12" s="241">
        <f t="shared" si="12"/>
        <v>0</v>
      </c>
      <c r="AG12" s="241">
        <f t="shared" si="13"/>
        <v>9</v>
      </c>
      <c r="AH12" s="241">
        <f t="shared" si="14"/>
        <v>39</v>
      </c>
      <c r="AI12" s="131">
        <f t="shared" si="15"/>
        <v>38258.33</v>
      </c>
      <c r="AK12" s="114">
        <f t="shared" si="16"/>
        <v>459.1</v>
      </c>
      <c r="AL12" s="114">
        <f t="shared" si="19"/>
        <v>201</v>
      </c>
      <c r="AM12" s="115">
        <v>0.30199999999999999</v>
      </c>
      <c r="AO12" s="50"/>
      <c r="AP12" s="50"/>
      <c r="AQ12" s="50"/>
      <c r="AS12" s="99">
        <f t="shared" si="17"/>
        <v>9.4290000000000003</v>
      </c>
    </row>
    <row r="13" spans="1:45" x14ac:dyDescent="0.2">
      <c r="A13" s="284">
        <v>5</v>
      </c>
      <c r="B13" s="236" t="s">
        <v>15</v>
      </c>
      <c r="C13" s="262">
        <v>1</v>
      </c>
      <c r="D13" s="237">
        <v>11.061999999999999</v>
      </c>
      <c r="E13" s="111">
        <f t="shared" si="0"/>
        <v>11.06</v>
      </c>
      <c r="F13" s="95">
        <f t="shared" si="1"/>
        <v>132.69999999999999</v>
      </c>
      <c r="G13" s="95"/>
      <c r="H13" s="95"/>
      <c r="I13" s="95"/>
      <c r="J13" s="95"/>
      <c r="K13" s="95">
        <f>D11*0.25*4.6+D11*0.3*7.4</f>
        <v>37.299999999999997</v>
      </c>
      <c r="L13" s="95">
        <f t="shared" si="18"/>
        <v>36.1</v>
      </c>
      <c r="M13" s="95">
        <f t="shared" si="2"/>
        <v>206.1</v>
      </c>
      <c r="N13" s="111">
        <v>0.43</v>
      </c>
      <c r="O13" s="95">
        <f t="shared" si="3"/>
        <v>88.6</v>
      </c>
      <c r="P13" s="95">
        <f t="shared" si="4"/>
        <v>294.7</v>
      </c>
      <c r="Q13" s="95">
        <f t="shared" si="5"/>
        <v>235.8</v>
      </c>
      <c r="R13" s="95">
        <f t="shared" si="6"/>
        <v>235.8</v>
      </c>
      <c r="S13" s="95">
        <f t="shared" si="7"/>
        <v>24.5</v>
      </c>
      <c r="T13" s="95">
        <f t="shared" si="8"/>
        <v>790.8</v>
      </c>
      <c r="U13" s="2916"/>
      <c r="V13" s="95">
        <f t="shared" si="9"/>
        <v>790.8</v>
      </c>
      <c r="W13" s="95">
        <f t="shared" si="20"/>
        <v>238.8</v>
      </c>
      <c r="X13" s="239"/>
      <c r="Y13" s="240">
        <v>30</v>
      </c>
      <c r="Z13" s="241">
        <f t="shared" si="10"/>
        <v>0</v>
      </c>
      <c r="AA13" s="239"/>
      <c r="AB13" s="240">
        <v>15</v>
      </c>
      <c r="AC13" s="241">
        <f t="shared" si="11"/>
        <v>0</v>
      </c>
      <c r="AD13" s="239"/>
      <c r="AE13" s="240">
        <v>30</v>
      </c>
      <c r="AF13" s="241">
        <f t="shared" si="12"/>
        <v>0</v>
      </c>
      <c r="AG13" s="241">
        <f t="shared" si="13"/>
        <v>0</v>
      </c>
      <c r="AH13" s="241">
        <f t="shared" si="14"/>
        <v>0</v>
      </c>
      <c r="AI13" s="131">
        <f t="shared" si="15"/>
        <v>65900</v>
      </c>
      <c r="AK13" s="114">
        <f t="shared" si="16"/>
        <v>790.8</v>
      </c>
      <c r="AL13" s="114">
        <f t="shared" si="19"/>
        <v>261.39999999999998</v>
      </c>
      <c r="AM13" s="115">
        <v>0.30199999999999999</v>
      </c>
      <c r="AN13" s="50"/>
      <c r="AO13" s="50"/>
      <c r="AP13" s="50"/>
      <c r="AQ13" s="50"/>
      <c r="AS13" s="99">
        <f t="shared" si="17"/>
        <v>16.593</v>
      </c>
    </row>
    <row r="14" spans="1:45" s="245" customFormat="1" x14ac:dyDescent="0.2">
      <c r="A14" s="284">
        <v>6</v>
      </c>
      <c r="B14" s="261" t="s">
        <v>48</v>
      </c>
      <c r="C14" s="262">
        <v>1</v>
      </c>
      <c r="D14" s="237">
        <v>11.061999999999999</v>
      </c>
      <c r="E14" s="249">
        <f t="shared" si="0"/>
        <v>11.06</v>
      </c>
      <c r="F14" s="248">
        <f t="shared" si="1"/>
        <v>132.69999999999999</v>
      </c>
      <c r="G14" s="248"/>
      <c r="H14" s="248">
        <v>7</v>
      </c>
      <c r="I14" s="248"/>
      <c r="J14" s="248"/>
      <c r="K14" s="248">
        <f>F14*0.4</f>
        <v>53.1</v>
      </c>
      <c r="L14" s="95">
        <f t="shared" si="18"/>
        <v>36.1</v>
      </c>
      <c r="M14" s="248">
        <f t="shared" si="2"/>
        <v>228.9</v>
      </c>
      <c r="N14" s="111">
        <v>0.47</v>
      </c>
      <c r="O14" s="248">
        <f t="shared" si="3"/>
        <v>107.6</v>
      </c>
      <c r="P14" s="248">
        <f t="shared" si="4"/>
        <v>336.5</v>
      </c>
      <c r="Q14" s="248">
        <f t="shared" si="5"/>
        <v>269.2</v>
      </c>
      <c r="R14" s="248">
        <f t="shared" si="6"/>
        <v>269.2</v>
      </c>
      <c r="S14" s="248">
        <f t="shared" si="7"/>
        <v>28</v>
      </c>
      <c r="T14" s="248">
        <f t="shared" si="8"/>
        <v>902.9</v>
      </c>
      <c r="U14" s="2916"/>
      <c r="V14" s="248">
        <f t="shared" si="9"/>
        <v>902.9</v>
      </c>
      <c r="W14" s="95">
        <f>AQ14</f>
        <v>271.60000000000002</v>
      </c>
      <c r="X14" s="239"/>
      <c r="Y14" s="240">
        <v>30</v>
      </c>
      <c r="Z14" s="241">
        <f t="shared" si="10"/>
        <v>0</v>
      </c>
      <c r="AA14" s="239"/>
      <c r="AB14" s="240">
        <v>15</v>
      </c>
      <c r="AC14" s="241">
        <f t="shared" si="11"/>
        <v>0</v>
      </c>
      <c r="AD14" s="239"/>
      <c r="AE14" s="240">
        <v>30</v>
      </c>
      <c r="AF14" s="241">
        <f t="shared" si="12"/>
        <v>0</v>
      </c>
      <c r="AG14" s="241">
        <f t="shared" si="13"/>
        <v>0</v>
      </c>
      <c r="AH14" s="241">
        <f t="shared" si="14"/>
        <v>0</v>
      </c>
      <c r="AI14" s="131">
        <f t="shared" si="15"/>
        <v>75241.67</v>
      </c>
      <c r="AK14" s="114">
        <f t="shared" si="16"/>
        <v>902.9</v>
      </c>
      <c r="AL14" s="114">
        <f t="shared" si="19"/>
        <v>281.8</v>
      </c>
      <c r="AM14" s="115">
        <v>0.30199999999999999</v>
      </c>
      <c r="AN14" s="50">
        <f>AK14*0.22</f>
        <v>198.6</v>
      </c>
      <c r="AO14" s="50">
        <f>865*0.029</f>
        <v>25.1</v>
      </c>
      <c r="AP14" s="50">
        <f>AK14*0.053</f>
        <v>47.9</v>
      </c>
      <c r="AQ14" s="50">
        <f>SUM(AN14:AP14)*C14</f>
        <v>271.60000000000002</v>
      </c>
      <c r="AS14" s="99">
        <f t="shared" si="17"/>
        <v>16.593</v>
      </c>
    </row>
    <row r="15" spans="1:45" x14ac:dyDescent="0.2">
      <c r="A15" s="284">
        <v>7</v>
      </c>
      <c r="B15" s="236" t="s">
        <v>49</v>
      </c>
      <c r="C15" s="259">
        <v>1</v>
      </c>
      <c r="D15" s="237">
        <v>8.4730000000000008</v>
      </c>
      <c r="E15" s="111">
        <f t="shared" si="0"/>
        <v>8.4700000000000006</v>
      </c>
      <c r="F15" s="95">
        <f t="shared" si="1"/>
        <v>101.6</v>
      </c>
      <c r="G15" s="95"/>
      <c r="H15" s="95">
        <v>6</v>
      </c>
      <c r="I15" s="95"/>
      <c r="J15" s="95"/>
      <c r="K15" s="95">
        <f>F15*0.2</f>
        <v>20.3</v>
      </c>
      <c r="L15" s="95">
        <f t="shared" si="18"/>
        <v>27.6</v>
      </c>
      <c r="M15" s="95">
        <f t="shared" si="2"/>
        <v>155.5</v>
      </c>
      <c r="N15" s="111">
        <v>0.41</v>
      </c>
      <c r="O15" s="95">
        <f t="shared" si="3"/>
        <v>63.8</v>
      </c>
      <c r="P15" s="95">
        <f t="shared" si="4"/>
        <v>219.3</v>
      </c>
      <c r="Q15" s="95">
        <f t="shared" si="5"/>
        <v>175.4</v>
      </c>
      <c r="R15" s="95">
        <f t="shared" si="6"/>
        <v>175.4</v>
      </c>
      <c r="S15" s="95">
        <f t="shared" si="7"/>
        <v>18.2</v>
      </c>
      <c r="T15" s="95">
        <f t="shared" si="8"/>
        <v>588.29999999999995</v>
      </c>
      <c r="U15" s="2916"/>
      <c r="V15" s="95">
        <f t="shared" si="9"/>
        <v>588.29999999999995</v>
      </c>
      <c r="W15" s="95">
        <f t="shared" si="20"/>
        <v>177.7</v>
      </c>
      <c r="X15" s="284"/>
      <c r="Y15" s="112">
        <v>30</v>
      </c>
      <c r="Z15" s="113">
        <f t="shared" si="10"/>
        <v>0</v>
      </c>
      <c r="AA15" s="127"/>
      <c r="AB15" s="112">
        <v>15</v>
      </c>
      <c r="AC15" s="113">
        <f t="shared" si="11"/>
        <v>0</v>
      </c>
      <c r="AD15" s="127"/>
      <c r="AE15" s="112">
        <v>30</v>
      </c>
      <c r="AF15" s="113">
        <f t="shared" si="12"/>
        <v>0</v>
      </c>
      <c r="AG15" s="113">
        <f t="shared" si="13"/>
        <v>0</v>
      </c>
      <c r="AH15" s="113">
        <f t="shared" si="14"/>
        <v>0</v>
      </c>
      <c r="AI15" s="131">
        <f t="shared" si="15"/>
        <v>49025</v>
      </c>
      <c r="AK15" s="114">
        <f t="shared" si="16"/>
        <v>588.29999999999995</v>
      </c>
      <c r="AL15" s="114">
        <f t="shared" si="19"/>
        <v>224.6</v>
      </c>
      <c r="AM15" s="115">
        <v>0.30199999999999999</v>
      </c>
      <c r="AO15" s="50"/>
      <c r="AP15" s="50"/>
      <c r="AQ15" s="50"/>
      <c r="AS15" s="99">
        <f t="shared" si="17"/>
        <v>12.7095</v>
      </c>
    </row>
    <row r="16" spans="1:45" x14ac:dyDescent="0.2">
      <c r="A16" s="284">
        <v>8</v>
      </c>
      <c r="B16" s="236" t="s">
        <v>59</v>
      </c>
      <c r="C16" s="259">
        <v>1</v>
      </c>
      <c r="D16" s="237">
        <v>8.4730000000000008</v>
      </c>
      <c r="E16" s="111">
        <f t="shared" si="0"/>
        <v>8.4700000000000006</v>
      </c>
      <c r="F16" s="95">
        <f t="shared" si="1"/>
        <v>101.6</v>
      </c>
      <c r="G16" s="95"/>
      <c r="H16" s="95">
        <v>5.4</v>
      </c>
      <c r="I16" s="95"/>
      <c r="J16" s="95"/>
      <c r="K16" s="95">
        <f>F16*0.4</f>
        <v>40.6</v>
      </c>
      <c r="L16" s="95">
        <f t="shared" si="18"/>
        <v>27.6</v>
      </c>
      <c r="M16" s="95">
        <f t="shared" si="2"/>
        <v>175.2</v>
      </c>
      <c r="N16" s="111">
        <v>0.41</v>
      </c>
      <c r="O16" s="95">
        <f t="shared" si="3"/>
        <v>71.8</v>
      </c>
      <c r="P16" s="95">
        <f t="shared" si="4"/>
        <v>247</v>
      </c>
      <c r="Q16" s="95">
        <f t="shared" si="5"/>
        <v>197.6</v>
      </c>
      <c r="R16" s="95">
        <f t="shared" si="6"/>
        <v>197.6</v>
      </c>
      <c r="S16" s="95">
        <f t="shared" si="7"/>
        <v>20.6</v>
      </c>
      <c r="T16" s="95">
        <f t="shared" si="8"/>
        <v>662.8</v>
      </c>
      <c r="U16" s="2916"/>
      <c r="V16" s="95">
        <f t="shared" si="9"/>
        <v>662.8</v>
      </c>
      <c r="W16" s="95">
        <f t="shared" si="20"/>
        <v>200.2</v>
      </c>
      <c r="X16" s="284"/>
      <c r="Y16" s="112">
        <v>30</v>
      </c>
      <c r="Z16" s="113">
        <f t="shared" si="10"/>
        <v>0</v>
      </c>
      <c r="AA16" s="127"/>
      <c r="AB16" s="112">
        <v>15</v>
      </c>
      <c r="AC16" s="113">
        <f t="shared" si="11"/>
        <v>0</v>
      </c>
      <c r="AD16" s="127"/>
      <c r="AE16" s="112">
        <v>30</v>
      </c>
      <c r="AF16" s="113">
        <f t="shared" si="12"/>
        <v>0</v>
      </c>
      <c r="AG16" s="113">
        <f t="shared" si="13"/>
        <v>0</v>
      </c>
      <c r="AH16" s="113">
        <f t="shared" si="14"/>
        <v>0</v>
      </c>
      <c r="AI16" s="131">
        <f t="shared" si="15"/>
        <v>55233.33</v>
      </c>
      <c r="AK16" s="114">
        <f t="shared" si="16"/>
        <v>662.8</v>
      </c>
      <c r="AL16" s="114">
        <f t="shared" si="19"/>
        <v>238.1</v>
      </c>
      <c r="AM16" s="115">
        <v>0.30199999999999999</v>
      </c>
      <c r="AN16" s="50"/>
      <c r="AO16" s="50"/>
      <c r="AP16" s="50"/>
      <c r="AQ16" s="50"/>
      <c r="AS16" s="99">
        <f t="shared" si="17"/>
        <v>12.7095</v>
      </c>
    </row>
    <row r="17" spans="1:45" x14ac:dyDescent="0.2">
      <c r="A17" s="284">
        <v>9</v>
      </c>
      <c r="B17" s="261" t="s">
        <v>40</v>
      </c>
      <c r="C17" s="259">
        <v>1</v>
      </c>
      <c r="D17" s="237">
        <v>11.061999999999999</v>
      </c>
      <c r="E17" s="111">
        <f t="shared" si="0"/>
        <v>11.06</v>
      </c>
      <c r="F17" s="95">
        <f t="shared" si="1"/>
        <v>132.69999999999999</v>
      </c>
      <c r="G17" s="95"/>
      <c r="H17" s="95">
        <f>5392.4/1000</f>
        <v>5.4</v>
      </c>
      <c r="I17" s="95"/>
      <c r="J17" s="95"/>
      <c r="K17" s="95"/>
      <c r="L17" s="95">
        <f t="shared" si="18"/>
        <v>36.1</v>
      </c>
      <c r="M17" s="95">
        <f t="shared" si="2"/>
        <v>174.2</v>
      </c>
      <c r="N17" s="111">
        <v>0.43</v>
      </c>
      <c r="O17" s="95">
        <f t="shared" si="3"/>
        <v>74.900000000000006</v>
      </c>
      <c r="P17" s="95">
        <f t="shared" si="4"/>
        <v>249.1</v>
      </c>
      <c r="Q17" s="95">
        <f t="shared" si="5"/>
        <v>199.3</v>
      </c>
      <c r="R17" s="95">
        <f t="shared" si="6"/>
        <v>199.3</v>
      </c>
      <c r="S17" s="95">
        <f t="shared" si="7"/>
        <v>20.7</v>
      </c>
      <c r="T17" s="95">
        <f t="shared" si="8"/>
        <v>668.4</v>
      </c>
      <c r="U17" s="2916"/>
      <c r="V17" s="95">
        <f t="shared" si="9"/>
        <v>668.4</v>
      </c>
      <c r="W17" s="95">
        <f t="shared" si="20"/>
        <v>201.9</v>
      </c>
      <c r="X17" s="284"/>
      <c r="Y17" s="112">
        <v>30</v>
      </c>
      <c r="Z17" s="113">
        <f t="shared" si="10"/>
        <v>0</v>
      </c>
      <c r="AA17" s="127"/>
      <c r="AB17" s="112">
        <v>15</v>
      </c>
      <c r="AC17" s="113">
        <f t="shared" si="11"/>
        <v>0</v>
      </c>
      <c r="AD17" s="127"/>
      <c r="AE17" s="112">
        <v>30</v>
      </c>
      <c r="AF17" s="113">
        <f t="shared" si="12"/>
        <v>0</v>
      </c>
      <c r="AG17" s="113">
        <f t="shared" si="13"/>
        <v>0</v>
      </c>
      <c r="AH17" s="113">
        <f t="shared" si="14"/>
        <v>0</v>
      </c>
      <c r="AI17" s="131">
        <f t="shared" si="15"/>
        <v>55700</v>
      </c>
      <c r="AK17" s="114">
        <f t="shared" si="16"/>
        <v>668.4</v>
      </c>
      <c r="AL17" s="114">
        <f t="shared" si="19"/>
        <v>239.1</v>
      </c>
      <c r="AM17" s="115">
        <v>0.30199999999999999</v>
      </c>
      <c r="AN17" s="50"/>
      <c r="AO17" s="50"/>
      <c r="AP17" s="50"/>
      <c r="AQ17" s="50"/>
      <c r="AS17" s="99">
        <f t="shared" si="17"/>
        <v>16.593</v>
      </c>
    </row>
    <row r="18" spans="1:45" x14ac:dyDescent="0.2">
      <c r="A18" s="284">
        <v>10</v>
      </c>
      <c r="B18" s="261" t="s">
        <v>29</v>
      </c>
      <c r="C18" s="259">
        <v>2</v>
      </c>
      <c r="D18" s="237">
        <v>8.4730000000000008</v>
      </c>
      <c r="E18" s="111">
        <f t="shared" si="0"/>
        <v>16.95</v>
      </c>
      <c r="F18" s="95">
        <f t="shared" si="1"/>
        <v>203.4</v>
      </c>
      <c r="G18" s="95"/>
      <c r="H18" s="95">
        <f>2065.2/1000</f>
        <v>2.1</v>
      </c>
      <c r="I18" s="95"/>
      <c r="J18" s="95"/>
      <c r="K18" s="95">
        <f>(D18*0.25+D18*0.3)*12</f>
        <v>55.9</v>
      </c>
      <c r="L18" s="95">
        <f t="shared" si="18"/>
        <v>55.3</v>
      </c>
      <c r="M18" s="95">
        <f t="shared" si="2"/>
        <v>316.7</v>
      </c>
      <c r="N18" s="111">
        <v>0.41</v>
      </c>
      <c r="O18" s="95">
        <f t="shared" si="3"/>
        <v>129.80000000000001</v>
      </c>
      <c r="P18" s="95">
        <f t="shared" si="4"/>
        <v>446.5</v>
      </c>
      <c r="Q18" s="95">
        <f t="shared" si="5"/>
        <v>357.2</v>
      </c>
      <c r="R18" s="95">
        <f t="shared" si="6"/>
        <v>357.2</v>
      </c>
      <c r="S18" s="95">
        <f t="shared" si="7"/>
        <v>37.1</v>
      </c>
      <c r="T18" s="95">
        <f t="shared" si="8"/>
        <v>1198</v>
      </c>
      <c r="U18" s="2916"/>
      <c r="V18" s="95">
        <f t="shared" si="9"/>
        <v>1198</v>
      </c>
      <c r="W18" s="95">
        <f t="shared" si="20"/>
        <v>361.8</v>
      </c>
      <c r="X18" s="284"/>
      <c r="Y18" s="112">
        <v>30</v>
      </c>
      <c r="Z18" s="113">
        <f t="shared" si="10"/>
        <v>0</v>
      </c>
      <c r="AA18" s="127"/>
      <c r="AB18" s="112">
        <v>15</v>
      </c>
      <c r="AC18" s="113">
        <f t="shared" si="11"/>
        <v>0</v>
      </c>
      <c r="AD18" s="127"/>
      <c r="AE18" s="112">
        <v>30</v>
      </c>
      <c r="AF18" s="113">
        <f t="shared" si="12"/>
        <v>0</v>
      </c>
      <c r="AG18" s="113">
        <f t="shared" si="13"/>
        <v>0</v>
      </c>
      <c r="AH18" s="113">
        <f t="shared" si="14"/>
        <v>0</v>
      </c>
      <c r="AI18" s="131">
        <f t="shared" si="15"/>
        <v>49916.67</v>
      </c>
      <c r="AK18" s="114">
        <f t="shared" si="16"/>
        <v>599</v>
      </c>
      <c r="AL18" s="114">
        <f t="shared" si="19"/>
        <v>226.5</v>
      </c>
      <c r="AM18" s="115">
        <v>0.30199999999999999</v>
      </c>
      <c r="AN18" s="263"/>
      <c r="AO18" s="263"/>
      <c r="AP18" s="263"/>
      <c r="AS18" s="99">
        <f t="shared" si="17"/>
        <v>12.7095</v>
      </c>
    </row>
    <row r="19" spans="1:45" x14ac:dyDescent="0.2">
      <c r="A19" s="284">
        <v>11</v>
      </c>
      <c r="B19" s="261" t="s">
        <v>58</v>
      </c>
      <c r="C19" s="259">
        <v>1</v>
      </c>
      <c r="D19" s="237">
        <v>11.061999999999999</v>
      </c>
      <c r="E19" s="111">
        <f t="shared" si="0"/>
        <v>11.06</v>
      </c>
      <c r="F19" s="95">
        <f t="shared" si="1"/>
        <v>132.69999999999999</v>
      </c>
      <c r="G19" s="95"/>
      <c r="H19" s="95">
        <f>5392.4/1000</f>
        <v>5.4</v>
      </c>
      <c r="I19" s="95"/>
      <c r="J19" s="95"/>
      <c r="K19" s="95">
        <f>F19*0.4</f>
        <v>53.1</v>
      </c>
      <c r="L19" s="95">
        <f t="shared" si="18"/>
        <v>36.1</v>
      </c>
      <c r="M19" s="95">
        <f t="shared" si="2"/>
        <v>227.3</v>
      </c>
      <c r="N19" s="111">
        <v>0.43</v>
      </c>
      <c r="O19" s="95">
        <f t="shared" si="3"/>
        <v>97.7</v>
      </c>
      <c r="P19" s="95">
        <f t="shared" si="4"/>
        <v>325</v>
      </c>
      <c r="Q19" s="95">
        <f t="shared" si="5"/>
        <v>260</v>
      </c>
      <c r="R19" s="95">
        <f t="shared" si="6"/>
        <v>260</v>
      </c>
      <c r="S19" s="95">
        <f t="shared" si="7"/>
        <v>27</v>
      </c>
      <c r="T19" s="95">
        <f t="shared" si="8"/>
        <v>872</v>
      </c>
      <c r="U19" s="2916"/>
      <c r="V19" s="95">
        <f t="shared" si="9"/>
        <v>872</v>
      </c>
      <c r="W19" s="95">
        <f t="shared" si="20"/>
        <v>263.3</v>
      </c>
      <c r="X19" s="284"/>
      <c r="Y19" s="112">
        <v>30</v>
      </c>
      <c r="Z19" s="113">
        <f t="shared" si="10"/>
        <v>0</v>
      </c>
      <c r="AA19" s="127"/>
      <c r="AB19" s="112">
        <v>15</v>
      </c>
      <c r="AC19" s="113">
        <f t="shared" si="11"/>
        <v>0</v>
      </c>
      <c r="AD19" s="127"/>
      <c r="AE19" s="112">
        <v>30</v>
      </c>
      <c r="AF19" s="113">
        <f t="shared" si="12"/>
        <v>0</v>
      </c>
      <c r="AG19" s="113">
        <f t="shared" si="13"/>
        <v>0</v>
      </c>
      <c r="AH19" s="113">
        <f t="shared" si="14"/>
        <v>0</v>
      </c>
      <c r="AI19" s="131">
        <f t="shared" si="15"/>
        <v>72666.67</v>
      </c>
      <c r="AK19" s="114">
        <f t="shared" si="16"/>
        <v>872</v>
      </c>
      <c r="AL19" s="114">
        <f t="shared" si="19"/>
        <v>276.2</v>
      </c>
      <c r="AM19" s="115">
        <v>0.30199999999999999</v>
      </c>
      <c r="AN19" s="50"/>
      <c r="AO19" s="50"/>
      <c r="AP19" s="50"/>
      <c r="AQ19" s="50"/>
      <c r="AS19" s="99">
        <f t="shared" si="17"/>
        <v>16.593</v>
      </c>
    </row>
    <row r="20" spans="1:45" x14ac:dyDescent="0.2">
      <c r="A20" s="284">
        <v>12</v>
      </c>
      <c r="B20" s="236" t="s">
        <v>42</v>
      </c>
      <c r="C20" s="259">
        <v>1</v>
      </c>
      <c r="D20" s="237">
        <v>11.061999999999999</v>
      </c>
      <c r="E20" s="111">
        <f t="shared" si="0"/>
        <v>11.06</v>
      </c>
      <c r="F20" s="95">
        <f t="shared" si="1"/>
        <v>132.69999999999999</v>
      </c>
      <c r="G20" s="95"/>
      <c r="H20" s="95">
        <v>7.8</v>
      </c>
      <c r="I20" s="95"/>
      <c r="J20" s="95"/>
      <c r="K20" s="95">
        <f>F20*0.2</f>
        <v>26.5</v>
      </c>
      <c r="L20" s="95">
        <f t="shared" si="18"/>
        <v>36.1</v>
      </c>
      <c r="M20" s="95">
        <f t="shared" si="2"/>
        <v>203.1</v>
      </c>
      <c r="N20" s="111">
        <v>0.43</v>
      </c>
      <c r="O20" s="95">
        <f t="shared" si="3"/>
        <v>87.3</v>
      </c>
      <c r="P20" s="95">
        <f t="shared" si="4"/>
        <v>290.39999999999998</v>
      </c>
      <c r="Q20" s="95">
        <f t="shared" si="5"/>
        <v>232.3</v>
      </c>
      <c r="R20" s="95">
        <f t="shared" si="6"/>
        <v>232.3</v>
      </c>
      <c r="S20" s="95">
        <f t="shared" si="7"/>
        <v>24.2</v>
      </c>
      <c r="T20" s="95">
        <f t="shared" si="8"/>
        <v>779.2</v>
      </c>
      <c r="U20" s="2916"/>
      <c r="V20" s="95">
        <f t="shared" si="9"/>
        <v>779.2</v>
      </c>
      <c r="W20" s="95">
        <f t="shared" si="20"/>
        <v>235.3</v>
      </c>
      <c r="X20" s="284"/>
      <c r="Y20" s="112">
        <v>30</v>
      </c>
      <c r="Z20" s="113">
        <f t="shared" si="10"/>
        <v>0</v>
      </c>
      <c r="AA20" s="127"/>
      <c r="AB20" s="112">
        <v>15</v>
      </c>
      <c r="AC20" s="113">
        <f t="shared" si="11"/>
        <v>0</v>
      </c>
      <c r="AD20" s="127"/>
      <c r="AE20" s="112">
        <v>30</v>
      </c>
      <c r="AF20" s="113">
        <f t="shared" si="12"/>
        <v>0</v>
      </c>
      <c r="AG20" s="113">
        <f t="shared" si="13"/>
        <v>0</v>
      </c>
      <c r="AH20" s="113">
        <f t="shared" si="14"/>
        <v>0</v>
      </c>
      <c r="AI20" s="131">
        <f t="shared" si="15"/>
        <v>64933.33</v>
      </c>
      <c r="AK20" s="114">
        <f t="shared" si="16"/>
        <v>779.2</v>
      </c>
      <c r="AL20" s="114">
        <f t="shared" si="19"/>
        <v>259.3</v>
      </c>
      <c r="AM20" s="115">
        <v>0.30199999999999999</v>
      </c>
      <c r="AN20" s="50"/>
      <c r="AO20" s="50"/>
      <c r="AP20" s="50"/>
      <c r="AQ20" s="50"/>
      <c r="AS20" s="99">
        <f t="shared" si="17"/>
        <v>16.593</v>
      </c>
    </row>
    <row r="21" spans="1:45" s="22" customFormat="1" ht="25.5" x14ac:dyDescent="0.2">
      <c r="A21" s="284">
        <v>13</v>
      </c>
      <c r="B21" s="52" t="s">
        <v>132</v>
      </c>
      <c r="C21" s="167">
        <v>1</v>
      </c>
      <c r="D21" s="177">
        <v>8.4730000000000008</v>
      </c>
      <c r="E21" s="171">
        <f t="shared" si="0"/>
        <v>8.4700000000000006</v>
      </c>
      <c r="F21" s="154">
        <f>E21*12</f>
        <v>101.6</v>
      </c>
      <c r="G21" s="154"/>
      <c r="H21" s="154">
        <f>4130.4/1000</f>
        <v>4.0999999999999996</v>
      </c>
      <c r="I21" s="154"/>
      <c r="J21" s="154"/>
      <c r="K21" s="154"/>
      <c r="L21" s="154">
        <f t="shared" si="18"/>
        <v>27.6</v>
      </c>
      <c r="M21" s="154">
        <f t="shared" si="2"/>
        <v>133.30000000000001</v>
      </c>
      <c r="N21" s="171">
        <v>0.47</v>
      </c>
      <c r="O21" s="154">
        <f t="shared" si="3"/>
        <v>62.7</v>
      </c>
      <c r="P21" s="154">
        <f t="shared" si="4"/>
        <v>196</v>
      </c>
      <c r="Q21" s="154">
        <f t="shared" si="5"/>
        <v>156.80000000000001</v>
      </c>
      <c r="R21" s="154">
        <f t="shared" si="6"/>
        <v>156.80000000000001</v>
      </c>
      <c r="S21" s="154">
        <f t="shared" si="7"/>
        <v>16.3</v>
      </c>
      <c r="T21" s="154">
        <f t="shared" si="8"/>
        <v>525.9</v>
      </c>
      <c r="U21" s="2916"/>
      <c r="V21" s="154">
        <f>T21*$U$9</f>
        <v>525.9</v>
      </c>
      <c r="W21" s="95">
        <f t="shared" si="20"/>
        <v>158.80000000000001</v>
      </c>
      <c r="X21" s="278"/>
      <c r="Y21" s="24">
        <v>30</v>
      </c>
      <c r="Z21" s="48">
        <f t="shared" si="10"/>
        <v>0</v>
      </c>
      <c r="AA21" s="54"/>
      <c r="AB21" s="24">
        <v>15</v>
      </c>
      <c r="AC21" s="48">
        <f t="shared" si="11"/>
        <v>0</v>
      </c>
      <c r="AD21" s="54"/>
      <c r="AE21" s="24">
        <v>30</v>
      </c>
      <c r="AF21" s="48">
        <f t="shared" si="12"/>
        <v>0</v>
      </c>
      <c r="AG21" s="48">
        <f t="shared" si="13"/>
        <v>0</v>
      </c>
      <c r="AH21" s="48">
        <f t="shared" si="14"/>
        <v>0</v>
      </c>
      <c r="AI21" s="39">
        <f t="shared" si="15"/>
        <v>43825</v>
      </c>
      <c r="AK21" s="34">
        <f t="shared" si="16"/>
        <v>525.9</v>
      </c>
      <c r="AL21" s="34">
        <f t="shared" si="19"/>
        <v>213.2</v>
      </c>
      <c r="AM21" s="51">
        <v>0.30199999999999999</v>
      </c>
      <c r="AN21" s="211"/>
      <c r="AO21" s="211"/>
      <c r="AP21" s="211"/>
      <c r="AQ21" s="211"/>
      <c r="AS21" s="22">
        <f t="shared" si="17"/>
        <v>12.7095</v>
      </c>
    </row>
    <row r="22" spans="1:45" x14ac:dyDescent="0.2">
      <c r="A22" s="284">
        <v>14</v>
      </c>
      <c r="B22" s="261" t="s">
        <v>44</v>
      </c>
      <c r="C22" s="259">
        <v>1</v>
      </c>
      <c r="D22" s="237">
        <v>11.061999999999999</v>
      </c>
      <c r="E22" s="111">
        <f t="shared" si="0"/>
        <v>11.06</v>
      </c>
      <c r="F22" s="95">
        <f t="shared" si="1"/>
        <v>132.69999999999999</v>
      </c>
      <c r="G22" s="95"/>
      <c r="H22" s="95">
        <v>7</v>
      </c>
      <c r="I22" s="95"/>
      <c r="J22" s="95"/>
      <c r="K22" s="95">
        <f>F22*0.4</f>
        <v>53.1</v>
      </c>
      <c r="L22" s="95">
        <f t="shared" si="18"/>
        <v>36.1</v>
      </c>
      <c r="M22" s="95">
        <f t="shared" si="2"/>
        <v>228.9</v>
      </c>
      <c r="N22" s="111">
        <v>0.43</v>
      </c>
      <c r="O22" s="95">
        <f t="shared" si="3"/>
        <v>98.4</v>
      </c>
      <c r="P22" s="95">
        <f t="shared" si="4"/>
        <v>327.3</v>
      </c>
      <c r="Q22" s="95">
        <f t="shared" si="5"/>
        <v>261.8</v>
      </c>
      <c r="R22" s="95">
        <f t="shared" si="6"/>
        <v>261.8</v>
      </c>
      <c r="S22" s="95">
        <f t="shared" si="7"/>
        <v>27.2</v>
      </c>
      <c r="T22" s="95">
        <f t="shared" si="8"/>
        <v>878.1</v>
      </c>
      <c r="U22" s="2916"/>
      <c r="V22" s="95">
        <f t="shared" si="9"/>
        <v>878.1</v>
      </c>
      <c r="W22" s="95">
        <f t="shared" si="20"/>
        <v>265.2</v>
      </c>
      <c r="X22" s="284">
        <v>1</v>
      </c>
      <c r="Y22" s="112">
        <v>30</v>
      </c>
      <c r="Z22" s="113">
        <f t="shared" si="10"/>
        <v>30</v>
      </c>
      <c r="AA22" s="127">
        <v>1</v>
      </c>
      <c r="AB22" s="112">
        <v>15</v>
      </c>
      <c r="AC22" s="113">
        <f t="shared" si="11"/>
        <v>15</v>
      </c>
      <c r="AD22" s="127"/>
      <c r="AE22" s="112">
        <v>30</v>
      </c>
      <c r="AF22" s="113">
        <f t="shared" si="12"/>
        <v>0</v>
      </c>
      <c r="AG22" s="113">
        <f t="shared" si="13"/>
        <v>13.5</v>
      </c>
      <c r="AH22" s="113">
        <f t="shared" si="14"/>
        <v>58.5</v>
      </c>
      <c r="AI22" s="131">
        <f t="shared" si="15"/>
        <v>73175</v>
      </c>
      <c r="AK22" s="114">
        <f t="shared" si="16"/>
        <v>878.1</v>
      </c>
      <c r="AL22" s="114">
        <f t="shared" si="19"/>
        <v>277.3</v>
      </c>
      <c r="AM22" s="115">
        <v>0.30199999999999999</v>
      </c>
      <c r="AN22" s="50"/>
      <c r="AO22" s="50"/>
      <c r="AP22" s="50"/>
      <c r="AQ22" s="50"/>
      <c r="AS22" s="99">
        <f t="shared" si="17"/>
        <v>16.593</v>
      </c>
    </row>
    <row r="23" spans="1:45" x14ac:dyDescent="0.2">
      <c r="A23" s="284">
        <v>15</v>
      </c>
      <c r="B23" s="236" t="s">
        <v>33</v>
      </c>
      <c r="C23" s="174">
        <v>1</v>
      </c>
      <c r="D23" s="237">
        <v>8.4730000000000008</v>
      </c>
      <c r="E23" s="111">
        <f t="shared" si="0"/>
        <v>8.4700000000000006</v>
      </c>
      <c r="F23" s="95">
        <f t="shared" si="1"/>
        <v>101.6</v>
      </c>
      <c r="G23" s="95">
        <f>4015.6/1000</f>
        <v>4</v>
      </c>
      <c r="H23" s="95">
        <f>5782.5/1000</f>
        <v>5.8</v>
      </c>
      <c r="I23" s="95"/>
      <c r="J23" s="95"/>
      <c r="K23" s="95">
        <f>D23*0.2*7.6+D23*0.25*4.4</f>
        <v>22.2</v>
      </c>
      <c r="L23" s="95">
        <f t="shared" si="18"/>
        <v>27.6</v>
      </c>
      <c r="M23" s="95">
        <f t="shared" si="2"/>
        <v>161.19999999999999</v>
      </c>
      <c r="N23" s="111">
        <v>0.41</v>
      </c>
      <c r="O23" s="95">
        <f t="shared" si="3"/>
        <v>66.099999999999994</v>
      </c>
      <c r="P23" s="95">
        <f t="shared" si="4"/>
        <v>227.3</v>
      </c>
      <c r="Q23" s="95">
        <f t="shared" si="5"/>
        <v>181.8</v>
      </c>
      <c r="R23" s="95">
        <f t="shared" si="6"/>
        <v>181.8</v>
      </c>
      <c r="S23" s="95">
        <f t="shared" si="7"/>
        <v>18.899999999999999</v>
      </c>
      <c r="T23" s="95">
        <f t="shared" si="8"/>
        <v>609.79999999999995</v>
      </c>
      <c r="U23" s="2916"/>
      <c r="V23" s="95">
        <f t="shared" si="9"/>
        <v>609.79999999999995</v>
      </c>
      <c r="W23" s="95">
        <f t="shared" si="20"/>
        <v>184.2</v>
      </c>
      <c r="X23" s="238">
        <v>1</v>
      </c>
      <c r="Y23" s="240">
        <v>30</v>
      </c>
      <c r="Z23" s="241">
        <f t="shared" si="10"/>
        <v>30</v>
      </c>
      <c r="AA23" s="238"/>
      <c r="AB23" s="240">
        <v>15</v>
      </c>
      <c r="AC23" s="241">
        <f t="shared" si="11"/>
        <v>0</v>
      </c>
      <c r="AD23" s="238">
        <v>1</v>
      </c>
      <c r="AE23" s="240">
        <v>30</v>
      </c>
      <c r="AF23" s="241">
        <f t="shared" si="12"/>
        <v>30</v>
      </c>
      <c r="AG23" s="241">
        <f t="shared" si="13"/>
        <v>18</v>
      </c>
      <c r="AH23" s="241">
        <f t="shared" si="14"/>
        <v>78</v>
      </c>
      <c r="AI23" s="131">
        <f t="shared" si="15"/>
        <v>50816.67</v>
      </c>
      <c r="AK23" s="114">
        <f t="shared" si="16"/>
        <v>609.79999999999995</v>
      </c>
      <c r="AL23" s="114">
        <f t="shared" si="19"/>
        <v>228.5</v>
      </c>
      <c r="AM23" s="115">
        <v>0.30199999999999999</v>
      </c>
      <c r="AN23" s="263"/>
      <c r="AO23" s="263"/>
      <c r="AP23" s="263"/>
      <c r="AS23" s="99">
        <f t="shared" si="17"/>
        <v>12.7095</v>
      </c>
    </row>
    <row r="24" spans="1:45" ht="25.5" x14ac:dyDescent="0.2">
      <c r="A24" s="284">
        <v>16</v>
      </c>
      <c r="B24" s="236" t="s">
        <v>102</v>
      </c>
      <c r="C24" s="174">
        <v>0.5</v>
      </c>
      <c r="D24" s="237">
        <v>4.3769999999999998</v>
      </c>
      <c r="E24" s="111">
        <f t="shared" si="0"/>
        <v>2.19</v>
      </c>
      <c r="F24" s="95">
        <f t="shared" si="1"/>
        <v>26.3</v>
      </c>
      <c r="G24" s="95"/>
      <c r="H24" s="95"/>
      <c r="I24" s="95"/>
      <c r="J24" s="95"/>
      <c r="K24" s="95"/>
      <c r="L24" s="95">
        <f t="shared" si="18"/>
        <v>7.2</v>
      </c>
      <c r="M24" s="95">
        <f t="shared" si="2"/>
        <v>33.5</v>
      </c>
      <c r="N24" s="111">
        <v>0.49</v>
      </c>
      <c r="O24" s="95">
        <f t="shared" si="3"/>
        <v>16.399999999999999</v>
      </c>
      <c r="P24" s="95">
        <f t="shared" si="4"/>
        <v>49.9</v>
      </c>
      <c r="Q24" s="95">
        <f t="shared" si="5"/>
        <v>39.9</v>
      </c>
      <c r="R24" s="95">
        <f t="shared" si="6"/>
        <v>39.9</v>
      </c>
      <c r="S24" s="95">
        <f t="shared" si="7"/>
        <v>4.2</v>
      </c>
      <c r="T24" s="95">
        <f t="shared" si="8"/>
        <v>133.9</v>
      </c>
      <c r="U24" s="2916"/>
      <c r="V24" s="95">
        <f t="shared" si="9"/>
        <v>133.9</v>
      </c>
      <c r="W24" s="95">
        <f t="shared" si="20"/>
        <v>40.4</v>
      </c>
      <c r="X24" s="238"/>
      <c r="Y24" s="240"/>
      <c r="Z24" s="241"/>
      <c r="AA24" s="238"/>
      <c r="AB24" s="240"/>
      <c r="AC24" s="241"/>
      <c r="AD24" s="238"/>
      <c r="AE24" s="240"/>
      <c r="AF24" s="241"/>
      <c r="AG24" s="241"/>
      <c r="AH24" s="241"/>
      <c r="AI24" s="131"/>
      <c r="AK24" s="114"/>
      <c r="AL24" s="114"/>
      <c r="AM24" s="115"/>
      <c r="AN24" s="263"/>
      <c r="AO24" s="263"/>
      <c r="AP24" s="263"/>
      <c r="AS24" s="99">
        <f t="shared" si="17"/>
        <v>6.5655000000000001</v>
      </c>
    </row>
    <row r="25" spans="1:45" x14ac:dyDescent="0.2">
      <c r="A25" s="284">
        <v>17</v>
      </c>
      <c r="B25" s="236" t="s">
        <v>136</v>
      </c>
      <c r="C25" s="174">
        <v>0.5</v>
      </c>
      <c r="D25" s="237">
        <v>4.3769999999999998</v>
      </c>
      <c r="E25" s="111">
        <f t="shared" si="0"/>
        <v>2.19</v>
      </c>
      <c r="F25" s="95">
        <f t="shared" si="1"/>
        <v>26.3</v>
      </c>
      <c r="G25" s="95"/>
      <c r="H25" s="95"/>
      <c r="I25" s="95"/>
      <c r="J25" s="95"/>
      <c r="K25" s="95"/>
      <c r="L25" s="95">
        <f t="shared" si="18"/>
        <v>7.2</v>
      </c>
      <c r="M25" s="95">
        <f t="shared" si="2"/>
        <v>33.5</v>
      </c>
      <c r="N25" s="111">
        <v>0.49</v>
      </c>
      <c r="O25" s="95">
        <f t="shared" si="3"/>
        <v>16.399999999999999</v>
      </c>
      <c r="P25" s="95">
        <f t="shared" si="4"/>
        <v>49.9</v>
      </c>
      <c r="Q25" s="95">
        <f t="shared" si="5"/>
        <v>39.9</v>
      </c>
      <c r="R25" s="95">
        <f t="shared" si="6"/>
        <v>39.9</v>
      </c>
      <c r="S25" s="95">
        <f t="shared" si="7"/>
        <v>4.2</v>
      </c>
      <c r="T25" s="95">
        <f t="shared" si="8"/>
        <v>133.9</v>
      </c>
      <c r="U25" s="2916"/>
      <c r="V25" s="95">
        <f t="shared" si="9"/>
        <v>133.9</v>
      </c>
      <c r="W25" s="95">
        <f t="shared" si="20"/>
        <v>40.4</v>
      </c>
      <c r="X25" s="238"/>
      <c r="Y25" s="240"/>
      <c r="Z25" s="241"/>
      <c r="AA25" s="238"/>
      <c r="AB25" s="240"/>
      <c r="AC25" s="241"/>
      <c r="AD25" s="238"/>
      <c r="AE25" s="240"/>
      <c r="AF25" s="241"/>
      <c r="AG25" s="241"/>
      <c r="AH25" s="241"/>
      <c r="AI25" s="131"/>
      <c r="AK25" s="114"/>
      <c r="AL25" s="114"/>
      <c r="AM25" s="115"/>
      <c r="AN25" s="263"/>
      <c r="AO25" s="263"/>
      <c r="AP25" s="263"/>
      <c r="AS25" s="99">
        <f t="shared" si="17"/>
        <v>6.5655000000000001</v>
      </c>
    </row>
    <row r="26" spans="1:45" s="245" customFormat="1" x14ac:dyDescent="0.2">
      <c r="A26" s="284">
        <v>18</v>
      </c>
      <c r="B26" s="236" t="s">
        <v>60</v>
      </c>
      <c r="C26" s="262">
        <v>2</v>
      </c>
      <c r="D26" s="247">
        <v>4.3769999999999998</v>
      </c>
      <c r="E26" s="249">
        <f t="shared" si="0"/>
        <v>8.75</v>
      </c>
      <c r="F26" s="248">
        <f t="shared" si="1"/>
        <v>105</v>
      </c>
      <c r="G26" s="248">
        <f>12446.4/1000</f>
        <v>12.4</v>
      </c>
      <c r="H26" s="248">
        <f>5974.3/1000</f>
        <v>6</v>
      </c>
      <c r="I26" s="248"/>
      <c r="J26" s="248"/>
      <c r="K26" s="248"/>
      <c r="L26" s="95">
        <v>59</v>
      </c>
      <c r="M26" s="248">
        <f t="shared" si="2"/>
        <v>182.4</v>
      </c>
      <c r="N26" s="111">
        <v>0.49</v>
      </c>
      <c r="O26" s="248">
        <f t="shared" si="3"/>
        <v>89.4</v>
      </c>
      <c r="P26" s="248">
        <f t="shared" si="4"/>
        <v>271.8</v>
      </c>
      <c r="Q26" s="248">
        <f t="shared" si="5"/>
        <v>217.4</v>
      </c>
      <c r="R26" s="248">
        <f t="shared" si="6"/>
        <v>217.4</v>
      </c>
      <c r="S26" s="248">
        <f t="shared" si="7"/>
        <v>22.6</v>
      </c>
      <c r="T26" s="248">
        <f t="shared" si="8"/>
        <v>729.2</v>
      </c>
      <c r="U26" s="2916"/>
      <c r="V26" s="248">
        <f t="shared" si="9"/>
        <v>729.2</v>
      </c>
      <c r="W26" s="95">
        <f t="shared" si="20"/>
        <v>220.2</v>
      </c>
      <c r="X26" s="246">
        <v>1</v>
      </c>
      <c r="Y26" s="240">
        <v>30</v>
      </c>
      <c r="Z26" s="241">
        <f t="shared" si="10"/>
        <v>30</v>
      </c>
      <c r="AA26" s="246"/>
      <c r="AB26" s="240">
        <v>15</v>
      </c>
      <c r="AC26" s="241">
        <f t="shared" si="11"/>
        <v>0</v>
      </c>
      <c r="AD26" s="246"/>
      <c r="AE26" s="240">
        <v>30</v>
      </c>
      <c r="AF26" s="241">
        <f t="shared" si="12"/>
        <v>0</v>
      </c>
      <c r="AG26" s="241">
        <f t="shared" si="13"/>
        <v>9</v>
      </c>
      <c r="AH26" s="241">
        <f t="shared" si="14"/>
        <v>39</v>
      </c>
      <c r="AI26" s="131">
        <f>V26/12/C26*1000</f>
        <v>30383.33</v>
      </c>
      <c r="AK26" s="114">
        <f>V26/C26</f>
        <v>364.6</v>
      </c>
      <c r="AL26" s="114">
        <f t="shared" si="19"/>
        <v>183.8</v>
      </c>
      <c r="AM26" s="115">
        <v>0.30199999999999999</v>
      </c>
      <c r="AN26" s="211"/>
      <c r="AO26" s="211"/>
      <c r="AP26" s="211"/>
      <c r="AQ26" s="211"/>
      <c r="AS26" s="99">
        <f t="shared" si="17"/>
        <v>6.5655000000000001</v>
      </c>
    </row>
    <row r="27" spans="1:45" x14ac:dyDescent="0.2">
      <c r="A27" s="284">
        <v>19</v>
      </c>
      <c r="B27" s="261" t="s">
        <v>94</v>
      </c>
      <c r="C27" s="264">
        <v>2</v>
      </c>
      <c r="D27" s="237">
        <v>4.3769999999999998</v>
      </c>
      <c r="E27" s="111">
        <f t="shared" si="0"/>
        <v>8.75</v>
      </c>
      <c r="F27" s="95">
        <f t="shared" si="1"/>
        <v>105</v>
      </c>
      <c r="G27" s="95">
        <f>2074.4/1000</f>
        <v>2.1</v>
      </c>
      <c r="H27" s="95">
        <f>5.974</f>
        <v>6</v>
      </c>
      <c r="I27" s="95"/>
      <c r="J27" s="95"/>
      <c r="K27" s="95"/>
      <c r="L27" s="95">
        <v>70.8</v>
      </c>
      <c r="M27" s="95">
        <f t="shared" si="2"/>
        <v>183.9</v>
      </c>
      <c r="N27" s="111">
        <v>0.47</v>
      </c>
      <c r="O27" s="95">
        <f t="shared" si="3"/>
        <v>86.4</v>
      </c>
      <c r="P27" s="95">
        <f t="shared" si="4"/>
        <v>270.3</v>
      </c>
      <c r="Q27" s="95">
        <f t="shared" si="5"/>
        <v>216.2</v>
      </c>
      <c r="R27" s="95">
        <f t="shared" si="6"/>
        <v>216.2</v>
      </c>
      <c r="S27" s="95">
        <f t="shared" si="7"/>
        <v>22.5</v>
      </c>
      <c r="T27" s="95">
        <f t="shared" si="8"/>
        <v>725.2</v>
      </c>
      <c r="U27" s="2916"/>
      <c r="V27" s="95">
        <f>T27*$U$9+0.1</f>
        <v>725.3</v>
      </c>
      <c r="W27" s="95">
        <f t="shared" si="20"/>
        <v>219</v>
      </c>
      <c r="X27" s="284">
        <v>1</v>
      </c>
      <c r="Y27" s="112">
        <v>30</v>
      </c>
      <c r="Z27" s="113">
        <f t="shared" si="10"/>
        <v>30</v>
      </c>
      <c r="AA27" s="284"/>
      <c r="AB27" s="112">
        <v>15</v>
      </c>
      <c r="AC27" s="113">
        <f t="shared" si="11"/>
        <v>0</v>
      </c>
      <c r="AD27" s="284"/>
      <c r="AE27" s="112">
        <v>30</v>
      </c>
      <c r="AF27" s="113">
        <f t="shared" si="12"/>
        <v>0</v>
      </c>
      <c r="AG27" s="113">
        <f t="shared" si="13"/>
        <v>9</v>
      </c>
      <c r="AH27" s="113">
        <f t="shared" si="14"/>
        <v>39</v>
      </c>
      <c r="AI27" s="131">
        <f>V27/12/C27*1000</f>
        <v>30220.83</v>
      </c>
      <c r="AK27" s="114">
        <f>V27/C27</f>
        <v>362.7</v>
      </c>
      <c r="AL27" s="114">
        <f t="shared" si="19"/>
        <v>183.5</v>
      </c>
      <c r="AM27" s="115">
        <v>0.30199999999999999</v>
      </c>
      <c r="AS27" s="99">
        <f t="shared" si="17"/>
        <v>6.5655000000000001</v>
      </c>
    </row>
    <row r="28" spans="1:45" s="98" customFormat="1" ht="20.25" customHeight="1" x14ac:dyDescent="0.2">
      <c r="A28" s="2919" t="s">
        <v>8</v>
      </c>
      <c r="B28" s="2919"/>
      <c r="C28" s="265">
        <f>SUM(C9:C27)</f>
        <v>25</v>
      </c>
      <c r="D28" s="266">
        <f t="shared" ref="D28:T28" si="21">SUM(D9:D27)</f>
        <v>187.6</v>
      </c>
      <c r="E28" s="266">
        <f t="shared" si="21"/>
        <v>251.7</v>
      </c>
      <c r="F28" s="266">
        <f t="shared" si="21"/>
        <v>3020.1</v>
      </c>
      <c r="G28" s="266">
        <f t="shared" si="21"/>
        <v>18.5</v>
      </c>
      <c r="H28" s="266">
        <f t="shared" si="21"/>
        <v>110.7</v>
      </c>
      <c r="I28" s="266">
        <f t="shared" si="21"/>
        <v>0</v>
      </c>
      <c r="J28" s="266">
        <f t="shared" si="21"/>
        <v>0</v>
      </c>
      <c r="K28" s="266">
        <f t="shared" si="21"/>
        <v>703.9</v>
      </c>
      <c r="L28" s="266">
        <f t="shared" si="21"/>
        <v>894.2</v>
      </c>
      <c r="M28" s="266">
        <f t="shared" si="21"/>
        <v>4747.3999999999996</v>
      </c>
      <c r="N28" s="266">
        <f t="shared" si="21"/>
        <v>8.5</v>
      </c>
      <c r="O28" s="266">
        <f t="shared" si="21"/>
        <v>2108</v>
      </c>
      <c r="P28" s="266">
        <f t="shared" si="21"/>
        <v>6855.4</v>
      </c>
      <c r="Q28" s="266">
        <f t="shared" si="21"/>
        <v>5484.1</v>
      </c>
      <c r="R28" s="266">
        <f t="shared" si="21"/>
        <v>5484.1</v>
      </c>
      <c r="S28" s="266">
        <f t="shared" si="21"/>
        <v>570.29999999999995</v>
      </c>
      <c r="T28" s="266">
        <f t="shared" si="21"/>
        <v>18393.900000000001</v>
      </c>
      <c r="U28" s="266"/>
      <c r="V28" s="266">
        <f t="shared" ref="V28:AH28" si="22">SUM(V9:V27)</f>
        <v>18394</v>
      </c>
      <c r="W28" s="266">
        <f>SUM(W9:W27)</f>
        <v>5400.8</v>
      </c>
      <c r="X28" s="266">
        <f t="shared" si="22"/>
        <v>8</v>
      </c>
      <c r="Y28" s="266">
        <f t="shared" si="22"/>
        <v>510</v>
      </c>
      <c r="Z28" s="266">
        <f t="shared" si="22"/>
        <v>240</v>
      </c>
      <c r="AA28" s="266">
        <f t="shared" si="22"/>
        <v>1</v>
      </c>
      <c r="AB28" s="266">
        <f t="shared" si="22"/>
        <v>255</v>
      </c>
      <c r="AC28" s="266">
        <f t="shared" si="22"/>
        <v>15</v>
      </c>
      <c r="AD28" s="266">
        <f t="shared" si="22"/>
        <v>3</v>
      </c>
      <c r="AE28" s="266">
        <f t="shared" si="22"/>
        <v>510</v>
      </c>
      <c r="AF28" s="266">
        <f t="shared" si="22"/>
        <v>90</v>
      </c>
      <c r="AG28" s="266">
        <f t="shared" si="22"/>
        <v>103.5</v>
      </c>
      <c r="AH28" s="266">
        <f t="shared" si="22"/>
        <v>448.5</v>
      </c>
      <c r="AI28" s="131"/>
      <c r="AK28" s="114"/>
      <c r="AL28" s="114"/>
      <c r="AM28" s="115"/>
      <c r="AN28" s="211"/>
      <c r="AO28" s="211"/>
      <c r="AP28" s="211"/>
      <c r="AQ28" s="211"/>
      <c r="AS28" s="99"/>
    </row>
    <row r="29" spans="1:45" s="98" customFormat="1" ht="20.25" customHeight="1" x14ac:dyDescent="0.2">
      <c r="A29" s="267"/>
      <c r="B29" s="268"/>
      <c r="C29" s="269"/>
      <c r="D29" s="270"/>
      <c r="E29" s="270"/>
      <c r="F29" s="270"/>
      <c r="G29" s="270"/>
      <c r="H29" s="270"/>
      <c r="I29" s="270"/>
      <c r="J29" s="270"/>
      <c r="K29" s="270"/>
      <c r="L29" s="270"/>
      <c r="M29" s="270"/>
      <c r="N29" s="270"/>
      <c r="O29" s="270"/>
      <c r="P29" s="270"/>
      <c r="Q29" s="270"/>
      <c r="R29" s="270"/>
      <c r="S29" s="270"/>
      <c r="T29" s="270"/>
      <c r="U29" s="270"/>
      <c r="V29" s="270"/>
      <c r="W29" s="66"/>
      <c r="X29" s="270"/>
      <c r="Y29" s="270"/>
      <c r="Z29" s="270"/>
      <c r="AA29" s="270"/>
      <c r="AB29" s="270"/>
      <c r="AC29" s="270"/>
      <c r="AD29" s="270"/>
      <c r="AE29" s="270"/>
      <c r="AF29" s="270"/>
      <c r="AG29" s="270"/>
      <c r="AH29" s="270"/>
      <c r="AI29" s="131"/>
      <c r="AK29" s="114"/>
      <c r="AL29" s="114"/>
      <c r="AM29" s="115"/>
      <c r="AN29" s="211"/>
      <c r="AO29" s="211"/>
      <c r="AP29" s="211"/>
      <c r="AQ29" s="211"/>
    </row>
    <row r="30" spans="1:45" s="75" customFormat="1" x14ac:dyDescent="0.2">
      <c r="A30" s="70"/>
      <c r="B30" s="70"/>
      <c r="C30" s="71"/>
      <c r="D30" s="271"/>
      <c r="E30" s="72"/>
      <c r="F30" s="72"/>
      <c r="G30" s="72"/>
      <c r="H30" s="73"/>
      <c r="I30" s="73"/>
      <c r="J30" s="27"/>
      <c r="K30" s="27"/>
      <c r="L30" s="27"/>
      <c r="M30" s="27"/>
      <c r="N30" s="74"/>
      <c r="O30" s="27"/>
      <c r="P30" s="27"/>
      <c r="Q30" s="27"/>
      <c r="R30" s="27"/>
      <c r="S30" s="27"/>
      <c r="T30" s="27"/>
      <c r="U30" s="27"/>
      <c r="V30" s="27"/>
      <c r="W30" s="27"/>
      <c r="X30" s="27"/>
      <c r="Y30" s="27"/>
      <c r="Z30" s="27"/>
      <c r="AA30" s="27"/>
      <c r="AB30" s="27"/>
      <c r="AC30" s="27"/>
      <c r="AD30" s="27"/>
      <c r="AE30" s="27"/>
      <c r="AF30" s="27"/>
      <c r="AG30" s="27"/>
      <c r="AH30" s="27"/>
      <c r="AI30" s="27"/>
      <c r="AJ30" s="76"/>
      <c r="AN30" s="76"/>
      <c r="AO30" s="76"/>
      <c r="AP30" s="76"/>
      <c r="AQ30" s="76"/>
      <c r="AR30" s="76"/>
    </row>
    <row r="31" spans="1:45" s="75" customFormat="1" ht="58.5" customHeight="1" x14ac:dyDescent="0.2">
      <c r="A31" s="70"/>
      <c r="B31" s="70"/>
      <c r="C31" s="71"/>
      <c r="D31" s="77"/>
      <c r="E31" s="77"/>
      <c r="F31" s="27"/>
      <c r="G31" s="2244" t="s">
        <v>140</v>
      </c>
      <c r="H31" s="2244"/>
      <c r="I31" s="2244" t="s">
        <v>145</v>
      </c>
      <c r="J31" s="2244"/>
      <c r="K31" s="2244" t="s">
        <v>128</v>
      </c>
      <c r="L31" s="2244"/>
      <c r="Q31" s="27"/>
      <c r="R31" s="27"/>
      <c r="S31" s="27"/>
      <c r="T31" s="27"/>
      <c r="U31" s="27"/>
      <c r="V31" s="27"/>
      <c r="W31" s="27"/>
      <c r="X31" s="27"/>
      <c r="Y31" s="27"/>
      <c r="Z31" s="27"/>
      <c r="AA31" s="27"/>
      <c r="AB31" s="27"/>
      <c r="AC31" s="27"/>
      <c r="AD31" s="27"/>
      <c r="AE31" s="27"/>
      <c r="AF31" s="27"/>
      <c r="AG31" s="27"/>
      <c r="AH31" s="27"/>
      <c r="AI31" s="27"/>
      <c r="AJ31" s="76"/>
      <c r="AN31" s="76"/>
      <c r="AO31" s="76"/>
      <c r="AP31" s="76"/>
      <c r="AQ31" s="76"/>
      <c r="AR31" s="76"/>
    </row>
    <row r="32" spans="1:45" s="75" customFormat="1" x14ac:dyDescent="0.2">
      <c r="A32" s="70"/>
      <c r="B32" s="70"/>
      <c r="C32" s="71"/>
      <c r="D32" s="77"/>
      <c r="E32" s="77"/>
      <c r="F32" s="27"/>
      <c r="G32" s="279">
        <v>991</v>
      </c>
      <c r="H32" s="279">
        <v>992</v>
      </c>
      <c r="I32" s="279">
        <v>991</v>
      </c>
      <c r="J32" s="279">
        <v>992</v>
      </c>
      <c r="K32" s="279">
        <v>991</v>
      </c>
      <c r="L32" s="279">
        <v>992</v>
      </c>
      <c r="Q32" s="27"/>
      <c r="R32" s="27"/>
      <c r="S32" s="27"/>
      <c r="T32" s="27"/>
      <c r="U32" s="27"/>
      <c r="V32" s="27"/>
      <c r="W32" s="27"/>
      <c r="X32" s="27"/>
      <c r="Y32" s="27"/>
      <c r="Z32" s="27"/>
      <c r="AA32" s="27"/>
      <c r="AB32" s="27"/>
      <c r="AC32" s="27"/>
      <c r="AD32" s="27"/>
      <c r="AE32" s="27"/>
      <c r="AF32" s="27"/>
      <c r="AG32" s="27"/>
      <c r="AH32" s="27"/>
      <c r="AI32" s="27"/>
      <c r="AJ32" s="76"/>
      <c r="AN32" s="76"/>
      <c r="AO32" s="76"/>
      <c r="AP32" s="76"/>
      <c r="AQ32" s="76"/>
      <c r="AR32" s="76"/>
    </row>
    <row r="33" spans="1:44" s="75" customFormat="1" x14ac:dyDescent="0.2">
      <c r="A33" s="70"/>
      <c r="B33" s="70"/>
      <c r="C33" s="71"/>
      <c r="D33" s="77"/>
      <c r="E33" s="77"/>
      <c r="F33" s="27"/>
      <c r="G33" s="29">
        <v>18394</v>
      </c>
      <c r="H33" s="29">
        <v>5393.9</v>
      </c>
      <c r="I33" s="29">
        <f>V28</f>
        <v>18394</v>
      </c>
      <c r="J33" s="29">
        <f>W28</f>
        <v>5400.8</v>
      </c>
      <c r="K33" s="29">
        <f>G33-I33</f>
        <v>0</v>
      </c>
      <c r="L33" s="29">
        <f>H33-J33</f>
        <v>-6.9</v>
      </c>
      <c r="Q33" s="27"/>
      <c r="R33" s="27"/>
      <c r="S33" s="27"/>
      <c r="T33" s="27"/>
      <c r="U33" s="27"/>
      <c r="V33" s="27"/>
      <c r="W33" s="27"/>
      <c r="X33" s="27"/>
      <c r="Y33" s="27"/>
      <c r="Z33" s="27"/>
      <c r="AA33" s="27"/>
      <c r="AB33" s="27"/>
      <c r="AC33" s="27"/>
      <c r="AD33" s="27"/>
      <c r="AE33" s="27"/>
      <c r="AF33" s="27"/>
      <c r="AG33" s="27"/>
      <c r="AH33" s="27"/>
      <c r="AI33" s="27"/>
      <c r="AJ33" s="76"/>
      <c r="AN33" s="76"/>
      <c r="AO33" s="76"/>
      <c r="AP33" s="76"/>
      <c r="AQ33" s="76"/>
      <c r="AR33" s="76"/>
    </row>
    <row r="38" spans="1:44" s="282" customFormat="1" ht="20.25" x14ac:dyDescent="0.2">
      <c r="A38" s="81"/>
      <c r="B38" s="82" t="s">
        <v>138</v>
      </c>
      <c r="C38" s="83"/>
      <c r="D38" s="84"/>
      <c r="E38" s="84"/>
      <c r="F38" s="85"/>
      <c r="G38" s="85"/>
      <c r="H38" s="86"/>
      <c r="I38" s="86"/>
      <c r="J38" s="85"/>
      <c r="K38" s="30" t="s">
        <v>166</v>
      </c>
      <c r="L38" s="85"/>
      <c r="M38" s="85"/>
      <c r="N38" s="87"/>
      <c r="O38" s="85"/>
      <c r="P38" s="85"/>
      <c r="Q38" s="85"/>
      <c r="R38" s="85"/>
      <c r="S38" s="85"/>
      <c r="T38" s="85"/>
      <c r="U38" s="85"/>
      <c r="V38" s="85"/>
      <c r="W38" s="85"/>
      <c r="X38" s="85"/>
      <c r="Y38" s="85"/>
      <c r="Z38" s="85"/>
      <c r="AA38" s="85"/>
      <c r="AB38" s="85"/>
      <c r="AC38" s="85"/>
      <c r="AD38" s="85"/>
      <c r="AE38" s="85"/>
      <c r="AF38" s="85"/>
      <c r="AG38" s="85"/>
      <c r="AH38" s="85"/>
      <c r="AI38" s="85"/>
      <c r="AK38" s="88"/>
      <c r="AL38" s="88"/>
      <c r="AM38" s="88"/>
      <c r="AN38" s="88"/>
      <c r="AO38" s="88"/>
    </row>
    <row r="39" spans="1:44" s="143" customFormat="1" x14ac:dyDescent="0.2">
      <c r="A39" s="136"/>
      <c r="B39" s="136"/>
      <c r="C39" s="137"/>
      <c r="D39" s="144"/>
      <c r="E39" s="144"/>
      <c r="F39" s="140"/>
      <c r="G39" s="140"/>
      <c r="H39" s="139"/>
      <c r="I39" s="139"/>
      <c r="J39" s="140"/>
      <c r="K39" s="140"/>
      <c r="L39" s="140"/>
      <c r="M39" s="140"/>
      <c r="N39" s="141"/>
      <c r="O39" s="140"/>
      <c r="P39" s="140"/>
      <c r="Q39" s="140"/>
      <c r="R39" s="140"/>
      <c r="S39" s="140"/>
      <c r="T39" s="140"/>
      <c r="U39" s="140"/>
      <c r="V39" s="140"/>
      <c r="W39" s="140"/>
      <c r="X39" s="140"/>
      <c r="Y39" s="140"/>
      <c r="Z39" s="140"/>
      <c r="AA39" s="140"/>
      <c r="AB39" s="140"/>
      <c r="AC39" s="140"/>
      <c r="AD39" s="140"/>
      <c r="AE39" s="140"/>
      <c r="AF39" s="142"/>
      <c r="AK39" s="142"/>
      <c r="AL39" s="142"/>
      <c r="AM39" s="142"/>
      <c r="AN39" s="76"/>
      <c r="AO39" s="76"/>
      <c r="AP39" s="76"/>
      <c r="AQ39" s="76"/>
      <c r="AR39" s="99"/>
    </row>
    <row r="40" spans="1:44" s="143" customFormat="1" x14ac:dyDescent="0.2">
      <c r="A40" s="136"/>
      <c r="B40" s="136"/>
      <c r="C40" s="137"/>
      <c r="D40" s="144"/>
      <c r="E40" s="144"/>
      <c r="F40" s="140"/>
      <c r="G40" s="140"/>
      <c r="H40" s="139"/>
      <c r="I40" s="139"/>
      <c r="J40" s="140"/>
      <c r="K40" s="140"/>
      <c r="L40" s="140"/>
      <c r="M40" s="140"/>
      <c r="N40" s="202"/>
      <c r="O40" s="203"/>
      <c r="P40" s="140"/>
      <c r="Q40" s="140"/>
      <c r="R40" s="140"/>
      <c r="S40" s="140"/>
      <c r="T40" s="140"/>
      <c r="U40" s="140"/>
      <c r="V40" s="140"/>
      <c r="W40" s="140"/>
      <c r="X40" s="140"/>
      <c r="Y40" s="140"/>
      <c r="Z40" s="140"/>
      <c r="AA40" s="140"/>
      <c r="AB40" s="140"/>
      <c r="AC40" s="140"/>
      <c r="AD40" s="140"/>
      <c r="AE40" s="140"/>
      <c r="AF40" s="142"/>
      <c r="AK40" s="142"/>
      <c r="AL40" s="142"/>
      <c r="AM40" s="142"/>
      <c r="AN40" s="76"/>
      <c r="AO40" s="76"/>
      <c r="AP40" s="76"/>
      <c r="AQ40" s="76"/>
      <c r="AR40" s="252"/>
    </row>
    <row r="41" spans="1:44" s="143" customFormat="1" ht="20.25" customHeight="1" x14ac:dyDescent="0.2">
      <c r="A41" s="145" t="s">
        <v>96</v>
      </c>
      <c r="B41" s="145"/>
      <c r="C41" s="146"/>
      <c r="D41" s="146"/>
      <c r="E41" s="146"/>
      <c r="F41" s="146"/>
      <c r="G41" s="146"/>
      <c r="H41" s="146"/>
      <c r="I41" s="146"/>
      <c r="J41" s="146"/>
      <c r="K41" s="146"/>
      <c r="L41" s="147"/>
      <c r="M41" s="147"/>
      <c r="N41" s="202"/>
      <c r="O41" s="203"/>
      <c r="P41" s="147"/>
      <c r="Q41" s="147"/>
      <c r="R41" s="147"/>
      <c r="S41" s="147"/>
      <c r="T41" s="147"/>
      <c r="U41" s="147"/>
      <c r="V41" s="147"/>
      <c r="W41" s="147"/>
      <c r="X41" s="147"/>
      <c r="Y41" s="147"/>
      <c r="Z41" s="147"/>
      <c r="AA41" s="147"/>
      <c r="AB41" s="147"/>
      <c r="AC41" s="147"/>
      <c r="AD41" s="147"/>
      <c r="AE41" s="147"/>
      <c r="AF41" s="142"/>
      <c r="AK41" s="142"/>
      <c r="AL41" s="142"/>
      <c r="AM41" s="142"/>
      <c r="AN41" s="76"/>
      <c r="AO41" s="76"/>
      <c r="AP41" s="76"/>
      <c r="AQ41" s="76"/>
      <c r="AR41" s="99"/>
    </row>
    <row r="42" spans="1:44" s="143" customFormat="1" ht="20.25" customHeight="1" x14ac:dyDescent="0.2">
      <c r="A42" s="145" t="s">
        <v>139</v>
      </c>
      <c r="B42" s="149"/>
      <c r="C42" s="150"/>
      <c r="D42" s="150"/>
      <c r="E42" s="151"/>
      <c r="F42" s="151"/>
      <c r="G42" s="151"/>
      <c r="H42" s="151"/>
      <c r="I42" s="151"/>
      <c r="J42" s="151"/>
      <c r="K42" s="151"/>
      <c r="L42" s="147"/>
      <c r="M42" s="147"/>
      <c r="N42" s="202"/>
      <c r="O42" s="203"/>
      <c r="P42" s="147"/>
      <c r="Q42" s="147"/>
      <c r="R42" s="147"/>
      <c r="S42" s="147"/>
      <c r="T42" s="147"/>
      <c r="U42" s="147"/>
      <c r="V42" s="147"/>
      <c r="W42" s="147"/>
      <c r="X42" s="147"/>
      <c r="Y42" s="147"/>
      <c r="Z42" s="147"/>
      <c r="AA42" s="147"/>
      <c r="AB42" s="147"/>
      <c r="AC42" s="147"/>
      <c r="AD42" s="147"/>
      <c r="AE42" s="147"/>
      <c r="AF42" s="142"/>
      <c r="AK42" s="142"/>
      <c r="AL42" s="142"/>
      <c r="AM42" s="142"/>
      <c r="AN42" s="76"/>
      <c r="AO42" s="76"/>
      <c r="AP42" s="76"/>
      <c r="AQ42" s="76"/>
      <c r="AR42" s="252"/>
    </row>
    <row r="44" spans="1:44" x14ac:dyDescent="0.2">
      <c r="E44" s="115"/>
    </row>
    <row r="45" spans="1:44" x14ac:dyDescent="0.2">
      <c r="E45" s="115"/>
    </row>
    <row r="46" spans="1:44" x14ac:dyDescent="0.2">
      <c r="E46" s="115"/>
      <c r="Y46" s="99" t="s">
        <v>124</v>
      </c>
    </row>
    <row r="47" spans="1:44" x14ac:dyDescent="0.2">
      <c r="E47" s="115"/>
    </row>
    <row r="48" spans="1:44" x14ac:dyDescent="0.2">
      <c r="E48" s="115"/>
    </row>
    <row r="49" spans="5:5" x14ac:dyDescent="0.2">
      <c r="E49" s="115"/>
    </row>
    <row r="50" spans="5:5" x14ac:dyDescent="0.2">
      <c r="E50" s="115"/>
    </row>
    <row r="51" spans="5:5" x14ac:dyDescent="0.2">
      <c r="E51" s="115"/>
    </row>
    <row r="52" spans="5:5" x14ac:dyDescent="0.2">
      <c r="E52" s="115"/>
    </row>
    <row r="53" spans="5:5" x14ac:dyDescent="0.2">
      <c r="E53" s="115"/>
    </row>
    <row r="54" spans="5:5" x14ac:dyDescent="0.2">
      <c r="E54" s="115"/>
    </row>
    <row r="55" spans="5:5" x14ac:dyDescent="0.2">
      <c r="E55" s="115"/>
    </row>
    <row r="56" spans="5:5" x14ac:dyDescent="0.2">
      <c r="E56" s="115"/>
    </row>
    <row r="57" spans="5:5" x14ac:dyDescent="0.2">
      <c r="E57" s="115"/>
    </row>
    <row r="58" spans="5:5" x14ac:dyDescent="0.2">
      <c r="E58" s="115"/>
    </row>
    <row r="59" spans="5:5" x14ac:dyDescent="0.2">
      <c r="E59" s="115"/>
    </row>
    <row r="60" spans="5:5" x14ac:dyDescent="0.2">
      <c r="E60" s="115"/>
    </row>
    <row r="61" spans="5:5" x14ac:dyDescent="0.2">
      <c r="E61" s="115"/>
    </row>
    <row r="62" spans="5:5" x14ac:dyDescent="0.2">
      <c r="E62" s="115"/>
    </row>
    <row r="63" spans="5:5" x14ac:dyDescent="0.2">
      <c r="E63" s="115"/>
    </row>
    <row r="64" spans="5:5" x14ac:dyDescent="0.2">
      <c r="E64" s="115"/>
    </row>
    <row r="65" spans="5:5" x14ac:dyDescent="0.2">
      <c r="E65" s="115"/>
    </row>
    <row r="66" spans="5:5" x14ac:dyDescent="0.2">
      <c r="E66" s="115"/>
    </row>
    <row r="67" spans="5:5" x14ac:dyDescent="0.2">
      <c r="E67" s="115"/>
    </row>
    <row r="68" spans="5:5" x14ac:dyDescent="0.2">
      <c r="E68" s="115"/>
    </row>
  </sheetData>
  <autoFilter ref="A8:AS28" xr:uid="{00000000-0009-0000-0000-00005C000000}"/>
  <mergeCells count="37">
    <mergeCell ref="AE1:AH1"/>
    <mergeCell ref="A2:AH2"/>
    <mergeCell ref="A3:AH3"/>
    <mergeCell ref="A5:A7"/>
    <mergeCell ref="B5:B7"/>
    <mergeCell ref="C5:C7"/>
    <mergeCell ref="D5:W5"/>
    <mergeCell ref="X5:AH5"/>
    <mergeCell ref="D6:D7"/>
    <mergeCell ref="E6:E7"/>
    <mergeCell ref="F6:F7"/>
    <mergeCell ref="G6:G7"/>
    <mergeCell ref="H6:H7"/>
    <mergeCell ref="I6:I7"/>
    <mergeCell ref="J6:J7"/>
    <mergeCell ref="AG6:AG7"/>
    <mergeCell ref="AH6:AH7"/>
    <mergeCell ref="U9:U27"/>
    <mergeCell ref="A28:B28"/>
    <mergeCell ref="S6:S7"/>
    <mergeCell ref="T6:T7"/>
    <mergeCell ref="U6:U7"/>
    <mergeCell ref="V6:V7"/>
    <mergeCell ref="W6:W7"/>
    <mergeCell ref="X6:Z6"/>
    <mergeCell ref="L6:L7"/>
    <mergeCell ref="M6:M7"/>
    <mergeCell ref="N6:O6"/>
    <mergeCell ref="P6:P7"/>
    <mergeCell ref="Q6:Q7"/>
    <mergeCell ref="R6:R7"/>
    <mergeCell ref="G31:H31"/>
    <mergeCell ref="I31:J31"/>
    <mergeCell ref="K31:L31"/>
    <mergeCell ref="AA6:AC6"/>
    <mergeCell ref="AD6:AF6"/>
    <mergeCell ref="K6:K7"/>
  </mergeCells>
  <printOptions horizontalCentered="1"/>
  <pageMargins left="0" right="0" top="0" bottom="0" header="0.31496062992125984" footer="0.31496062992125984"/>
  <pageSetup paperSize="9" scale="38" orientation="landscape" r:id="rId1"/>
  <legacyDrawing r:id="rId2"/>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00B050"/>
  </sheetPr>
  <dimension ref="A1:AP74"/>
  <sheetViews>
    <sheetView view="pageBreakPreview" zoomScale="70" zoomScaleNormal="80" zoomScaleSheetLayoutView="70" workbookViewId="0">
      <pane xSplit="3" ySplit="8" topLeftCell="D9" activePane="bottomRight" state="frozen"/>
      <selection activeCell="M26" sqref="M26:N26"/>
      <selection pane="topRight" activeCell="M26" sqref="M26:N26"/>
      <selection pane="bottomLeft" activeCell="M26" sqref="M26:N26"/>
      <selection pane="bottomRight" activeCell="M26" sqref="M26:N26"/>
    </sheetView>
  </sheetViews>
  <sheetFormatPr defaultRowHeight="12.75" x14ac:dyDescent="0.2"/>
  <cols>
    <col min="1" max="1" width="8" style="33" customWidth="1"/>
    <col min="2" max="2" width="30.83203125" style="22" customWidth="1"/>
    <col min="3" max="3" width="13.83203125" style="22" customWidth="1"/>
    <col min="4" max="4" width="13.1640625" style="22" customWidth="1"/>
    <col min="5" max="5" width="13" style="22" customWidth="1"/>
    <col min="6" max="6" width="14.6640625" style="22" customWidth="1"/>
    <col min="7" max="7" width="13.1640625" style="22" customWidth="1"/>
    <col min="8" max="8" width="15.6640625" style="22" customWidth="1"/>
    <col min="9" max="9" width="13.5" style="22" customWidth="1"/>
    <col min="10" max="10" width="20.33203125" style="22" customWidth="1"/>
    <col min="11" max="11" width="13" style="22" customWidth="1"/>
    <col min="12" max="16" width="14.83203125" style="22" customWidth="1"/>
    <col min="17" max="17" width="12.33203125" style="22" customWidth="1"/>
    <col min="18" max="18" width="13" style="22" customWidth="1"/>
    <col min="19" max="19" width="18.1640625" style="22" customWidth="1"/>
    <col min="20" max="20" width="14.83203125" style="22" customWidth="1"/>
    <col min="21" max="21" width="14" style="22" customWidth="1"/>
    <col min="22" max="22" width="15.6640625" style="22" customWidth="1"/>
    <col min="23" max="23" width="14.5" style="22" customWidth="1"/>
    <col min="24" max="24" width="11.33203125" style="22" customWidth="1"/>
    <col min="25" max="25" width="11" style="22" customWidth="1"/>
    <col min="26" max="26" width="11.5" style="22" customWidth="1"/>
    <col min="27" max="28" width="9.33203125" style="22" customWidth="1"/>
    <col min="29" max="29" width="10.1640625" style="22" customWidth="1"/>
    <col min="30" max="30" width="8.5" style="22" customWidth="1"/>
    <col min="31" max="31" width="10.83203125" style="22" customWidth="1"/>
    <col min="32" max="32" width="10.33203125" style="22" customWidth="1"/>
    <col min="33" max="33" width="11.5" style="22" customWidth="1"/>
    <col min="34" max="34" width="13.83203125" style="22" customWidth="1"/>
    <col min="35" max="35" width="12" style="34" customWidth="1"/>
    <col min="36" max="36" width="17.83203125" style="22" customWidth="1"/>
    <col min="37" max="37" width="14" style="22" bestFit="1" customWidth="1"/>
    <col min="38" max="39" width="9.5" style="22" bestFit="1" customWidth="1"/>
    <col min="40" max="40" width="11.5" style="22" bestFit="1" customWidth="1"/>
    <col min="41" max="41" width="9.33203125" style="22"/>
    <col min="42" max="42" width="9.5" style="22" bestFit="1" customWidth="1"/>
    <col min="43" max="16384" width="9.33203125" style="22"/>
  </cols>
  <sheetData>
    <row r="1" spans="1:42" ht="21.75" customHeight="1" x14ac:dyDescent="0.2">
      <c r="AE1" s="2252"/>
      <c r="AF1" s="2252"/>
      <c r="AG1" s="2252"/>
      <c r="AH1" s="2252"/>
    </row>
    <row r="2" spans="1:42" ht="33" customHeight="1" x14ac:dyDescent="0.2">
      <c r="A2" s="2253" t="s">
        <v>154</v>
      </c>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36"/>
    </row>
    <row r="3" spans="1:42" ht="24.75" customHeight="1" x14ac:dyDescent="0.2">
      <c r="A3" s="2254"/>
      <c r="B3" s="2254"/>
      <c r="C3" s="2254"/>
      <c r="D3" s="2254"/>
      <c r="E3" s="2254"/>
      <c r="F3" s="2254"/>
      <c r="G3" s="2254"/>
      <c r="H3" s="2254"/>
      <c r="I3" s="2254"/>
      <c r="J3" s="2254"/>
      <c r="K3" s="2254"/>
      <c r="L3" s="2254"/>
      <c r="M3" s="2254"/>
      <c r="N3" s="2254"/>
      <c r="O3" s="2254"/>
      <c r="P3" s="2254"/>
      <c r="Q3" s="2254"/>
      <c r="R3" s="2254"/>
      <c r="S3" s="2254"/>
      <c r="T3" s="2254"/>
      <c r="U3" s="2254"/>
      <c r="V3" s="2254"/>
      <c r="W3" s="2254"/>
      <c r="X3" s="2254"/>
      <c r="Y3" s="2254"/>
      <c r="Z3" s="2254"/>
      <c r="AA3" s="2254"/>
      <c r="AB3" s="2254"/>
      <c r="AC3" s="2254"/>
      <c r="AD3" s="2254"/>
      <c r="AE3" s="2254"/>
      <c r="AF3" s="2254"/>
      <c r="AG3" s="2254"/>
      <c r="AH3" s="2254"/>
      <c r="AI3" s="283"/>
    </row>
    <row r="4" spans="1:42" x14ac:dyDescent="0.2">
      <c r="L4" s="22">
        <v>0.32216</v>
      </c>
      <c r="O4" s="39"/>
      <c r="P4" s="39"/>
    </row>
    <row r="5" spans="1:42" ht="38.25" customHeight="1" x14ac:dyDescent="0.2">
      <c r="A5" s="2255" t="s">
        <v>78</v>
      </c>
      <c r="B5" s="2255" t="s">
        <v>77</v>
      </c>
      <c r="C5" s="2242" t="s">
        <v>0</v>
      </c>
      <c r="D5" s="2242" t="s">
        <v>3</v>
      </c>
      <c r="E5" s="2242"/>
      <c r="F5" s="2242"/>
      <c r="G5" s="2242"/>
      <c r="H5" s="2242"/>
      <c r="I5" s="2242"/>
      <c r="J5" s="2242"/>
      <c r="K5" s="2242"/>
      <c r="L5" s="2242"/>
      <c r="M5" s="2242"/>
      <c r="N5" s="2242"/>
      <c r="O5" s="2242"/>
      <c r="P5" s="2242"/>
      <c r="Q5" s="2242"/>
      <c r="R5" s="2242"/>
      <c r="S5" s="2242"/>
      <c r="T5" s="2242"/>
      <c r="U5" s="2242"/>
      <c r="V5" s="2242"/>
      <c r="W5" s="2242"/>
      <c r="X5" s="2242" t="s">
        <v>4</v>
      </c>
      <c r="Y5" s="2242"/>
      <c r="Z5" s="2242"/>
      <c r="AA5" s="2242"/>
      <c r="AB5" s="2242"/>
      <c r="AC5" s="2242"/>
      <c r="AD5" s="2242"/>
      <c r="AE5" s="2242"/>
      <c r="AF5" s="2242"/>
      <c r="AG5" s="2242"/>
      <c r="AH5" s="2242"/>
    </row>
    <row r="6" spans="1:42" ht="60" customHeight="1" x14ac:dyDescent="0.2">
      <c r="A6" s="2255"/>
      <c r="B6" s="2255"/>
      <c r="C6" s="2242"/>
      <c r="D6" s="2245" t="s">
        <v>79</v>
      </c>
      <c r="E6" s="2245" t="s">
        <v>69</v>
      </c>
      <c r="F6" s="2245" t="s">
        <v>89</v>
      </c>
      <c r="G6" s="2245" t="s">
        <v>1</v>
      </c>
      <c r="H6" s="2245" t="s">
        <v>2</v>
      </c>
      <c r="I6" s="2245" t="s">
        <v>70</v>
      </c>
      <c r="J6" s="2245" t="s">
        <v>61</v>
      </c>
      <c r="K6" s="2245" t="s">
        <v>27</v>
      </c>
      <c r="L6" s="2250" t="s">
        <v>65</v>
      </c>
      <c r="M6" s="2250" t="s">
        <v>86</v>
      </c>
      <c r="N6" s="2251" t="s">
        <v>90</v>
      </c>
      <c r="O6" s="2251"/>
      <c r="P6" s="2251" t="s">
        <v>88</v>
      </c>
      <c r="Q6" s="2250" t="s">
        <v>82</v>
      </c>
      <c r="R6" s="2245" t="s">
        <v>83</v>
      </c>
      <c r="S6" s="2250" t="s">
        <v>87</v>
      </c>
      <c r="T6" s="2245" t="s">
        <v>84</v>
      </c>
      <c r="U6" s="2245" t="s">
        <v>9</v>
      </c>
      <c r="V6" s="2245" t="s">
        <v>7</v>
      </c>
      <c r="W6" s="2245" t="s">
        <v>85</v>
      </c>
      <c r="X6" s="2242" t="s">
        <v>10</v>
      </c>
      <c r="Y6" s="2242"/>
      <c r="Z6" s="2242"/>
      <c r="AA6" s="2242" t="s">
        <v>11</v>
      </c>
      <c r="AB6" s="2242"/>
      <c r="AC6" s="2242"/>
      <c r="AD6" s="2242" t="s">
        <v>12</v>
      </c>
      <c r="AE6" s="2242"/>
      <c r="AF6" s="2242"/>
      <c r="AG6" s="2242" t="s">
        <v>13</v>
      </c>
      <c r="AH6" s="2242" t="s">
        <v>73</v>
      </c>
    </row>
    <row r="7" spans="1:42" ht="57" customHeight="1" x14ac:dyDescent="0.2">
      <c r="A7" s="2255"/>
      <c r="B7" s="2255"/>
      <c r="C7" s="2242"/>
      <c r="D7" s="2245"/>
      <c r="E7" s="2245"/>
      <c r="F7" s="2245"/>
      <c r="G7" s="2245"/>
      <c r="H7" s="2245"/>
      <c r="I7" s="2245"/>
      <c r="J7" s="2245"/>
      <c r="K7" s="2245"/>
      <c r="L7" s="2250" t="s">
        <v>66</v>
      </c>
      <c r="M7" s="2250"/>
      <c r="N7" s="281" t="s">
        <v>80</v>
      </c>
      <c r="O7" s="281" t="s">
        <v>81</v>
      </c>
      <c r="P7" s="2251"/>
      <c r="Q7" s="2250"/>
      <c r="R7" s="2245"/>
      <c r="S7" s="2250" t="s">
        <v>67</v>
      </c>
      <c r="T7" s="2245"/>
      <c r="U7" s="2245"/>
      <c r="V7" s="2245"/>
      <c r="W7" s="2245"/>
      <c r="X7" s="280" t="s">
        <v>5</v>
      </c>
      <c r="Y7" s="280" t="s">
        <v>6</v>
      </c>
      <c r="Z7" s="280" t="s">
        <v>74</v>
      </c>
      <c r="AA7" s="280" t="s">
        <v>5</v>
      </c>
      <c r="AB7" s="280" t="s">
        <v>6</v>
      </c>
      <c r="AC7" s="280" t="s">
        <v>75</v>
      </c>
      <c r="AD7" s="280" t="s">
        <v>5</v>
      </c>
      <c r="AE7" s="280" t="s">
        <v>6</v>
      </c>
      <c r="AF7" s="280" t="s">
        <v>76</v>
      </c>
      <c r="AG7" s="2242"/>
      <c r="AH7" s="2242"/>
      <c r="AJ7" s="33" t="s">
        <v>64</v>
      </c>
    </row>
    <row r="8" spans="1:42" ht="12.75" customHeight="1" x14ac:dyDescent="0.2">
      <c r="A8" s="278">
        <v>1</v>
      </c>
      <c r="B8" s="278">
        <v>2</v>
      </c>
      <c r="C8" s="278">
        <v>3</v>
      </c>
      <c r="D8" s="278">
        <v>4</v>
      </c>
      <c r="E8" s="278">
        <v>5</v>
      </c>
      <c r="F8" s="278">
        <v>6</v>
      </c>
      <c r="G8" s="278">
        <v>7</v>
      </c>
      <c r="H8" s="278">
        <v>8</v>
      </c>
      <c r="I8" s="278">
        <v>9</v>
      </c>
      <c r="J8" s="278">
        <v>10</v>
      </c>
      <c r="K8" s="278">
        <v>11</v>
      </c>
      <c r="L8" s="278">
        <v>12</v>
      </c>
      <c r="M8" s="278">
        <v>13</v>
      </c>
      <c r="N8" s="278">
        <v>14</v>
      </c>
      <c r="O8" s="278">
        <v>15</v>
      </c>
      <c r="P8" s="278">
        <v>16</v>
      </c>
      <c r="Q8" s="278">
        <v>17</v>
      </c>
      <c r="R8" s="278">
        <v>18</v>
      </c>
      <c r="S8" s="278">
        <v>19</v>
      </c>
      <c r="T8" s="278">
        <v>20</v>
      </c>
      <c r="U8" s="278">
        <v>21</v>
      </c>
      <c r="V8" s="278">
        <v>22</v>
      </c>
      <c r="W8" s="278">
        <v>23</v>
      </c>
      <c r="X8" s="278">
        <v>24</v>
      </c>
      <c r="Y8" s="278">
        <v>25</v>
      </c>
      <c r="Z8" s="278">
        <v>26</v>
      </c>
      <c r="AA8" s="278">
        <v>27</v>
      </c>
      <c r="AB8" s="278">
        <v>28</v>
      </c>
      <c r="AC8" s="278">
        <v>29</v>
      </c>
      <c r="AD8" s="278">
        <v>30</v>
      </c>
      <c r="AE8" s="278">
        <v>31</v>
      </c>
      <c r="AF8" s="278">
        <v>32</v>
      </c>
      <c r="AG8" s="278">
        <v>33</v>
      </c>
      <c r="AH8" s="278">
        <v>34</v>
      </c>
      <c r="AK8" s="43" t="s">
        <v>116</v>
      </c>
      <c r="AL8" s="43" t="s">
        <v>117</v>
      </c>
      <c r="AM8" s="43" t="s">
        <v>118</v>
      </c>
      <c r="AN8" s="43" t="s">
        <v>119</v>
      </c>
    </row>
    <row r="9" spans="1:42" ht="27" customHeight="1" x14ac:dyDescent="0.2">
      <c r="A9" s="278">
        <v>1</v>
      </c>
      <c r="B9" s="44" t="s">
        <v>21</v>
      </c>
      <c r="C9" s="278">
        <v>1</v>
      </c>
      <c r="D9" s="45">
        <v>21.991</v>
      </c>
      <c r="E9" s="46">
        <f>C9*D9</f>
        <v>21.99</v>
      </c>
      <c r="F9" s="47">
        <f>E9*12</f>
        <v>263.89999999999998</v>
      </c>
      <c r="G9" s="24"/>
      <c r="H9" s="24"/>
      <c r="I9" s="24"/>
      <c r="J9" s="24"/>
      <c r="K9" s="24">
        <f>D9*0.3*12+0.05*9</f>
        <v>79.599999999999994</v>
      </c>
      <c r="L9" s="24">
        <f>F9*$L$4</f>
        <v>85</v>
      </c>
      <c r="M9" s="24">
        <f t="shared" ref="M9:M27" si="0">F9+G9+H9+I9+J9+K9+L9</f>
        <v>428.5</v>
      </c>
      <c r="N9" s="48">
        <v>1.1100000000000001</v>
      </c>
      <c r="O9" s="24">
        <f t="shared" ref="O9:O27" si="1">M9*N9</f>
        <v>475.6</v>
      </c>
      <c r="P9" s="24">
        <f>M9+O9</f>
        <v>904.1</v>
      </c>
      <c r="Q9" s="24">
        <f>P9*0.8</f>
        <v>723.3</v>
      </c>
      <c r="R9" s="24">
        <f t="shared" ref="R9:R27" si="2">P9*0.8</f>
        <v>723.3</v>
      </c>
      <c r="S9" s="24">
        <f>(P9+Q9+R9)*0.032</f>
        <v>75.2</v>
      </c>
      <c r="T9" s="49">
        <f t="shared" ref="T9:T27" si="3">P9+Q9+R9+S9</f>
        <v>2425.9</v>
      </c>
      <c r="U9" s="2246">
        <v>1</v>
      </c>
      <c r="V9" s="49">
        <f>T9*$U$9</f>
        <v>2425.9</v>
      </c>
      <c r="W9" s="49">
        <f>AN9</f>
        <v>534.29999999999995</v>
      </c>
      <c r="X9" s="278">
        <v>1</v>
      </c>
      <c r="Y9" s="24">
        <v>30</v>
      </c>
      <c r="Z9" s="48">
        <f t="shared" ref="Z9:Z25" si="4">X9*Y9</f>
        <v>30</v>
      </c>
      <c r="AA9" s="278"/>
      <c r="AB9" s="24">
        <v>15</v>
      </c>
      <c r="AC9" s="48">
        <f t="shared" ref="AC9:AC25" si="5">AA9*AB9</f>
        <v>0</v>
      </c>
      <c r="AD9" s="278"/>
      <c r="AE9" s="24">
        <v>30</v>
      </c>
      <c r="AF9" s="48">
        <f t="shared" ref="AF9:AF25" si="6">AD9*AE9</f>
        <v>0</v>
      </c>
      <c r="AG9" s="48">
        <f t="shared" ref="AG9:AG25" si="7">(Z9+AC9+AF9)*1%*30</f>
        <v>9</v>
      </c>
      <c r="AH9" s="48">
        <f t="shared" ref="AH9:AH25" si="8">Z9+AC9+AF9+AG9</f>
        <v>39</v>
      </c>
      <c r="AI9" s="34">
        <f t="shared" ref="AI9:AI27" si="9">V9/12/C9*1000</f>
        <v>202158.3</v>
      </c>
      <c r="AJ9" s="34">
        <f t="shared" ref="AJ9:AJ27" si="10">V9/C9</f>
        <v>2425.9</v>
      </c>
      <c r="AK9" s="50">
        <f>1150*0.22*C9+(V9-1150*C9)*0.1</f>
        <v>380.6</v>
      </c>
      <c r="AL9" s="50">
        <f>865*0.029*C9</f>
        <v>25.1</v>
      </c>
      <c r="AM9" s="50">
        <f t="shared" ref="AM9:AM27" si="11">V9*0.053</f>
        <v>128.6</v>
      </c>
      <c r="AN9" s="50">
        <f>SUM(AK9:AM9)</f>
        <v>534.29999999999995</v>
      </c>
      <c r="AP9" s="51"/>
    </row>
    <row r="10" spans="1:42" ht="27" customHeight="1" x14ac:dyDescent="0.2">
      <c r="A10" s="278">
        <v>2</v>
      </c>
      <c r="B10" s="44" t="s">
        <v>125</v>
      </c>
      <c r="C10" s="278">
        <v>3</v>
      </c>
      <c r="D10" s="45">
        <v>15.394</v>
      </c>
      <c r="E10" s="46">
        <f>C10*D10</f>
        <v>46.18</v>
      </c>
      <c r="F10" s="47">
        <f>E10*12</f>
        <v>554.20000000000005</v>
      </c>
      <c r="G10" s="24"/>
      <c r="H10" s="24"/>
      <c r="I10" s="24"/>
      <c r="J10" s="24"/>
      <c r="K10" s="24">
        <f>D10*0.2*2*12+D10*0.4*12+D10*0.05*3</f>
        <v>150.1</v>
      </c>
      <c r="L10" s="24">
        <f t="shared" ref="L10:L25" si="12">F10*$L$4</f>
        <v>178.5</v>
      </c>
      <c r="M10" s="24">
        <f>F10+G10+H10+I10+J10+K10+L10</f>
        <v>882.8</v>
      </c>
      <c r="N10" s="48">
        <v>0.47</v>
      </c>
      <c r="O10" s="24">
        <f>M10*N10</f>
        <v>414.9</v>
      </c>
      <c r="P10" s="24">
        <f>M10+O10</f>
        <v>1297.7</v>
      </c>
      <c r="Q10" s="24">
        <f>P10*0.8</f>
        <v>1038.2</v>
      </c>
      <c r="R10" s="24">
        <f>P10*0.8</f>
        <v>1038.2</v>
      </c>
      <c r="S10" s="24">
        <f>(P10+Q10+R10)*0.032</f>
        <v>108</v>
      </c>
      <c r="T10" s="49">
        <f>P10+Q10+R10+S10</f>
        <v>3482.1</v>
      </c>
      <c r="U10" s="2247"/>
      <c r="V10" s="49">
        <f>T10*$U$9</f>
        <v>3482.1</v>
      </c>
      <c r="W10" s="49">
        <f>AN10</f>
        <v>1022.1</v>
      </c>
      <c r="X10" s="278">
        <v>2</v>
      </c>
      <c r="Y10" s="24">
        <v>30</v>
      </c>
      <c r="Z10" s="48">
        <f>X10*Y10</f>
        <v>60</v>
      </c>
      <c r="AA10" s="278">
        <v>1</v>
      </c>
      <c r="AB10" s="24">
        <v>15</v>
      </c>
      <c r="AC10" s="48">
        <f>AA10*AB10</f>
        <v>15</v>
      </c>
      <c r="AD10" s="278">
        <v>3</v>
      </c>
      <c r="AE10" s="24">
        <v>30</v>
      </c>
      <c r="AF10" s="48">
        <f>AD10*AE10</f>
        <v>90</v>
      </c>
      <c r="AG10" s="48">
        <f>(Z10+AC10+AF10)*1%*30</f>
        <v>49.5</v>
      </c>
      <c r="AH10" s="48">
        <f>Z10+AC10+AF10+AG10</f>
        <v>214.5</v>
      </c>
      <c r="AI10" s="34">
        <f t="shared" si="9"/>
        <v>96725</v>
      </c>
      <c r="AJ10" s="34">
        <f t="shared" si="10"/>
        <v>1160.7</v>
      </c>
      <c r="AK10" s="50">
        <f>1150*0.22*C10+(V10-1150*C10)*0.1</f>
        <v>762.2</v>
      </c>
      <c r="AL10" s="50">
        <f>865*0.029*C10</f>
        <v>75.3</v>
      </c>
      <c r="AM10" s="50">
        <f t="shared" si="11"/>
        <v>184.6</v>
      </c>
      <c r="AN10" s="50">
        <f>SUM(AK10:AM10)</f>
        <v>1022.1</v>
      </c>
      <c r="AP10" s="51"/>
    </row>
    <row r="11" spans="1:42" ht="27" customHeight="1" x14ac:dyDescent="0.2">
      <c r="A11" s="278">
        <v>3</v>
      </c>
      <c r="B11" s="52" t="s">
        <v>23</v>
      </c>
      <c r="C11" s="278">
        <v>7</v>
      </c>
      <c r="D11" s="53">
        <v>11.061999999999999</v>
      </c>
      <c r="E11" s="46">
        <f t="shared" ref="E11:E27" si="13">C11*D11</f>
        <v>77.430000000000007</v>
      </c>
      <c r="F11" s="47">
        <f t="shared" ref="F11:F27" si="14">E11*12</f>
        <v>929.2</v>
      </c>
      <c r="G11" s="24"/>
      <c r="H11" s="24">
        <f>(6470.9+1198.32)/1000</f>
        <v>7.7</v>
      </c>
      <c r="I11" s="24"/>
      <c r="J11" s="24"/>
      <c r="K11" s="24">
        <f>D11*0.25*12+D11*0.35*12+D11*0.4*4*12</f>
        <v>292</v>
      </c>
      <c r="L11" s="24">
        <f t="shared" si="12"/>
        <v>299.39999999999998</v>
      </c>
      <c r="M11" s="24">
        <f t="shared" si="0"/>
        <v>1528.3</v>
      </c>
      <c r="N11" s="48">
        <v>0.43</v>
      </c>
      <c r="O11" s="24">
        <f t="shared" si="1"/>
        <v>657.2</v>
      </c>
      <c r="P11" s="24">
        <f t="shared" ref="P11:P27" si="15">M11+O11</f>
        <v>2185.5</v>
      </c>
      <c r="Q11" s="24">
        <f t="shared" ref="Q11:Q27" si="16">P11*0.8</f>
        <v>1748.4</v>
      </c>
      <c r="R11" s="24">
        <f t="shared" si="2"/>
        <v>1748.4</v>
      </c>
      <c r="S11" s="24">
        <f t="shared" ref="S11:S27" si="17">(P11+Q11+R11)*0.032</f>
        <v>181.8</v>
      </c>
      <c r="T11" s="49">
        <f t="shared" si="3"/>
        <v>5864.1</v>
      </c>
      <c r="U11" s="2247"/>
      <c r="V11" s="49">
        <f t="shared" ref="V11:V25" si="18">T11*$U$9</f>
        <v>5864.1</v>
      </c>
      <c r="W11" s="49">
        <f>V11*0.302</f>
        <v>1771</v>
      </c>
      <c r="X11" s="278">
        <v>2</v>
      </c>
      <c r="Y11" s="24">
        <v>30</v>
      </c>
      <c r="Z11" s="48">
        <f t="shared" si="4"/>
        <v>60</v>
      </c>
      <c r="AA11" s="278">
        <v>3</v>
      </c>
      <c r="AB11" s="24">
        <v>15</v>
      </c>
      <c r="AC11" s="48">
        <f t="shared" si="5"/>
        <v>45</v>
      </c>
      <c r="AD11" s="278"/>
      <c r="AE11" s="24">
        <v>30</v>
      </c>
      <c r="AF11" s="48">
        <f t="shared" si="6"/>
        <v>0</v>
      </c>
      <c r="AG11" s="48">
        <f>(Z11+AC11+AF11)*1%*30</f>
        <v>31.5</v>
      </c>
      <c r="AH11" s="48">
        <f t="shared" si="8"/>
        <v>136.5</v>
      </c>
      <c r="AI11" s="34">
        <f t="shared" si="9"/>
        <v>69810.7</v>
      </c>
      <c r="AJ11" s="34">
        <f t="shared" si="10"/>
        <v>837.7</v>
      </c>
      <c r="AK11" s="50">
        <f t="shared" ref="AK11:AK27" si="19">V11*0.22</f>
        <v>1290.0999999999999</v>
      </c>
      <c r="AL11" s="50">
        <f>865*0.029*C11</f>
        <v>175.6</v>
      </c>
      <c r="AM11" s="50">
        <f t="shared" si="11"/>
        <v>310.8</v>
      </c>
      <c r="AN11" s="50">
        <f t="shared" ref="AN11:AN27" si="20">SUM(AK11:AM11)</f>
        <v>1776.5</v>
      </c>
      <c r="AP11" s="51"/>
    </row>
    <row r="12" spans="1:42" ht="27" customHeight="1" x14ac:dyDescent="0.2">
      <c r="A12" s="278">
        <v>4</v>
      </c>
      <c r="B12" s="52" t="s">
        <v>134</v>
      </c>
      <c r="C12" s="278">
        <v>1</v>
      </c>
      <c r="D12" s="53">
        <v>11.061999999999999</v>
      </c>
      <c r="E12" s="46">
        <f t="shared" si="13"/>
        <v>11.06</v>
      </c>
      <c r="F12" s="47">
        <f t="shared" si="14"/>
        <v>132.69999999999999</v>
      </c>
      <c r="G12" s="24"/>
      <c r="H12" s="24">
        <f>1078.5/1000</f>
        <v>1.1000000000000001</v>
      </c>
      <c r="I12" s="24"/>
      <c r="J12" s="24"/>
      <c r="K12" s="24"/>
      <c r="L12" s="24">
        <f t="shared" si="12"/>
        <v>42.8</v>
      </c>
      <c r="M12" s="24">
        <f t="shared" si="0"/>
        <v>176.6</v>
      </c>
      <c r="N12" s="48">
        <v>0.43</v>
      </c>
      <c r="O12" s="24">
        <f t="shared" si="1"/>
        <v>75.900000000000006</v>
      </c>
      <c r="P12" s="24">
        <f t="shared" si="15"/>
        <v>252.5</v>
      </c>
      <c r="Q12" s="24">
        <f t="shared" si="16"/>
        <v>202</v>
      </c>
      <c r="R12" s="24">
        <f t="shared" si="2"/>
        <v>202</v>
      </c>
      <c r="S12" s="24">
        <f t="shared" si="17"/>
        <v>21</v>
      </c>
      <c r="T12" s="49">
        <f t="shared" si="3"/>
        <v>677.5</v>
      </c>
      <c r="U12" s="2247"/>
      <c r="V12" s="49">
        <f t="shared" si="18"/>
        <v>677.5</v>
      </c>
      <c r="W12" s="49">
        <f t="shared" ref="W12:W26" si="21">V12*0.302</f>
        <v>204.6</v>
      </c>
      <c r="X12" s="278"/>
      <c r="Y12" s="24">
        <v>30</v>
      </c>
      <c r="Z12" s="48">
        <f t="shared" si="4"/>
        <v>0</v>
      </c>
      <c r="AA12" s="278"/>
      <c r="AB12" s="24">
        <v>15</v>
      </c>
      <c r="AC12" s="48">
        <f t="shared" si="5"/>
        <v>0</v>
      </c>
      <c r="AD12" s="278"/>
      <c r="AE12" s="24">
        <v>30</v>
      </c>
      <c r="AF12" s="48">
        <f t="shared" si="6"/>
        <v>0</v>
      </c>
      <c r="AG12" s="48">
        <f>(Z12+AC12+AF12)*1%*30</f>
        <v>0</v>
      </c>
      <c r="AH12" s="48">
        <f t="shared" si="8"/>
        <v>0</v>
      </c>
      <c r="AI12" s="34">
        <f t="shared" si="9"/>
        <v>56458.3</v>
      </c>
      <c r="AJ12" s="34">
        <f t="shared" si="10"/>
        <v>677.5</v>
      </c>
      <c r="AK12" s="50">
        <f t="shared" si="19"/>
        <v>149.1</v>
      </c>
      <c r="AL12" s="50">
        <f t="shared" ref="AL12:AL27" si="22">912*0.029*C12</f>
        <v>26.4</v>
      </c>
      <c r="AM12" s="50">
        <f t="shared" si="11"/>
        <v>35.9</v>
      </c>
      <c r="AN12" s="50">
        <f t="shared" si="20"/>
        <v>211.4</v>
      </c>
      <c r="AP12" s="51"/>
    </row>
    <row r="13" spans="1:42" ht="27" customHeight="1" x14ac:dyDescent="0.2">
      <c r="A13" s="278">
        <v>5</v>
      </c>
      <c r="B13" s="52" t="s">
        <v>17</v>
      </c>
      <c r="C13" s="278">
        <v>1</v>
      </c>
      <c r="D13" s="53">
        <v>12.335000000000001</v>
      </c>
      <c r="E13" s="46">
        <f t="shared" si="13"/>
        <v>12.34</v>
      </c>
      <c r="F13" s="47">
        <f t="shared" si="14"/>
        <v>148.1</v>
      </c>
      <c r="G13" s="24"/>
      <c r="H13" s="24">
        <f>1202.6/1000</f>
        <v>1.2</v>
      </c>
      <c r="I13" s="24"/>
      <c r="J13" s="24"/>
      <c r="K13" s="24">
        <f>F13*0.4</f>
        <v>59.2</v>
      </c>
      <c r="L13" s="24">
        <f t="shared" si="12"/>
        <v>47.7</v>
      </c>
      <c r="M13" s="24">
        <f t="shared" si="0"/>
        <v>256.2</v>
      </c>
      <c r="N13" s="48">
        <v>0.47</v>
      </c>
      <c r="O13" s="24">
        <f t="shared" si="1"/>
        <v>120.4</v>
      </c>
      <c r="P13" s="24">
        <f t="shared" si="15"/>
        <v>376.6</v>
      </c>
      <c r="Q13" s="24">
        <f t="shared" si="16"/>
        <v>301.3</v>
      </c>
      <c r="R13" s="24">
        <f t="shared" si="2"/>
        <v>301.3</v>
      </c>
      <c r="S13" s="24">
        <f t="shared" si="17"/>
        <v>31.3</v>
      </c>
      <c r="T13" s="49">
        <f t="shared" si="3"/>
        <v>1010.5</v>
      </c>
      <c r="U13" s="2247"/>
      <c r="V13" s="49">
        <f t="shared" si="18"/>
        <v>1010.5</v>
      </c>
      <c r="W13" s="49">
        <f>AN13</f>
        <v>301</v>
      </c>
      <c r="X13" s="278">
        <v>1</v>
      </c>
      <c r="Y13" s="24">
        <v>30</v>
      </c>
      <c r="Z13" s="48">
        <f t="shared" si="4"/>
        <v>30</v>
      </c>
      <c r="AA13" s="278">
        <v>1</v>
      </c>
      <c r="AB13" s="24">
        <v>15</v>
      </c>
      <c r="AC13" s="48">
        <f t="shared" si="5"/>
        <v>15</v>
      </c>
      <c r="AD13" s="278">
        <v>1</v>
      </c>
      <c r="AE13" s="24">
        <v>30</v>
      </c>
      <c r="AF13" s="48">
        <f t="shared" si="6"/>
        <v>30</v>
      </c>
      <c r="AG13" s="48">
        <f t="shared" si="7"/>
        <v>22.5</v>
      </c>
      <c r="AH13" s="48">
        <f t="shared" si="8"/>
        <v>97.5</v>
      </c>
      <c r="AI13" s="34">
        <f t="shared" si="9"/>
        <v>84208.3</v>
      </c>
      <c r="AJ13" s="34">
        <f t="shared" si="10"/>
        <v>1010.5</v>
      </c>
      <c r="AK13" s="50">
        <f t="shared" si="19"/>
        <v>222.3</v>
      </c>
      <c r="AL13" s="50">
        <f>865*0.029*C13</f>
        <v>25.1</v>
      </c>
      <c r="AM13" s="50">
        <f t="shared" si="11"/>
        <v>53.6</v>
      </c>
      <c r="AN13" s="50">
        <f t="shared" ref="AN13" si="23">SUM(AK13:AM13)</f>
        <v>301</v>
      </c>
      <c r="AP13" s="51"/>
    </row>
    <row r="14" spans="1:42" ht="34.5" customHeight="1" x14ac:dyDescent="0.2">
      <c r="A14" s="278">
        <v>6</v>
      </c>
      <c r="B14" s="52" t="s">
        <v>129</v>
      </c>
      <c r="C14" s="54">
        <v>1</v>
      </c>
      <c r="D14" s="53">
        <v>8.4730000000000008</v>
      </c>
      <c r="E14" s="46">
        <f>C14*D14</f>
        <v>8.4700000000000006</v>
      </c>
      <c r="F14" s="47">
        <f>E14*11</f>
        <v>93.2</v>
      </c>
      <c r="G14" s="24"/>
      <c r="H14" s="24">
        <f>826.1/1000</f>
        <v>0.8</v>
      </c>
      <c r="I14" s="24"/>
      <c r="J14" s="24"/>
      <c r="K14" s="24">
        <f>F14*0.2</f>
        <v>18.600000000000001</v>
      </c>
      <c r="L14" s="24">
        <f t="shared" si="12"/>
        <v>30</v>
      </c>
      <c r="M14" s="24">
        <f t="shared" si="0"/>
        <v>142.6</v>
      </c>
      <c r="N14" s="48">
        <v>0.41</v>
      </c>
      <c r="O14" s="24">
        <f t="shared" si="1"/>
        <v>58.5</v>
      </c>
      <c r="P14" s="24">
        <f t="shared" si="15"/>
        <v>201.1</v>
      </c>
      <c r="Q14" s="24">
        <f t="shared" si="16"/>
        <v>160.9</v>
      </c>
      <c r="R14" s="24">
        <f t="shared" si="2"/>
        <v>160.9</v>
      </c>
      <c r="S14" s="24">
        <f t="shared" si="17"/>
        <v>16.7</v>
      </c>
      <c r="T14" s="49">
        <f t="shared" si="3"/>
        <v>539.6</v>
      </c>
      <c r="U14" s="2247"/>
      <c r="V14" s="49">
        <f>T14*$U$9</f>
        <v>539.6</v>
      </c>
      <c r="W14" s="49">
        <f t="shared" si="21"/>
        <v>163</v>
      </c>
      <c r="X14" s="278">
        <v>1</v>
      </c>
      <c r="Y14" s="24">
        <v>30</v>
      </c>
      <c r="Z14" s="48">
        <f t="shared" si="4"/>
        <v>30</v>
      </c>
      <c r="AA14" s="278">
        <v>1</v>
      </c>
      <c r="AB14" s="24">
        <v>15</v>
      </c>
      <c r="AC14" s="48">
        <f t="shared" si="5"/>
        <v>15</v>
      </c>
      <c r="AD14" s="278">
        <v>1</v>
      </c>
      <c r="AE14" s="24">
        <v>30</v>
      </c>
      <c r="AF14" s="48">
        <f t="shared" si="6"/>
        <v>30</v>
      </c>
      <c r="AG14" s="48">
        <f t="shared" si="7"/>
        <v>22.5</v>
      </c>
      <c r="AH14" s="48">
        <f t="shared" si="8"/>
        <v>97.5</v>
      </c>
      <c r="AI14" s="34">
        <f t="shared" si="9"/>
        <v>44966.7</v>
      </c>
      <c r="AJ14" s="34">
        <f t="shared" si="10"/>
        <v>539.6</v>
      </c>
      <c r="AK14" s="50">
        <f t="shared" si="19"/>
        <v>118.7</v>
      </c>
      <c r="AL14" s="50">
        <f t="shared" si="22"/>
        <v>26.4</v>
      </c>
      <c r="AM14" s="50">
        <f t="shared" si="11"/>
        <v>28.6</v>
      </c>
      <c r="AN14" s="50">
        <f t="shared" si="20"/>
        <v>173.7</v>
      </c>
      <c r="AP14" s="51"/>
    </row>
    <row r="15" spans="1:42" ht="27" customHeight="1" x14ac:dyDescent="0.2">
      <c r="A15" s="278">
        <v>7</v>
      </c>
      <c r="B15" s="52" t="s">
        <v>22</v>
      </c>
      <c r="C15" s="278">
        <v>1</v>
      </c>
      <c r="D15" s="53">
        <v>11.061999999999999</v>
      </c>
      <c r="E15" s="46">
        <f>C15*D15</f>
        <v>11.06</v>
      </c>
      <c r="F15" s="47">
        <f>E15*12</f>
        <v>132.69999999999999</v>
      </c>
      <c r="G15" s="24"/>
      <c r="H15" s="24">
        <f>1078.5/1000</f>
        <v>1.1000000000000001</v>
      </c>
      <c r="I15" s="24"/>
      <c r="J15" s="24"/>
      <c r="K15" s="24">
        <f>F15*0.4</f>
        <v>53.1</v>
      </c>
      <c r="L15" s="24">
        <f t="shared" si="12"/>
        <v>42.8</v>
      </c>
      <c r="M15" s="24">
        <f>F15+G15+H15+I15+J15+K15+L15</f>
        <v>229.7</v>
      </c>
      <c r="N15" s="48">
        <v>0.43</v>
      </c>
      <c r="O15" s="24">
        <f>M15*N15</f>
        <v>98.8</v>
      </c>
      <c r="P15" s="24">
        <f>M15+O15</f>
        <v>328.5</v>
      </c>
      <c r="Q15" s="24">
        <f>P15*0.8</f>
        <v>262.8</v>
      </c>
      <c r="R15" s="24">
        <f>P15*0.8</f>
        <v>262.8</v>
      </c>
      <c r="S15" s="24">
        <f>(P15+Q15+R15)*0.032</f>
        <v>27.3</v>
      </c>
      <c r="T15" s="49">
        <f>P15+Q15+R15+S15</f>
        <v>881.4</v>
      </c>
      <c r="U15" s="2247"/>
      <c r="V15" s="49">
        <f>T15*$U$9</f>
        <v>881.4</v>
      </c>
      <c r="W15" s="49">
        <f>AN15</f>
        <v>265.7</v>
      </c>
      <c r="X15" s="278">
        <v>1</v>
      </c>
      <c r="Y15" s="24">
        <v>30</v>
      </c>
      <c r="Z15" s="48">
        <f>X15*Y15</f>
        <v>30</v>
      </c>
      <c r="AA15" s="278"/>
      <c r="AB15" s="24">
        <v>15</v>
      </c>
      <c r="AC15" s="48">
        <f>AA15*AB15</f>
        <v>0</v>
      </c>
      <c r="AD15" s="278"/>
      <c r="AE15" s="24">
        <v>30</v>
      </c>
      <c r="AF15" s="48">
        <f>AD15*AE15</f>
        <v>0</v>
      </c>
      <c r="AG15" s="48">
        <f>(Z15+AC15+AF15)*1%*30</f>
        <v>9</v>
      </c>
      <c r="AH15" s="48">
        <f>Z15+AC15+AF15+AG15</f>
        <v>39</v>
      </c>
      <c r="AI15" s="34">
        <f t="shared" si="9"/>
        <v>73450</v>
      </c>
      <c r="AJ15" s="34">
        <f t="shared" si="10"/>
        <v>881.4</v>
      </c>
      <c r="AK15" s="50">
        <f t="shared" si="19"/>
        <v>193.9</v>
      </c>
      <c r="AL15" s="50">
        <f>865*0.029*C15</f>
        <v>25.1</v>
      </c>
      <c r="AM15" s="50">
        <f t="shared" si="11"/>
        <v>46.7</v>
      </c>
      <c r="AN15" s="50">
        <f t="shared" ref="AN15" si="24">SUM(AK15:AM15)</f>
        <v>265.7</v>
      </c>
      <c r="AP15" s="51"/>
    </row>
    <row r="16" spans="1:42" ht="27" customHeight="1" x14ac:dyDescent="0.2">
      <c r="A16" s="278">
        <v>8</v>
      </c>
      <c r="B16" s="52" t="s">
        <v>28</v>
      </c>
      <c r="C16" s="54">
        <v>5</v>
      </c>
      <c r="D16" s="53">
        <v>9.593</v>
      </c>
      <c r="E16" s="46">
        <f t="shared" si="13"/>
        <v>47.97</v>
      </c>
      <c r="F16" s="47">
        <f t="shared" si="14"/>
        <v>575.6</v>
      </c>
      <c r="G16" s="24"/>
      <c r="H16" s="24">
        <f>4.78</f>
        <v>4.8</v>
      </c>
      <c r="I16" s="24"/>
      <c r="J16" s="24"/>
      <c r="K16" s="24">
        <f>D16*0.2*2*12+D16*0.05*5.5+D16*0.2*7.5</f>
        <v>63.1</v>
      </c>
      <c r="L16" s="24">
        <f t="shared" si="12"/>
        <v>185.4</v>
      </c>
      <c r="M16" s="24">
        <f t="shared" si="0"/>
        <v>828.9</v>
      </c>
      <c r="N16" s="48">
        <v>0.43</v>
      </c>
      <c r="O16" s="24">
        <f t="shared" si="1"/>
        <v>356.4</v>
      </c>
      <c r="P16" s="24">
        <f t="shared" si="15"/>
        <v>1185.3</v>
      </c>
      <c r="Q16" s="24">
        <f t="shared" si="16"/>
        <v>948.2</v>
      </c>
      <c r="R16" s="24">
        <f t="shared" si="2"/>
        <v>948.2</v>
      </c>
      <c r="S16" s="24">
        <f t="shared" si="17"/>
        <v>98.6</v>
      </c>
      <c r="T16" s="49">
        <f t="shared" si="3"/>
        <v>3180.3</v>
      </c>
      <c r="U16" s="2247"/>
      <c r="V16" s="49">
        <f>T16*$U$9</f>
        <v>3180.3</v>
      </c>
      <c r="W16" s="49">
        <f t="shared" si="21"/>
        <v>960.5</v>
      </c>
      <c r="X16" s="278"/>
      <c r="Y16" s="24">
        <v>30</v>
      </c>
      <c r="Z16" s="48">
        <f t="shared" si="4"/>
        <v>0</v>
      </c>
      <c r="AA16" s="278"/>
      <c r="AB16" s="24">
        <v>15</v>
      </c>
      <c r="AC16" s="48">
        <f t="shared" si="5"/>
        <v>0</v>
      </c>
      <c r="AD16" s="278"/>
      <c r="AE16" s="24">
        <v>30</v>
      </c>
      <c r="AF16" s="48">
        <f t="shared" si="6"/>
        <v>0</v>
      </c>
      <c r="AG16" s="48">
        <f t="shared" si="7"/>
        <v>0</v>
      </c>
      <c r="AH16" s="48">
        <f t="shared" si="8"/>
        <v>0</v>
      </c>
      <c r="AI16" s="34">
        <f t="shared" si="9"/>
        <v>53005</v>
      </c>
      <c r="AJ16" s="34">
        <f t="shared" si="10"/>
        <v>636.1</v>
      </c>
      <c r="AK16" s="50">
        <f t="shared" si="19"/>
        <v>699.7</v>
      </c>
      <c r="AL16" s="50">
        <f t="shared" si="22"/>
        <v>132.19999999999999</v>
      </c>
      <c r="AM16" s="50">
        <f t="shared" si="11"/>
        <v>168.6</v>
      </c>
      <c r="AN16" s="50">
        <f t="shared" si="20"/>
        <v>1000.5</v>
      </c>
      <c r="AP16" s="51"/>
    </row>
    <row r="17" spans="1:42" ht="27" customHeight="1" x14ac:dyDescent="0.2">
      <c r="A17" s="278">
        <v>9</v>
      </c>
      <c r="B17" s="52" t="s">
        <v>24</v>
      </c>
      <c r="C17" s="54">
        <v>15</v>
      </c>
      <c r="D17" s="53">
        <v>8.5419999999999998</v>
      </c>
      <c r="E17" s="46">
        <f t="shared" si="13"/>
        <v>128.13</v>
      </c>
      <c r="F17" s="47">
        <f t="shared" si="14"/>
        <v>1537.6</v>
      </c>
      <c r="G17" s="24"/>
      <c r="H17" s="24">
        <f>14.25</f>
        <v>14.3</v>
      </c>
      <c r="I17" s="24"/>
      <c r="J17" s="24"/>
      <c r="K17" s="24">
        <f>D17*0.2*8*12+D17*0.25*12+D17*0.05*12+D17*0.3*12</f>
        <v>225.5</v>
      </c>
      <c r="L17" s="24">
        <f t="shared" si="12"/>
        <v>495.4</v>
      </c>
      <c r="M17" s="24">
        <f t="shared" si="0"/>
        <v>2272.8000000000002</v>
      </c>
      <c r="N17" s="48">
        <v>0.4</v>
      </c>
      <c r="O17" s="24">
        <f t="shared" si="1"/>
        <v>909.1</v>
      </c>
      <c r="P17" s="24">
        <f t="shared" si="15"/>
        <v>3181.9</v>
      </c>
      <c r="Q17" s="24">
        <f t="shared" si="16"/>
        <v>2545.5</v>
      </c>
      <c r="R17" s="24">
        <f t="shared" si="2"/>
        <v>2545.5</v>
      </c>
      <c r="S17" s="24">
        <f t="shared" si="17"/>
        <v>264.7</v>
      </c>
      <c r="T17" s="49">
        <f t="shared" si="3"/>
        <v>8537.6</v>
      </c>
      <c r="U17" s="2247"/>
      <c r="V17" s="49">
        <f t="shared" si="18"/>
        <v>8537.6</v>
      </c>
      <c r="W17" s="49">
        <f t="shared" si="21"/>
        <v>2578.4</v>
      </c>
      <c r="X17" s="278">
        <v>10</v>
      </c>
      <c r="Y17" s="24">
        <v>30</v>
      </c>
      <c r="Z17" s="48">
        <f t="shared" si="4"/>
        <v>300</v>
      </c>
      <c r="AA17" s="278">
        <v>3</v>
      </c>
      <c r="AB17" s="24">
        <v>15</v>
      </c>
      <c r="AC17" s="48">
        <f t="shared" si="5"/>
        <v>45</v>
      </c>
      <c r="AD17" s="278">
        <v>2</v>
      </c>
      <c r="AE17" s="24">
        <v>30</v>
      </c>
      <c r="AF17" s="48">
        <f t="shared" si="6"/>
        <v>60</v>
      </c>
      <c r="AG17" s="48">
        <f>(Z17+AC17+AF17)*1%*30</f>
        <v>121.5</v>
      </c>
      <c r="AH17" s="48">
        <f t="shared" si="8"/>
        <v>526.5</v>
      </c>
      <c r="AI17" s="34">
        <f t="shared" si="9"/>
        <v>47431.1</v>
      </c>
      <c r="AJ17" s="34">
        <f t="shared" si="10"/>
        <v>569.20000000000005</v>
      </c>
      <c r="AK17" s="50">
        <f t="shared" si="19"/>
        <v>1878.3</v>
      </c>
      <c r="AL17" s="50">
        <f t="shared" si="22"/>
        <v>396.7</v>
      </c>
      <c r="AM17" s="50">
        <f t="shared" si="11"/>
        <v>452.5</v>
      </c>
      <c r="AN17" s="50">
        <f t="shared" si="20"/>
        <v>2727.5</v>
      </c>
      <c r="AP17" s="51"/>
    </row>
    <row r="18" spans="1:42" ht="27" customHeight="1" x14ac:dyDescent="0.2">
      <c r="A18" s="278">
        <v>10</v>
      </c>
      <c r="B18" s="55" t="s">
        <v>26</v>
      </c>
      <c r="C18" s="56">
        <v>16</v>
      </c>
      <c r="D18" s="53">
        <v>4.3109999999999999</v>
      </c>
      <c r="E18" s="46">
        <f>C18*D18</f>
        <v>68.98</v>
      </c>
      <c r="F18" s="47">
        <f>E18*12</f>
        <v>827.8</v>
      </c>
      <c r="G18" s="24"/>
      <c r="H18" s="24">
        <f>27739.8/1000</f>
        <v>27.7</v>
      </c>
      <c r="I18" s="24"/>
      <c r="J18" s="24"/>
      <c r="K18" s="24"/>
      <c r="L18" s="24">
        <v>390</v>
      </c>
      <c r="M18" s="24">
        <f>F18+G18+H18+I18+J18+K18+L18</f>
        <v>1245.5</v>
      </c>
      <c r="N18" s="48">
        <v>0.75</v>
      </c>
      <c r="O18" s="24">
        <f>M18*N18</f>
        <v>934.1</v>
      </c>
      <c r="P18" s="24">
        <f>M18+O18</f>
        <v>2179.6</v>
      </c>
      <c r="Q18" s="24">
        <f>P18*0.8</f>
        <v>1743.7</v>
      </c>
      <c r="R18" s="24">
        <f>P18*0.8</f>
        <v>1743.7</v>
      </c>
      <c r="S18" s="24">
        <f>(P18+Q18+R18)*0.032</f>
        <v>181.3</v>
      </c>
      <c r="T18" s="49">
        <f>P18+Q18+R18+S18</f>
        <v>5848.3</v>
      </c>
      <c r="U18" s="2247"/>
      <c r="V18" s="49">
        <f>T18*$U$9</f>
        <v>5848.3</v>
      </c>
      <c r="W18" s="49">
        <f t="shared" si="21"/>
        <v>1766.2</v>
      </c>
      <c r="X18" s="278">
        <v>7</v>
      </c>
      <c r="Y18" s="24">
        <v>30</v>
      </c>
      <c r="Z18" s="48">
        <f>X18*Y18</f>
        <v>210</v>
      </c>
      <c r="AA18" s="278">
        <v>2</v>
      </c>
      <c r="AB18" s="24">
        <v>15</v>
      </c>
      <c r="AC18" s="48">
        <f>AA18*AB18</f>
        <v>30</v>
      </c>
      <c r="AD18" s="278">
        <v>1</v>
      </c>
      <c r="AE18" s="24">
        <v>30</v>
      </c>
      <c r="AF18" s="48">
        <f>AD18*AE18</f>
        <v>30</v>
      </c>
      <c r="AG18" s="48">
        <f>(Z18+AC18+AF18)*1%*30</f>
        <v>81</v>
      </c>
      <c r="AH18" s="48">
        <f>Z18+AC18+AF18+AG18</f>
        <v>351</v>
      </c>
      <c r="AI18" s="34">
        <f t="shared" si="9"/>
        <v>30459.9</v>
      </c>
      <c r="AJ18" s="34">
        <f t="shared" si="10"/>
        <v>365.5</v>
      </c>
      <c r="AK18" s="50">
        <f t="shared" si="19"/>
        <v>1286.5999999999999</v>
      </c>
      <c r="AL18" s="50">
        <f t="shared" si="22"/>
        <v>423.2</v>
      </c>
      <c r="AM18" s="50">
        <f t="shared" si="11"/>
        <v>310</v>
      </c>
      <c r="AN18" s="50">
        <f t="shared" si="20"/>
        <v>2019.8</v>
      </c>
      <c r="AP18" s="51"/>
    </row>
    <row r="19" spans="1:42" ht="27" customHeight="1" x14ac:dyDescent="0.2">
      <c r="A19" s="278">
        <v>11</v>
      </c>
      <c r="B19" s="55" t="s">
        <v>50</v>
      </c>
      <c r="C19" s="57">
        <v>2</v>
      </c>
      <c r="D19" s="53">
        <v>8.4730000000000008</v>
      </c>
      <c r="E19" s="46">
        <f t="shared" si="13"/>
        <v>16.95</v>
      </c>
      <c r="F19" s="47">
        <f t="shared" si="14"/>
        <v>203.4</v>
      </c>
      <c r="G19" s="24"/>
      <c r="H19" s="24">
        <f>1652.1/1000</f>
        <v>1.7</v>
      </c>
      <c r="I19" s="24"/>
      <c r="J19" s="24"/>
      <c r="K19" s="24">
        <f>D19*0.25*12+D19*0.2*12</f>
        <v>45.8</v>
      </c>
      <c r="L19" s="24">
        <f t="shared" si="12"/>
        <v>65.5</v>
      </c>
      <c r="M19" s="24">
        <f t="shared" si="0"/>
        <v>316.39999999999998</v>
      </c>
      <c r="N19" s="48">
        <v>0.41</v>
      </c>
      <c r="O19" s="24">
        <f t="shared" si="1"/>
        <v>129.69999999999999</v>
      </c>
      <c r="P19" s="24">
        <f t="shared" si="15"/>
        <v>446.1</v>
      </c>
      <c r="Q19" s="24">
        <f t="shared" si="16"/>
        <v>356.9</v>
      </c>
      <c r="R19" s="24">
        <f t="shared" si="2"/>
        <v>356.9</v>
      </c>
      <c r="S19" s="24">
        <f t="shared" si="17"/>
        <v>37.1</v>
      </c>
      <c r="T19" s="49">
        <f t="shared" si="3"/>
        <v>1197</v>
      </c>
      <c r="U19" s="2247"/>
      <c r="V19" s="49">
        <f t="shared" si="18"/>
        <v>1197</v>
      </c>
      <c r="W19" s="49">
        <f t="shared" si="21"/>
        <v>361.5</v>
      </c>
      <c r="X19" s="278">
        <v>2</v>
      </c>
      <c r="Y19" s="24">
        <v>30</v>
      </c>
      <c r="Z19" s="48">
        <f t="shared" si="4"/>
        <v>60</v>
      </c>
      <c r="AA19" s="278"/>
      <c r="AB19" s="24">
        <v>15</v>
      </c>
      <c r="AC19" s="48">
        <f t="shared" si="5"/>
        <v>0</v>
      </c>
      <c r="AD19" s="278"/>
      <c r="AE19" s="24">
        <v>30</v>
      </c>
      <c r="AF19" s="48">
        <f t="shared" si="6"/>
        <v>0</v>
      </c>
      <c r="AG19" s="48">
        <f t="shared" si="7"/>
        <v>18</v>
      </c>
      <c r="AH19" s="48">
        <f t="shared" si="8"/>
        <v>78</v>
      </c>
      <c r="AI19" s="34">
        <f t="shared" si="9"/>
        <v>49875</v>
      </c>
      <c r="AJ19" s="34">
        <f t="shared" si="10"/>
        <v>598.5</v>
      </c>
      <c r="AK19" s="50">
        <f t="shared" si="19"/>
        <v>263.3</v>
      </c>
      <c r="AL19" s="50">
        <f t="shared" si="22"/>
        <v>52.9</v>
      </c>
      <c r="AM19" s="50">
        <f t="shared" si="11"/>
        <v>63.4</v>
      </c>
      <c r="AN19" s="50">
        <f t="shared" si="20"/>
        <v>379.6</v>
      </c>
      <c r="AP19" s="51"/>
    </row>
    <row r="20" spans="1:42" ht="27" customHeight="1" x14ac:dyDescent="0.2">
      <c r="A20" s="278">
        <v>12</v>
      </c>
      <c r="B20" s="52" t="s">
        <v>18</v>
      </c>
      <c r="C20" s="47">
        <v>1</v>
      </c>
      <c r="D20" s="53">
        <v>8.4730000000000008</v>
      </c>
      <c r="E20" s="46">
        <f t="shared" si="13"/>
        <v>8.4700000000000006</v>
      </c>
      <c r="F20" s="47">
        <f t="shared" si="14"/>
        <v>101.6</v>
      </c>
      <c r="G20" s="24"/>
      <c r="H20" s="24">
        <f>826.1/1000</f>
        <v>0.8</v>
      </c>
      <c r="I20" s="24"/>
      <c r="J20" s="24"/>
      <c r="K20" s="24">
        <f>D20*0.35*12+D20*0.05*9</f>
        <v>39.4</v>
      </c>
      <c r="L20" s="24">
        <f t="shared" si="12"/>
        <v>32.700000000000003</v>
      </c>
      <c r="M20" s="24">
        <f t="shared" si="0"/>
        <v>174.5</v>
      </c>
      <c r="N20" s="48">
        <v>0.41</v>
      </c>
      <c r="O20" s="24">
        <f t="shared" si="1"/>
        <v>71.5</v>
      </c>
      <c r="P20" s="24">
        <f t="shared" si="15"/>
        <v>246</v>
      </c>
      <c r="Q20" s="24">
        <f t="shared" si="16"/>
        <v>196.8</v>
      </c>
      <c r="R20" s="24">
        <f t="shared" si="2"/>
        <v>196.8</v>
      </c>
      <c r="S20" s="24">
        <f t="shared" si="17"/>
        <v>20.5</v>
      </c>
      <c r="T20" s="49">
        <f t="shared" si="3"/>
        <v>660.1</v>
      </c>
      <c r="U20" s="2247"/>
      <c r="V20" s="49">
        <f t="shared" si="18"/>
        <v>660.1</v>
      </c>
      <c r="W20" s="49">
        <f t="shared" si="21"/>
        <v>199.4</v>
      </c>
      <c r="X20" s="278"/>
      <c r="Y20" s="24">
        <v>30</v>
      </c>
      <c r="Z20" s="48">
        <f t="shared" si="4"/>
        <v>0</v>
      </c>
      <c r="AA20" s="278"/>
      <c r="AB20" s="24">
        <v>15</v>
      </c>
      <c r="AC20" s="48">
        <f t="shared" si="5"/>
        <v>0</v>
      </c>
      <c r="AD20" s="278"/>
      <c r="AE20" s="24">
        <v>30</v>
      </c>
      <c r="AF20" s="48">
        <f t="shared" si="6"/>
        <v>0</v>
      </c>
      <c r="AG20" s="48">
        <f t="shared" si="7"/>
        <v>0</v>
      </c>
      <c r="AH20" s="48">
        <f t="shared" si="8"/>
        <v>0</v>
      </c>
      <c r="AI20" s="34">
        <f t="shared" si="9"/>
        <v>55008.3</v>
      </c>
      <c r="AJ20" s="34">
        <f t="shared" si="10"/>
        <v>660.1</v>
      </c>
      <c r="AK20" s="50">
        <f t="shared" si="19"/>
        <v>145.19999999999999</v>
      </c>
      <c r="AL20" s="50">
        <f t="shared" si="22"/>
        <v>26.4</v>
      </c>
      <c r="AM20" s="50">
        <f t="shared" si="11"/>
        <v>35</v>
      </c>
      <c r="AN20" s="50">
        <f t="shared" si="20"/>
        <v>206.6</v>
      </c>
      <c r="AP20" s="51"/>
    </row>
    <row r="21" spans="1:42" ht="27" customHeight="1" x14ac:dyDescent="0.2">
      <c r="A21" s="278">
        <v>13</v>
      </c>
      <c r="B21" s="52" t="s">
        <v>106</v>
      </c>
      <c r="C21" s="47">
        <v>1</v>
      </c>
      <c r="D21" s="53">
        <v>8.4730000000000008</v>
      </c>
      <c r="E21" s="46">
        <f t="shared" si="13"/>
        <v>8.4700000000000006</v>
      </c>
      <c r="F21" s="47">
        <f t="shared" si="14"/>
        <v>101.6</v>
      </c>
      <c r="G21" s="24"/>
      <c r="H21" s="24">
        <f>917.9/1000</f>
        <v>0.9</v>
      </c>
      <c r="I21" s="24"/>
      <c r="J21" s="24"/>
      <c r="K21" s="24"/>
      <c r="L21" s="24">
        <f t="shared" si="12"/>
        <v>32.700000000000003</v>
      </c>
      <c r="M21" s="24">
        <f t="shared" si="0"/>
        <v>135.19999999999999</v>
      </c>
      <c r="N21" s="48">
        <v>0.47</v>
      </c>
      <c r="O21" s="24">
        <f t="shared" si="1"/>
        <v>63.5</v>
      </c>
      <c r="P21" s="24">
        <f t="shared" si="15"/>
        <v>198.7</v>
      </c>
      <c r="Q21" s="24">
        <f t="shared" si="16"/>
        <v>159</v>
      </c>
      <c r="R21" s="24">
        <f t="shared" si="2"/>
        <v>159</v>
      </c>
      <c r="S21" s="24">
        <f t="shared" si="17"/>
        <v>16.5</v>
      </c>
      <c r="T21" s="49">
        <f t="shared" si="3"/>
        <v>533.20000000000005</v>
      </c>
      <c r="U21" s="2247"/>
      <c r="V21" s="49">
        <f t="shared" si="18"/>
        <v>533.20000000000005</v>
      </c>
      <c r="W21" s="49">
        <f t="shared" si="21"/>
        <v>161</v>
      </c>
      <c r="X21" s="278"/>
      <c r="Y21" s="24">
        <v>30</v>
      </c>
      <c r="Z21" s="48">
        <f t="shared" si="4"/>
        <v>0</v>
      </c>
      <c r="AA21" s="278"/>
      <c r="AB21" s="24">
        <v>15</v>
      </c>
      <c r="AC21" s="48">
        <f t="shared" si="5"/>
        <v>0</v>
      </c>
      <c r="AD21" s="278"/>
      <c r="AE21" s="24">
        <v>30</v>
      </c>
      <c r="AF21" s="48">
        <f t="shared" si="6"/>
        <v>0</v>
      </c>
      <c r="AG21" s="48">
        <f t="shared" si="7"/>
        <v>0</v>
      </c>
      <c r="AH21" s="48">
        <f t="shared" si="8"/>
        <v>0</v>
      </c>
      <c r="AI21" s="34">
        <f t="shared" si="9"/>
        <v>44433.3</v>
      </c>
      <c r="AJ21" s="34">
        <f t="shared" si="10"/>
        <v>533.20000000000005</v>
      </c>
      <c r="AK21" s="50">
        <f t="shared" si="19"/>
        <v>117.3</v>
      </c>
      <c r="AL21" s="50">
        <f t="shared" si="22"/>
        <v>26.4</v>
      </c>
      <c r="AM21" s="50">
        <f t="shared" si="11"/>
        <v>28.3</v>
      </c>
      <c r="AN21" s="50">
        <f t="shared" si="20"/>
        <v>172</v>
      </c>
      <c r="AP21" s="51"/>
    </row>
    <row r="22" spans="1:42" ht="23.25" customHeight="1" x14ac:dyDescent="0.2">
      <c r="A22" s="278">
        <v>14</v>
      </c>
      <c r="B22" s="52" t="s">
        <v>29</v>
      </c>
      <c r="C22" s="57">
        <v>1</v>
      </c>
      <c r="D22" s="53">
        <v>8.4730000000000008</v>
      </c>
      <c r="E22" s="46">
        <f>C22*D22</f>
        <v>8.4700000000000006</v>
      </c>
      <c r="F22" s="47">
        <f>E22*12</f>
        <v>101.6</v>
      </c>
      <c r="G22" s="24"/>
      <c r="H22" s="24">
        <f>1239.1/1000</f>
        <v>1.2</v>
      </c>
      <c r="I22" s="24"/>
      <c r="J22" s="24"/>
      <c r="K22" s="24">
        <f>D22*0.4*12</f>
        <v>40.700000000000003</v>
      </c>
      <c r="L22" s="24">
        <f t="shared" si="12"/>
        <v>32.700000000000003</v>
      </c>
      <c r="M22" s="24">
        <f>F22+G22+H22+I22+J22+K22+L22</f>
        <v>176.2</v>
      </c>
      <c r="N22" s="48">
        <v>0.41</v>
      </c>
      <c r="O22" s="24">
        <f t="shared" si="1"/>
        <v>72.2</v>
      </c>
      <c r="P22" s="24">
        <f t="shared" si="15"/>
        <v>248.4</v>
      </c>
      <c r="Q22" s="24">
        <f t="shared" si="16"/>
        <v>198.7</v>
      </c>
      <c r="R22" s="24">
        <f t="shared" si="2"/>
        <v>198.7</v>
      </c>
      <c r="S22" s="24">
        <f t="shared" si="17"/>
        <v>20.7</v>
      </c>
      <c r="T22" s="49">
        <f t="shared" si="3"/>
        <v>666.5</v>
      </c>
      <c r="U22" s="2247"/>
      <c r="V22" s="49">
        <f t="shared" si="18"/>
        <v>666.5</v>
      </c>
      <c r="W22" s="49">
        <f t="shared" si="21"/>
        <v>201.3</v>
      </c>
      <c r="X22" s="278">
        <v>2</v>
      </c>
      <c r="Y22" s="24">
        <v>30</v>
      </c>
      <c r="Z22" s="48">
        <f t="shared" si="4"/>
        <v>60</v>
      </c>
      <c r="AA22" s="278">
        <v>1</v>
      </c>
      <c r="AB22" s="24">
        <v>15</v>
      </c>
      <c r="AC22" s="48">
        <f t="shared" si="5"/>
        <v>15</v>
      </c>
      <c r="AD22" s="278"/>
      <c r="AE22" s="24">
        <v>30</v>
      </c>
      <c r="AF22" s="48">
        <f t="shared" si="6"/>
        <v>0</v>
      </c>
      <c r="AG22" s="48">
        <f t="shared" si="7"/>
        <v>22.5</v>
      </c>
      <c r="AH22" s="48">
        <f t="shared" si="8"/>
        <v>97.5</v>
      </c>
      <c r="AI22" s="34">
        <f t="shared" si="9"/>
        <v>55541.7</v>
      </c>
      <c r="AJ22" s="34">
        <f t="shared" si="10"/>
        <v>666.5</v>
      </c>
      <c r="AK22" s="50">
        <f t="shared" si="19"/>
        <v>146.6</v>
      </c>
      <c r="AL22" s="50">
        <f t="shared" si="22"/>
        <v>26.4</v>
      </c>
      <c r="AM22" s="50">
        <f t="shared" si="11"/>
        <v>35.299999999999997</v>
      </c>
      <c r="AN22" s="50">
        <f t="shared" si="20"/>
        <v>208.3</v>
      </c>
      <c r="AP22" s="51"/>
    </row>
    <row r="23" spans="1:42" ht="23.25" customHeight="1" x14ac:dyDescent="0.2">
      <c r="A23" s="278">
        <v>15</v>
      </c>
      <c r="B23" s="52" t="s">
        <v>20</v>
      </c>
      <c r="C23" s="47">
        <v>0.5</v>
      </c>
      <c r="D23" s="53">
        <v>8.4730000000000008</v>
      </c>
      <c r="E23" s="46">
        <f>C23*D23</f>
        <v>4.24</v>
      </c>
      <c r="F23" s="47">
        <f>E23*12</f>
        <v>50.9</v>
      </c>
      <c r="G23" s="24"/>
      <c r="H23" s="24"/>
      <c r="I23" s="24"/>
      <c r="J23" s="24"/>
      <c r="K23" s="24"/>
      <c r="L23" s="24">
        <f t="shared" si="12"/>
        <v>16.399999999999999</v>
      </c>
      <c r="M23" s="24">
        <f>F23+G23+H23+I23+J23+K23+L23</f>
        <v>67.3</v>
      </c>
      <c r="N23" s="48">
        <v>0.41</v>
      </c>
      <c r="O23" s="24">
        <f t="shared" si="1"/>
        <v>27.6</v>
      </c>
      <c r="P23" s="24">
        <f t="shared" si="15"/>
        <v>94.9</v>
      </c>
      <c r="Q23" s="24">
        <f t="shared" si="16"/>
        <v>75.900000000000006</v>
      </c>
      <c r="R23" s="24">
        <f t="shared" si="2"/>
        <v>75.900000000000006</v>
      </c>
      <c r="S23" s="24">
        <f t="shared" si="17"/>
        <v>7.9</v>
      </c>
      <c r="T23" s="49">
        <f t="shared" si="3"/>
        <v>254.6</v>
      </c>
      <c r="U23" s="2247"/>
      <c r="V23" s="49">
        <f t="shared" si="18"/>
        <v>254.6</v>
      </c>
      <c r="W23" s="49">
        <f t="shared" si="21"/>
        <v>76.900000000000006</v>
      </c>
      <c r="X23" s="278"/>
      <c r="Y23" s="24">
        <v>30</v>
      </c>
      <c r="Z23" s="48">
        <f t="shared" si="4"/>
        <v>0</v>
      </c>
      <c r="AA23" s="278"/>
      <c r="AB23" s="24">
        <v>15</v>
      </c>
      <c r="AC23" s="48">
        <f t="shared" si="5"/>
        <v>0</v>
      </c>
      <c r="AD23" s="278"/>
      <c r="AE23" s="24">
        <v>30</v>
      </c>
      <c r="AF23" s="48">
        <f t="shared" si="6"/>
        <v>0</v>
      </c>
      <c r="AG23" s="48">
        <f t="shared" si="7"/>
        <v>0</v>
      </c>
      <c r="AH23" s="48">
        <f t="shared" si="8"/>
        <v>0</v>
      </c>
      <c r="AI23" s="34">
        <f t="shared" si="9"/>
        <v>42433.3</v>
      </c>
      <c r="AJ23" s="34">
        <f t="shared" si="10"/>
        <v>509.2</v>
      </c>
      <c r="AK23" s="50">
        <f t="shared" si="19"/>
        <v>56</v>
      </c>
      <c r="AL23" s="50">
        <f t="shared" si="22"/>
        <v>13.2</v>
      </c>
      <c r="AM23" s="50">
        <f t="shared" si="11"/>
        <v>13.5</v>
      </c>
      <c r="AN23" s="50">
        <f t="shared" si="20"/>
        <v>82.7</v>
      </c>
      <c r="AP23" s="51"/>
    </row>
    <row r="24" spans="1:42" ht="23.25" customHeight="1" x14ac:dyDescent="0.2">
      <c r="A24" s="278">
        <v>16</v>
      </c>
      <c r="B24" s="52" t="s">
        <v>30</v>
      </c>
      <c r="C24" s="57">
        <v>2</v>
      </c>
      <c r="D24" s="53">
        <v>8.4730000000000008</v>
      </c>
      <c r="E24" s="46">
        <f>C24*D24</f>
        <v>16.95</v>
      </c>
      <c r="F24" s="47">
        <f>E24*12</f>
        <v>203.4</v>
      </c>
      <c r="G24" s="24"/>
      <c r="H24" s="24">
        <f>1652.1/1000</f>
        <v>1.7</v>
      </c>
      <c r="I24" s="24"/>
      <c r="J24" s="24"/>
      <c r="K24" s="24">
        <f>D24*0.3*12+D24*0.25*12+D24*0.05*1</f>
        <v>56.3</v>
      </c>
      <c r="L24" s="24">
        <f t="shared" si="12"/>
        <v>65.5</v>
      </c>
      <c r="M24" s="24">
        <f>F24+G24+H24+I24+J24+K24+L24</f>
        <v>326.89999999999998</v>
      </c>
      <c r="N24" s="48">
        <v>0.41</v>
      </c>
      <c r="O24" s="24">
        <f t="shared" si="1"/>
        <v>134</v>
      </c>
      <c r="P24" s="24">
        <f t="shared" si="15"/>
        <v>460.9</v>
      </c>
      <c r="Q24" s="24">
        <f t="shared" si="16"/>
        <v>368.7</v>
      </c>
      <c r="R24" s="24">
        <f t="shared" si="2"/>
        <v>368.7</v>
      </c>
      <c r="S24" s="24">
        <f t="shared" si="17"/>
        <v>38.299999999999997</v>
      </c>
      <c r="T24" s="49">
        <f t="shared" si="3"/>
        <v>1236.5999999999999</v>
      </c>
      <c r="U24" s="2247"/>
      <c r="V24" s="49">
        <f t="shared" si="18"/>
        <v>1236.5999999999999</v>
      </c>
      <c r="W24" s="49">
        <f t="shared" si="21"/>
        <v>373.5</v>
      </c>
      <c r="X24" s="278"/>
      <c r="Y24" s="24">
        <v>30</v>
      </c>
      <c r="Z24" s="48">
        <f t="shared" si="4"/>
        <v>0</v>
      </c>
      <c r="AA24" s="278"/>
      <c r="AB24" s="24">
        <v>15</v>
      </c>
      <c r="AC24" s="48">
        <f t="shared" si="5"/>
        <v>0</v>
      </c>
      <c r="AD24" s="278"/>
      <c r="AE24" s="24">
        <v>30</v>
      </c>
      <c r="AF24" s="48">
        <f t="shared" si="6"/>
        <v>0</v>
      </c>
      <c r="AG24" s="48">
        <f t="shared" si="7"/>
        <v>0</v>
      </c>
      <c r="AH24" s="48">
        <f t="shared" si="8"/>
        <v>0</v>
      </c>
      <c r="AI24" s="34">
        <f t="shared" si="9"/>
        <v>51525</v>
      </c>
      <c r="AJ24" s="34">
        <f t="shared" si="10"/>
        <v>618.29999999999995</v>
      </c>
      <c r="AK24" s="50">
        <f t="shared" si="19"/>
        <v>272.10000000000002</v>
      </c>
      <c r="AL24" s="50">
        <f t="shared" si="22"/>
        <v>52.9</v>
      </c>
      <c r="AM24" s="50">
        <f t="shared" si="11"/>
        <v>65.5</v>
      </c>
      <c r="AN24" s="50">
        <f t="shared" si="20"/>
        <v>390.5</v>
      </c>
      <c r="AP24" s="51"/>
    </row>
    <row r="25" spans="1:42" ht="27" customHeight="1" x14ac:dyDescent="0.2">
      <c r="A25" s="278">
        <v>17</v>
      </c>
      <c r="B25" s="52" t="s">
        <v>33</v>
      </c>
      <c r="C25" s="57">
        <v>1</v>
      </c>
      <c r="D25" s="53">
        <v>8.4730000000000008</v>
      </c>
      <c r="E25" s="46">
        <f t="shared" si="13"/>
        <v>8.4700000000000006</v>
      </c>
      <c r="F25" s="47">
        <f t="shared" si="14"/>
        <v>101.6</v>
      </c>
      <c r="G25" s="24"/>
      <c r="H25" s="24">
        <f>826.1/1000</f>
        <v>0.8</v>
      </c>
      <c r="I25" s="24"/>
      <c r="J25" s="24"/>
      <c r="K25" s="24">
        <f>F25*0.2</f>
        <v>20.3</v>
      </c>
      <c r="L25" s="24">
        <f t="shared" si="12"/>
        <v>32.700000000000003</v>
      </c>
      <c r="M25" s="24">
        <f>F25+G25+H25+I25+J25+K25+L25</f>
        <v>155.4</v>
      </c>
      <c r="N25" s="48">
        <v>0.41</v>
      </c>
      <c r="O25" s="24">
        <f t="shared" si="1"/>
        <v>63.7</v>
      </c>
      <c r="P25" s="24">
        <f t="shared" si="15"/>
        <v>219.1</v>
      </c>
      <c r="Q25" s="24">
        <f t="shared" si="16"/>
        <v>175.3</v>
      </c>
      <c r="R25" s="24">
        <f t="shared" si="2"/>
        <v>175.3</v>
      </c>
      <c r="S25" s="24">
        <f t="shared" si="17"/>
        <v>18.2</v>
      </c>
      <c r="T25" s="49">
        <f t="shared" si="3"/>
        <v>587.9</v>
      </c>
      <c r="U25" s="2247"/>
      <c r="V25" s="49">
        <f t="shared" si="18"/>
        <v>587.9</v>
      </c>
      <c r="W25" s="49">
        <f t="shared" si="21"/>
        <v>177.5</v>
      </c>
      <c r="X25" s="278"/>
      <c r="Y25" s="24">
        <v>30</v>
      </c>
      <c r="Z25" s="48">
        <f t="shared" si="4"/>
        <v>0</v>
      </c>
      <c r="AA25" s="278"/>
      <c r="AB25" s="24">
        <v>15</v>
      </c>
      <c r="AC25" s="48">
        <f t="shared" si="5"/>
        <v>0</v>
      </c>
      <c r="AD25" s="278"/>
      <c r="AE25" s="24">
        <v>30</v>
      </c>
      <c r="AF25" s="48">
        <f t="shared" si="6"/>
        <v>0</v>
      </c>
      <c r="AG25" s="48">
        <f t="shared" si="7"/>
        <v>0</v>
      </c>
      <c r="AH25" s="48">
        <f t="shared" si="8"/>
        <v>0</v>
      </c>
      <c r="AI25" s="34">
        <f t="shared" si="9"/>
        <v>48991.7</v>
      </c>
      <c r="AJ25" s="34">
        <f t="shared" si="10"/>
        <v>587.9</v>
      </c>
      <c r="AK25" s="50">
        <f t="shared" si="19"/>
        <v>129.30000000000001</v>
      </c>
      <c r="AL25" s="50">
        <f t="shared" si="22"/>
        <v>26.4</v>
      </c>
      <c r="AM25" s="50">
        <f t="shared" si="11"/>
        <v>31.2</v>
      </c>
      <c r="AN25" s="50">
        <f t="shared" si="20"/>
        <v>186.9</v>
      </c>
      <c r="AP25" s="51"/>
    </row>
    <row r="26" spans="1:42" ht="27" customHeight="1" x14ac:dyDescent="0.2">
      <c r="A26" s="278">
        <v>18</v>
      </c>
      <c r="B26" s="55" t="s">
        <v>92</v>
      </c>
      <c r="C26" s="56">
        <v>3</v>
      </c>
      <c r="D26" s="53">
        <v>4.3769999999999998</v>
      </c>
      <c r="E26" s="46">
        <f t="shared" si="13"/>
        <v>13.13</v>
      </c>
      <c r="F26" s="47">
        <f t="shared" si="14"/>
        <v>157.6</v>
      </c>
      <c r="G26" s="24"/>
      <c r="H26" s="24">
        <f>7681.2/1000</f>
        <v>7.7</v>
      </c>
      <c r="I26" s="24"/>
      <c r="J26" s="24"/>
      <c r="K26" s="24"/>
      <c r="L26" s="24">
        <v>105</v>
      </c>
      <c r="M26" s="24">
        <f t="shared" si="0"/>
        <v>270.3</v>
      </c>
      <c r="N26" s="48">
        <v>0.47</v>
      </c>
      <c r="O26" s="24">
        <f t="shared" si="1"/>
        <v>127</v>
      </c>
      <c r="P26" s="24">
        <f t="shared" si="15"/>
        <v>397.3</v>
      </c>
      <c r="Q26" s="24">
        <f t="shared" si="16"/>
        <v>317.8</v>
      </c>
      <c r="R26" s="24">
        <f t="shared" si="2"/>
        <v>317.8</v>
      </c>
      <c r="S26" s="24">
        <f t="shared" si="17"/>
        <v>33.1</v>
      </c>
      <c r="T26" s="49">
        <f t="shared" si="3"/>
        <v>1066</v>
      </c>
      <c r="U26" s="2247"/>
      <c r="V26" s="49">
        <f>T26*$U$9</f>
        <v>1066</v>
      </c>
      <c r="W26" s="49">
        <f t="shared" si="21"/>
        <v>321.89999999999998</v>
      </c>
      <c r="X26" s="278"/>
      <c r="Y26" s="24">
        <v>30</v>
      </c>
      <c r="Z26" s="48">
        <f>X26*Y26</f>
        <v>0</v>
      </c>
      <c r="AA26" s="278"/>
      <c r="AB26" s="24">
        <v>15</v>
      </c>
      <c r="AC26" s="48">
        <f>AA26*AB26</f>
        <v>0</v>
      </c>
      <c r="AD26" s="278"/>
      <c r="AE26" s="24">
        <v>30</v>
      </c>
      <c r="AF26" s="48">
        <f>AD26*AE26</f>
        <v>0</v>
      </c>
      <c r="AG26" s="48">
        <f>(Z26+AC26+AF26)*1%*30</f>
        <v>0</v>
      </c>
      <c r="AH26" s="48">
        <f>Z26+AC26+AF26+AG26</f>
        <v>0</v>
      </c>
      <c r="AI26" s="34">
        <f t="shared" si="9"/>
        <v>29611.1</v>
      </c>
      <c r="AJ26" s="34">
        <f t="shared" si="10"/>
        <v>355.3</v>
      </c>
      <c r="AK26" s="50">
        <f t="shared" si="19"/>
        <v>234.5</v>
      </c>
      <c r="AL26" s="50">
        <f t="shared" si="22"/>
        <v>79.3</v>
      </c>
      <c r="AM26" s="50">
        <f t="shared" si="11"/>
        <v>56.5</v>
      </c>
      <c r="AN26" s="50">
        <f t="shared" si="20"/>
        <v>370.3</v>
      </c>
      <c r="AP26" s="51"/>
    </row>
    <row r="27" spans="1:42" ht="27" customHeight="1" x14ac:dyDescent="0.2">
      <c r="A27" s="278">
        <v>19</v>
      </c>
      <c r="B27" s="44" t="s">
        <v>102</v>
      </c>
      <c r="C27" s="58">
        <v>2</v>
      </c>
      <c r="D27" s="53">
        <v>4.3769999999999998</v>
      </c>
      <c r="E27" s="46">
        <f t="shared" si="13"/>
        <v>8.75</v>
      </c>
      <c r="F27" s="47">
        <f t="shared" si="14"/>
        <v>105</v>
      </c>
      <c r="G27" s="24"/>
      <c r="H27" s="24">
        <f>948.3/1000</f>
        <v>0.9</v>
      </c>
      <c r="I27" s="24"/>
      <c r="J27" s="24"/>
      <c r="K27" s="24"/>
      <c r="L27" s="24">
        <v>72</v>
      </c>
      <c r="M27" s="24">
        <f t="shared" si="0"/>
        <v>177.9</v>
      </c>
      <c r="N27" s="48">
        <v>0.49</v>
      </c>
      <c r="O27" s="24">
        <f t="shared" si="1"/>
        <v>87.2</v>
      </c>
      <c r="P27" s="24">
        <f t="shared" si="15"/>
        <v>265.10000000000002</v>
      </c>
      <c r="Q27" s="24">
        <f t="shared" si="16"/>
        <v>212.1</v>
      </c>
      <c r="R27" s="24">
        <f t="shared" si="2"/>
        <v>212.1</v>
      </c>
      <c r="S27" s="24">
        <f t="shared" si="17"/>
        <v>22.1</v>
      </c>
      <c r="T27" s="49">
        <f t="shared" si="3"/>
        <v>711.4</v>
      </c>
      <c r="U27" s="2247"/>
      <c r="V27" s="49">
        <f>T27*$U$9-0.2</f>
        <v>711.2</v>
      </c>
      <c r="W27" s="49">
        <f>V27*0.302</f>
        <v>214.8</v>
      </c>
      <c r="X27" s="278"/>
      <c r="Y27" s="24">
        <v>30</v>
      </c>
      <c r="Z27" s="48">
        <f>X27*Y27</f>
        <v>0</v>
      </c>
      <c r="AA27" s="278"/>
      <c r="AB27" s="24">
        <v>15</v>
      </c>
      <c r="AC27" s="48">
        <f>AA27*AB27</f>
        <v>0</v>
      </c>
      <c r="AD27" s="278"/>
      <c r="AE27" s="24">
        <v>30</v>
      </c>
      <c r="AF27" s="48">
        <f>AD27*AE27</f>
        <v>0</v>
      </c>
      <c r="AG27" s="48">
        <f>(Z27+AC27+AF27)*1%*30</f>
        <v>0</v>
      </c>
      <c r="AH27" s="48">
        <f>Z27+AC27+AF27+AG27</f>
        <v>0</v>
      </c>
      <c r="AI27" s="34">
        <f t="shared" si="9"/>
        <v>29633.3</v>
      </c>
      <c r="AJ27" s="34">
        <f t="shared" si="10"/>
        <v>355.6</v>
      </c>
      <c r="AK27" s="50">
        <f t="shared" si="19"/>
        <v>156.5</v>
      </c>
      <c r="AL27" s="50">
        <f t="shared" si="22"/>
        <v>52.9</v>
      </c>
      <c r="AM27" s="50">
        <f t="shared" si="11"/>
        <v>37.700000000000003</v>
      </c>
      <c r="AN27" s="50">
        <f t="shared" si="20"/>
        <v>247.1</v>
      </c>
      <c r="AP27" s="51"/>
    </row>
    <row r="28" spans="1:42" s="62" customFormat="1" ht="20.25" customHeight="1" x14ac:dyDescent="0.2">
      <c r="A28" s="2248" t="s">
        <v>97</v>
      </c>
      <c r="B28" s="2249"/>
      <c r="C28" s="59">
        <f t="shared" ref="C28:AH28" si="25">SUM(C9:C27)</f>
        <v>64.5</v>
      </c>
      <c r="D28" s="25">
        <f t="shared" si="25"/>
        <v>181.9</v>
      </c>
      <c r="E28" s="25">
        <f t="shared" si="25"/>
        <v>527.5</v>
      </c>
      <c r="F28" s="25">
        <f t="shared" si="25"/>
        <v>6321.7</v>
      </c>
      <c r="G28" s="25">
        <f t="shared" si="25"/>
        <v>0</v>
      </c>
      <c r="H28" s="25">
        <f>SUM(H9:H27)</f>
        <v>74.400000000000006</v>
      </c>
      <c r="I28" s="25">
        <f t="shared" si="25"/>
        <v>0</v>
      </c>
      <c r="J28" s="25">
        <f t="shared" si="25"/>
        <v>0</v>
      </c>
      <c r="K28" s="25">
        <f t="shared" si="25"/>
        <v>1143.7</v>
      </c>
      <c r="L28" s="25">
        <f t="shared" si="25"/>
        <v>2252.1999999999998</v>
      </c>
      <c r="M28" s="25">
        <f t="shared" si="25"/>
        <v>9792</v>
      </c>
      <c r="N28" s="25">
        <f t="shared" si="25"/>
        <v>9.1999999999999993</v>
      </c>
      <c r="O28" s="25">
        <f t="shared" si="25"/>
        <v>4877.3</v>
      </c>
      <c r="P28" s="25">
        <f t="shared" si="25"/>
        <v>14669.3</v>
      </c>
      <c r="Q28" s="25">
        <f t="shared" si="25"/>
        <v>11735.5</v>
      </c>
      <c r="R28" s="25">
        <f t="shared" si="25"/>
        <v>11735.5</v>
      </c>
      <c r="S28" s="25">
        <f t="shared" si="25"/>
        <v>1220.3</v>
      </c>
      <c r="T28" s="25">
        <f t="shared" si="25"/>
        <v>39360.6</v>
      </c>
      <c r="U28" s="25">
        <f t="shared" si="25"/>
        <v>1</v>
      </c>
      <c r="V28" s="25">
        <f t="shared" si="25"/>
        <v>39360.400000000001</v>
      </c>
      <c r="W28" s="25">
        <f>SUM(W9:W27)</f>
        <v>11654.6</v>
      </c>
      <c r="X28" s="25">
        <f t="shared" si="25"/>
        <v>29</v>
      </c>
      <c r="Y28" s="25">
        <f t="shared" si="25"/>
        <v>570</v>
      </c>
      <c r="Z28" s="25">
        <f t="shared" si="25"/>
        <v>870</v>
      </c>
      <c r="AA28" s="25">
        <f t="shared" si="25"/>
        <v>12</v>
      </c>
      <c r="AB28" s="25">
        <f t="shared" si="25"/>
        <v>285</v>
      </c>
      <c r="AC28" s="25">
        <f t="shared" si="25"/>
        <v>180</v>
      </c>
      <c r="AD28" s="25">
        <f t="shared" si="25"/>
        <v>8</v>
      </c>
      <c r="AE28" s="25">
        <f t="shared" si="25"/>
        <v>570</v>
      </c>
      <c r="AF28" s="25">
        <f t="shared" si="25"/>
        <v>240</v>
      </c>
      <c r="AG28" s="25">
        <f t="shared" si="25"/>
        <v>387</v>
      </c>
      <c r="AH28" s="25">
        <f t="shared" si="25"/>
        <v>1677</v>
      </c>
      <c r="AI28" s="60"/>
      <c r="AJ28" s="61"/>
      <c r="AN28" s="60">
        <f>SUM(AN9:AN27)</f>
        <v>12276.5</v>
      </c>
    </row>
    <row r="29" spans="1:42" s="62" customFormat="1" ht="20.25" customHeight="1" x14ac:dyDescent="0.2">
      <c r="A29" s="63"/>
      <c r="B29" s="63"/>
      <c r="C29" s="26"/>
      <c r="D29" s="26"/>
      <c r="E29" s="26"/>
      <c r="F29" s="26"/>
      <c r="G29" s="26"/>
      <c r="H29" s="26"/>
      <c r="I29" s="26"/>
      <c r="J29" s="26"/>
      <c r="K29" s="26"/>
      <c r="L29" s="26"/>
      <c r="M29" s="26"/>
      <c r="N29" s="26"/>
      <c r="O29" s="26"/>
      <c r="P29" s="26"/>
      <c r="Q29" s="26"/>
      <c r="R29" s="26"/>
      <c r="S29" s="26"/>
      <c r="T29" s="26"/>
      <c r="U29" s="64"/>
      <c r="V29" s="65"/>
      <c r="W29" s="66"/>
      <c r="X29" s="65"/>
      <c r="Y29" s="65"/>
      <c r="Z29" s="65"/>
      <c r="AA29" s="65"/>
      <c r="AB29" s="65"/>
      <c r="AC29" s="65"/>
      <c r="AD29" s="65"/>
      <c r="AE29" s="65"/>
      <c r="AF29" s="65"/>
      <c r="AG29" s="65"/>
      <c r="AH29" s="65"/>
      <c r="AI29" s="67"/>
      <c r="AJ29" s="61"/>
    </row>
    <row r="30" spans="1:42" s="62" customFormat="1" ht="14.25" x14ac:dyDescent="0.2">
      <c r="A30" s="68"/>
      <c r="B30" s="63"/>
      <c r="C30" s="26"/>
      <c r="D30" s="26"/>
      <c r="E30" s="26"/>
      <c r="F30" s="26"/>
      <c r="G30" s="26"/>
      <c r="H30" s="26"/>
      <c r="I30" s="26"/>
      <c r="J30" s="26"/>
      <c r="K30" s="26"/>
      <c r="L30" s="26"/>
      <c r="M30" s="26"/>
      <c r="N30" s="26"/>
      <c r="O30" s="26"/>
      <c r="P30" s="26"/>
      <c r="Q30" s="26"/>
      <c r="R30" s="26"/>
      <c r="S30" s="26"/>
      <c r="T30" s="26"/>
      <c r="U30" s="64"/>
      <c r="V30" s="69"/>
      <c r="W30" s="69"/>
      <c r="X30" s="65"/>
      <c r="Y30" s="65"/>
      <c r="Z30" s="65"/>
      <c r="AA30" s="65"/>
      <c r="AB30" s="65"/>
      <c r="AC30" s="65"/>
      <c r="AD30" s="65"/>
      <c r="AE30" s="65"/>
      <c r="AF30" s="65"/>
      <c r="AG30" s="65"/>
      <c r="AH30" s="65"/>
      <c r="AI30" s="67"/>
      <c r="AJ30" s="61"/>
    </row>
    <row r="31" spans="1:42" s="75" customFormat="1" ht="15" x14ac:dyDescent="0.2">
      <c r="A31" s="70"/>
      <c r="B31" s="70"/>
      <c r="C31" s="71"/>
      <c r="D31" s="72"/>
      <c r="E31" s="72"/>
      <c r="F31" s="72"/>
      <c r="G31" s="72"/>
      <c r="H31" s="73"/>
      <c r="I31" s="73"/>
      <c r="J31" s="27"/>
      <c r="K31" s="27"/>
      <c r="L31" s="27"/>
      <c r="M31" s="27"/>
      <c r="N31" s="74"/>
      <c r="O31" s="27"/>
      <c r="P31" s="27"/>
      <c r="Q31" s="27"/>
      <c r="R31" s="27"/>
      <c r="S31" s="27"/>
      <c r="T31" s="27"/>
      <c r="U31" s="27"/>
      <c r="V31" s="27"/>
      <c r="W31" s="27"/>
      <c r="X31" s="27"/>
      <c r="Y31" s="27"/>
      <c r="Z31" s="27"/>
      <c r="AA31" s="27"/>
      <c r="AB31" s="27"/>
      <c r="AC31" s="27"/>
      <c r="AD31" s="27"/>
      <c r="AE31" s="27"/>
      <c r="AF31" s="27"/>
      <c r="AG31" s="27"/>
      <c r="AH31" s="27"/>
      <c r="AI31" s="27"/>
      <c r="AK31" s="76"/>
      <c r="AL31" s="76"/>
      <c r="AM31" s="76"/>
      <c r="AN31" s="76"/>
      <c r="AO31" s="76"/>
    </row>
    <row r="32" spans="1:42" s="75" customFormat="1" ht="39.75" customHeight="1" x14ac:dyDescent="0.2">
      <c r="A32" s="70"/>
      <c r="B32" s="70"/>
      <c r="C32" s="71"/>
      <c r="D32" s="77"/>
      <c r="E32" s="77"/>
      <c r="F32" s="27"/>
      <c r="G32" s="2244" t="s">
        <v>140</v>
      </c>
      <c r="H32" s="2244"/>
      <c r="I32" s="2240" t="s">
        <v>141</v>
      </c>
      <c r="J32" s="2241"/>
      <c r="K32" s="2240" t="s">
        <v>128</v>
      </c>
      <c r="L32" s="2241"/>
      <c r="M32" s="70"/>
      <c r="N32" s="70"/>
      <c r="O32" s="70"/>
      <c r="P32" s="70"/>
      <c r="Q32" s="27"/>
      <c r="R32" s="27"/>
      <c r="S32" s="27"/>
      <c r="T32" s="27"/>
      <c r="U32" s="27"/>
      <c r="V32" s="27"/>
      <c r="W32" s="27"/>
      <c r="X32" s="27"/>
      <c r="Y32" s="27"/>
      <c r="Z32" s="27"/>
      <c r="AA32" s="27"/>
      <c r="AB32" s="27"/>
      <c r="AC32" s="27"/>
      <c r="AD32" s="27"/>
      <c r="AE32" s="27"/>
      <c r="AF32" s="27"/>
      <c r="AG32" s="27"/>
      <c r="AH32" s="27"/>
      <c r="AI32" s="27"/>
      <c r="AK32" s="76"/>
      <c r="AL32" s="76"/>
      <c r="AM32" s="76"/>
      <c r="AN32" s="76"/>
      <c r="AO32" s="76"/>
    </row>
    <row r="33" spans="1:41" s="75" customFormat="1" ht="15" x14ac:dyDescent="0.2">
      <c r="A33" s="70"/>
      <c r="B33" s="70"/>
      <c r="C33" s="71"/>
      <c r="D33" s="77"/>
      <c r="E33" s="77"/>
      <c r="F33" s="27"/>
      <c r="G33" s="279">
        <v>991</v>
      </c>
      <c r="H33" s="279">
        <v>992</v>
      </c>
      <c r="I33" s="279">
        <v>991</v>
      </c>
      <c r="J33" s="279">
        <v>992</v>
      </c>
      <c r="K33" s="279">
        <v>991</v>
      </c>
      <c r="L33" s="279">
        <v>992</v>
      </c>
      <c r="M33" s="79"/>
      <c r="N33" s="79"/>
      <c r="O33" s="79"/>
      <c r="P33" s="79"/>
      <c r="Q33" s="27"/>
      <c r="R33" s="27"/>
      <c r="S33" s="27"/>
      <c r="T33" s="27"/>
      <c r="U33" s="27"/>
      <c r="V33" s="27"/>
      <c r="W33" s="27"/>
      <c r="X33" s="27"/>
      <c r="Y33" s="27"/>
      <c r="Z33" s="27"/>
      <c r="AA33" s="27"/>
      <c r="AB33" s="27"/>
      <c r="AC33" s="27"/>
      <c r="AD33" s="27"/>
      <c r="AE33" s="27"/>
      <c r="AF33" s="27"/>
      <c r="AG33" s="27"/>
      <c r="AH33" s="27"/>
      <c r="AI33" s="27"/>
      <c r="AK33" s="76"/>
      <c r="AL33" s="76"/>
      <c r="AM33" s="76"/>
      <c r="AN33" s="76"/>
      <c r="AO33" s="76"/>
    </row>
    <row r="34" spans="1:41" s="75" customFormat="1" ht="15" x14ac:dyDescent="0.2">
      <c r="A34" s="70"/>
      <c r="B34" s="70"/>
      <c r="C34" s="71"/>
      <c r="D34" s="77"/>
      <c r="E34" s="77"/>
      <c r="F34" s="27"/>
      <c r="G34" s="29">
        <v>39360.400000000001</v>
      </c>
      <c r="H34" s="29">
        <v>11661.7</v>
      </c>
      <c r="I34" s="29">
        <f>V28</f>
        <v>39360.400000000001</v>
      </c>
      <c r="J34" s="29">
        <f>W28</f>
        <v>11654.6</v>
      </c>
      <c r="K34" s="29">
        <f>G34-I34</f>
        <v>0</v>
      </c>
      <c r="L34" s="29">
        <f>H34-J34</f>
        <v>7.1</v>
      </c>
      <c r="M34" s="80"/>
      <c r="N34" s="80"/>
      <c r="O34" s="80"/>
      <c r="P34" s="80"/>
      <c r="Q34" s="27"/>
      <c r="R34" s="27"/>
      <c r="S34" s="27"/>
      <c r="T34" s="27"/>
      <c r="U34" s="27"/>
      <c r="V34" s="27"/>
      <c r="W34" s="27"/>
      <c r="X34" s="27"/>
      <c r="Y34" s="27"/>
      <c r="Z34" s="27"/>
      <c r="AA34" s="27"/>
      <c r="AB34" s="27"/>
      <c r="AC34" s="27"/>
      <c r="AD34" s="27"/>
      <c r="AE34" s="27"/>
      <c r="AF34" s="27"/>
      <c r="AG34" s="27"/>
      <c r="AH34" s="27"/>
      <c r="AI34" s="27"/>
      <c r="AK34" s="76"/>
      <c r="AL34" s="76"/>
      <c r="AM34" s="76"/>
      <c r="AN34" s="76"/>
      <c r="AO34" s="76"/>
    </row>
    <row r="35" spans="1:41" s="75" customFormat="1" ht="15" x14ac:dyDescent="0.2">
      <c r="A35" s="70"/>
      <c r="B35" s="70"/>
      <c r="C35" s="71"/>
      <c r="D35" s="77"/>
      <c r="E35" s="77"/>
      <c r="F35" s="27"/>
      <c r="G35" s="27"/>
      <c r="H35" s="73"/>
      <c r="I35" s="73"/>
      <c r="J35" s="27"/>
      <c r="K35" s="27"/>
      <c r="L35" s="27"/>
      <c r="M35" s="27"/>
      <c r="N35" s="74"/>
      <c r="O35" s="27"/>
      <c r="P35" s="27"/>
      <c r="Q35" s="27"/>
      <c r="R35" s="27"/>
      <c r="S35" s="27"/>
      <c r="T35" s="27"/>
      <c r="U35" s="27"/>
      <c r="V35" s="27"/>
      <c r="W35" s="27"/>
      <c r="X35" s="27"/>
      <c r="Y35" s="27"/>
      <c r="Z35" s="27"/>
      <c r="AA35" s="27"/>
      <c r="AB35" s="27"/>
      <c r="AC35" s="27"/>
      <c r="AD35" s="27"/>
      <c r="AE35" s="27"/>
      <c r="AF35" s="27"/>
      <c r="AG35" s="27"/>
      <c r="AH35" s="27"/>
      <c r="AI35" s="27"/>
      <c r="AK35" s="76"/>
      <c r="AL35" s="76"/>
      <c r="AM35" s="76"/>
      <c r="AN35" s="76"/>
      <c r="AO35" s="76"/>
    </row>
    <row r="36" spans="1:41" s="75" customFormat="1" ht="15" x14ac:dyDescent="0.2">
      <c r="A36" s="70"/>
      <c r="B36" s="70"/>
      <c r="C36" s="71"/>
      <c r="D36" s="77"/>
      <c r="E36" s="77"/>
      <c r="F36" s="27"/>
      <c r="G36" s="27"/>
      <c r="H36" s="73"/>
      <c r="I36" s="73"/>
      <c r="J36" s="27"/>
      <c r="K36" s="27"/>
      <c r="L36" s="27"/>
      <c r="M36" s="27"/>
      <c r="N36" s="74"/>
      <c r="O36" s="27"/>
      <c r="P36" s="27"/>
      <c r="Q36" s="27"/>
      <c r="R36" s="27"/>
      <c r="S36" s="27"/>
      <c r="T36" s="27"/>
      <c r="U36" s="27"/>
      <c r="V36" s="27"/>
      <c r="W36" s="27"/>
      <c r="X36" s="27"/>
      <c r="Y36" s="27"/>
      <c r="Z36" s="27"/>
      <c r="AA36" s="27"/>
      <c r="AB36" s="27"/>
      <c r="AC36" s="27"/>
      <c r="AD36" s="27"/>
      <c r="AE36" s="27"/>
      <c r="AF36" s="27"/>
      <c r="AG36" s="27"/>
      <c r="AH36" s="27"/>
      <c r="AI36" s="27"/>
      <c r="AK36" s="76"/>
      <c r="AL36" s="76"/>
      <c r="AM36" s="76"/>
      <c r="AN36" s="76"/>
      <c r="AO36" s="76"/>
    </row>
    <row r="37" spans="1:41" s="282" customFormat="1" ht="20.25" x14ac:dyDescent="0.2">
      <c r="A37" s="81"/>
      <c r="B37" s="82" t="s">
        <v>138</v>
      </c>
      <c r="C37" s="83"/>
      <c r="D37" s="84"/>
      <c r="E37" s="84"/>
      <c r="F37" s="85"/>
      <c r="G37" s="85"/>
      <c r="H37" s="86"/>
      <c r="I37" s="86"/>
      <c r="J37" s="85"/>
      <c r="K37" s="30" t="s">
        <v>166</v>
      </c>
      <c r="L37" s="85"/>
      <c r="M37" s="85"/>
      <c r="N37" s="87"/>
      <c r="O37" s="85"/>
      <c r="P37" s="85"/>
      <c r="Q37" s="85"/>
      <c r="R37" s="85"/>
      <c r="S37" s="85"/>
      <c r="T37" s="85"/>
      <c r="U37" s="85"/>
      <c r="V37" s="85"/>
      <c r="W37" s="85"/>
      <c r="X37" s="85"/>
      <c r="Y37" s="85"/>
      <c r="Z37" s="85"/>
      <c r="AA37" s="85"/>
      <c r="AB37" s="85"/>
      <c r="AC37" s="85"/>
      <c r="AD37" s="85"/>
      <c r="AE37" s="85"/>
      <c r="AF37" s="85"/>
      <c r="AG37" s="85"/>
      <c r="AH37" s="85"/>
      <c r="AI37" s="85"/>
      <c r="AK37" s="88"/>
      <c r="AL37" s="88"/>
      <c r="AM37" s="88"/>
      <c r="AN37" s="88"/>
      <c r="AO37" s="88"/>
    </row>
    <row r="38" spans="1:41" s="75" customFormat="1" ht="15" x14ac:dyDescent="0.2">
      <c r="A38" s="70"/>
      <c r="B38" s="70"/>
      <c r="C38" s="71"/>
      <c r="D38" s="77"/>
      <c r="E38" s="77"/>
      <c r="F38" s="27"/>
      <c r="G38" s="27"/>
      <c r="H38" s="73"/>
      <c r="I38" s="73"/>
      <c r="J38" s="27"/>
      <c r="K38" s="27"/>
      <c r="L38" s="27"/>
      <c r="M38" s="27"/>
      <c r="N38" s="74"/>
      <c r="O38" s="27"/>
      <c r="P38" s="27"/>
      <c r="Q38" s="27"/>
      <c r="R38" s="27"/>
      <c r="S38" s="27"/>
      <c r="T38" s="27"/>
      <c r="U38" s="27"/>
      <c r="V38" s="27"/>
      <c r="W38" s="27"/>
      <c r="X38" s="27"/>
      <c r="Y38" s="27"/>
      <c r="Z38" s="27"/>
      <c r="AA38" s="27"/>
      <c r="AB38" s="27"/>
      <c r="AC38" s="27"/>
      <c r="AD38" s="27"/>
      <c r="AE38" s="27"/>
      <c r="AF38" s="27"/>
      <c r="AG38" s="27"/>
      <c r="AH38" s="27"/>
      <c r="AI38" s="27"/>
      <c r="AK38" s="76"/>
      <c r="AL38" s="76"/>
      <c r="AM38" s="76"/>
      <c r="AN38" s="76"/>
      <c r="AO38" s="76"/>
    </row>
    <row r="39" spans="1:41" s="75" customFormat="1" ht="20.25" customHeight="1" x14ac:dyDescent="0.2">
      <c r="A39" s="89" t="s">
        <v>96</v>
      </c>
      <c r="B39" s="89"/>
      <c r="C39" s="31"/>
      <c r="D39" s="31"/>
      <c r="E39" s="31"/>
      <c r="F39" s="31"/>
      <c r="G39" s="31"/>
      <c r="H39" s="31"/>
      <c r="I39" s="31"/>
      <c r="J39" s="31"/>
      <c r="K39" s="31"/>
      <c r="L39" s="90"/>
      <c r="M39" s="90"/>
      <c r="N39" s="91"/>
      <c r="O39" s="90"/>
      <c r="P39" s="90"/>
      <c r="Q39" s="90"/>
      <c r="R39" s="90"/>
      <c r="S39" s="90"/>
      <c r="T39" s="90"/>
      <c r="U39" s="90"/>
      <c r="V39" s="90"/>
      <c r="W39" s="90"/>
      <c r="X39" s="90"/>
      <c r="Y39" s="90"/>
      <c r="Z39" s="90"/>
      <c r="AA39" s="90"/>
      <c r="AB39" s="90"/>
      <c r="AC39" s="90"/>
      <c r="AD39" s="90"/>
      <c r="AE39" s="90"/>
      <c r="AF39" s="90"/>
      <c r="AG39" s="90"/>
      <c r="AH39" s="90"/>
      <c r="AI39" s="90"/>
      <c r="AK39" s="76"/>
      <c r="AL39" s="76"/>
      <c r="AM39" s="76"/>
      <c r="AN39" s="76"/>
      <c r="AO39" s="76"/>
    </row>
    <row r="40" spans="1:41" s="75" customFormat="1" ht="20.25" customHeight="1" x14ac:dyDescent="0.2">
      <c r="A40" s="89" t="s">
        <v>139</v>
      </c>
      <c r="B40" s="92"/>
      <c r="C40" s="93"/>
      <c r="D40" s="93"/>
      <c r="E40" s="32"/>
      <c r="F40" s="32"/>
      <c r="G40" s="32"/>
      <c r="H40" s="32"/>
      <c r="I40" s="32"/>
      <c r="J40" s="32"/>
      <c r="K40" s="32"/>
      <c r="L40" s="90"/>
      <c r="M40" s="90"/>
      <c r="N40" s="90"/>
      <c r="O40" s="90"/>
      <c r="P40" s="90"/>
      <c r="Q40" s="90"/>
      <c r="R40" s="90"/>
      <c r="S40" s="90"/>
      <c r="T40" s="90"/>
      <c r="U40" s="90"/>
      <c r="V40" s="90"/>
      <c r="W40" s="90"/>
      <c r="X40" s="90"/>
      <c r="Y40" s="90"/>
      <c r="Z40" s="90"/>
      <c r="AA40" s="90"/>
      <c r="AB40" s="90"/>
      <c r="AC40" s="90"/>
      <c r="AD40" s="90"/>
      <c r="AE40" s="90"/>
      <c r="AF40" s="90"/>
      <c r="AG40" s="90"/>
      <c r="AH40" s="90"/>
      <c r="AI40" s="90"/>
      <c r="AK40" s="76"/>
      <c r="AL40" s="76"/>
      <c r="AM40" s="76"/>
      <c r="AN40" s="76"/>
      <c r="AO40" s="76"/>
    </row>
    <row r="41" spans="1:41" ht="15.75" x14ac:dyDescent="0.2">
      <c r="A41" s="2243"/>
      <c r="B41" s="2243"/>
      <c r="C41" s="2243"/>
    </row>
    <row r="43" spans="1:41" x14ac:dyDescent="0.2">
      <c r="E43" s="51"/>
    </row>
    <row r="44" spans="1:41" x14ac:dyDescent="0.2">
      <c r="E44" s="51"/>
    </row>
    <row r="45" spans="1:41" x14ac:dyDescent="0.2">
      <c r="E45" s="51"/>
    </row>
    <row r="46" spans="1:41" x14ac:dyDescent="0.2">
      <c r="E46" s="51"/>
    </row>
    <row r="47" spans="1:41" x14ac:dyDescent="0.2">
      <c r="E47" s="51"/>
    </row>
    <row r="48" spans="1:41" x14ac:dyDescent="0.2">
      <c r="E48" s="51"/>
    </row>
    <row r="49" spans="5:5" x14ac:dyDescent="0.2">
      <c r="E49" s="51"/>
    </row>
    <row r="50" spans="5:5" x14ac:dyDescent="0.2">
      <c r="E50" s="51"/>
    </row>
    <row r="51" spans="5:5" x14ac:dyDescent="0.2">
      <c r="E51" s="51"/>
    </row>
    <row r="52" spans="5:5" x14ac:dyDescent="0.2">
      <c r="E52" s="51"/>
    </row>
    <row r="53" spans="5:5" x14ac:dyDescent="0.2">
      <c r="E53" s="51"/>
    </row>
    <row r="54" spans="5:5" x14ac:dyDescent="0.2">
      <c r="E54" s="51"/>
    </row>
    <row r="55" spans="5:5" x14ac:dyDescent="0.2">
      <c r="E55" s="51"/>
    </row>
    <row r="56" spans="5:5" x14ac:dyDescent="0.2">
      <c r="E56" s="51"/>
    </row>
    <row r="57" spans="5:5" x14ac:dyDescent="0.2">
      <c r="E57" s="51"/>
    </row>
    <row r="58" spans="5:5" x14ac:dyDescent="0.2">
      <c r="E58" s="51"/>
    </row>
    <row r="59" spans="5:5" x14ac:dyDescent="0.2">
      <c r="E59" s="51"/>
    </row>
    <row r="60" spans="5:5" x14ac:dyDescent="0.2">
      <c r="E60" s="51"/>
    </row>
    <row r="61" spans="5:5" x14ac:dyDescent="0.2">
      <c r="E61" s="51"/>
    </row>
    <row r="62" spans="5:5" x14ac:dyDescent="0.2">
      <c r="E62" s="51"/>
    </row>
    <row r="63" spans="5:5" x14ac:dyDescent="0.2">
      <c r="E63" s="51"/>
    </row>
    <row r="64" spans="5:5" x14ac:dyDescent="0.2">
      <c r="E64" s="51"/>
    </row>
    <row r="65" spans="5:5" x14ac:dyDescent="0.2">
      <c r="E65" s="51"/>
    </row>
    <row r="66" spans="5:5" x14ac:dyDescent="0.2">
      <c r="E66" s="51"/>
    </row>
    <row r="67" spans="5:5" x14ac:dyDescent="0.2">
      <c r="E67" s="51"/>
    </row>
    <row r="68" spans="5:5" x14ac:dyDescent="0.2">
      <c r="E68" s="51"/>
    </row>
    <row r="69" spans="5:5" x14ac:dyDescent="0.2">
      <c r="E69" s="51"/>
    </row>
    <row r="70" spans="5:5" x14ac:dyDescent="0.2">
      <c r="E70" s="51"/>
    </row>
    <row r="71" spans="5:5" x14ac:dyDescent="0.2">
      <c r="E71" s="51"/>
    </row>
    <row r="72" spans="5:5" x14ac:dyDescent="0.2">
      <c r="E72" s="51"/>
    </row>
    <row r="73" spans="5:5" x14ac:dyDescent="0.2">
      <c r="E73" s="51"/>
    </row>
    <row r="74" spans="5:5" x14ac:dyDescent="0.2">
      <c r="E74" s="51"/>
    </row>
  </sheetData>
  <autoFilter ref="A8:AP30" xr:uid="{00000000-0009-0000-0000-00005D000000}"/>
  <mergeCells count="38">
    <mergeCell ref="AE1:AH1"/>
    <mergeCell ref="A2:AH2"/>
    <mergeCell ref="A3:AH3"/>
    <mergeCell ref="A5:A7"/>
    <mergeCell ref="B5:B7"/>
    <mergeCell ref="C5:C7"/>
    <mergeCell ref="D5:W5"/>
    <mergeCell ref="X5:AH5"/>
    <mergeCell ref="D6:D7"/>
    <mergeCell ref="E6:E7"/>
    <mergeCell ref="AD6:AF6"/>
    <mergeCell ref="AG6:AG7"/>
    <mergeCell ref="AH6:AH7"/>
    <mergeCell ref="V6:V7"/>
    <mergeCell ref="W6:W7"/>
    <mergeCell ref="X6:Z6"/>
    <mergeCell ref="U6:U7"/>
    <mergeCell ref="L6:L7"/>
    <mergeCell ref="M6:M7"/>
    <mergeCell ref="N6:O6"/>
    <mergeCell ref="P6:P7"/>
    <mergeCell ref="Q6:Q7"/>
    <mergeCell ref="G32:H32"/>
    <mergeCell ref="I32:J32"/>
    <mergeCell ref="K32:L32"/>
    <mergeCell ref="A41:C41"/>
    <mergeCell ref="AA6:AC6"/>
    <mergeCell ref="R6:R7"/>
    <mergeCell ref="F6:F7"/>
    <mergeCell ref="G6:G7"/>
    <mergeCell ref="H6:H7"/>
    <mergeCell ref="I6:I7"/>
    <mergeCell ref="J6:J7"/>
    <mergeCell ref="K6:K7"/>
    <mergeCell ref="U9:U27"/>
    <mergeCell ref="A28:B28"/>
    <mergeCell ref="S6:S7"/>
    <mergeCell ref="T6:T7"/>
  </mergeCells>
  <printOptions horizontalCentered="1"/>
  <pageMargins left="0.25" right="0.25" top="0.75" bottom="0.75" header="0.3" footer="0.3"/>
  <pageSetup paperSize="9" scale="33" orientation="landscape" r:id="rId1"/>
  <legacy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00B050"/>
    <pageSetUpPr fitToPage="1"/>
  </sheetPr>
  <dimension ref="A1:AS43"/>
  <sheetViews>
    <sheetView view="pageBreakPreview" zoomScale="80" zoomScaleNormal="100" zoomScaleSheetLayoutView="80" workbookViewId="0">
      <pane xSplit="3" ySplit="8" topLeftCell="U9" activePane="bottomRight" state="frozen"/>
      <selection activeCell="M26" sqref="M26:N26"/>
      <selection pane="topRight" activeCell="M26" sqref="M26:N26"/>
      <selection pane="bottomLeft" activeCell="M26" sqref="M26:N26"/>
      <selection pane="bottomRight" activeCell="M26" sqref="M26:N26"/>
    </sheetView>
  </sheetViews>
  <sheetFormatPr defaultRowHeight="12.75" x14ac:dyDescent="0.2"/>
  <cols>
    <col min="1" max="1" width="12.83203125" style="98" customWidth="1"/>
    <col min="2" max="2" width="30.83203125" style="99" customWidth="1"/>
    <col min="3" max="3" width="13.83203125" style="99" customWidth="1"/>
    <col min="4" max="4" width="11.5" style="99" customWidth="1"/>
    <col min="5" max="5" width="13" style="99" customWidth="1"/>
    <col min="6" max="6" width="14.6640625" style="99" customWidth="1"/>
    <col min="7" max="8" width="13.1640625" style="99" customWidth="1"/>
    <col min="9" max="9" width="11.6640625" style="99" customWidth="1"/>
    <col min="10" max="10" width="16.83203125" style="99" customWidth="1"/>
    <col min="11" max="11" width="12" style="99" customWidth="1"/>
    <col min="12" max="17" width="11.5" style="100" customWidth="1"/>
    <col min="18" max="18" width="14.1640625" style="99" customWidth="1"/>
    <col min="19" max="19" width="15.5" style="99" customWidth="1"/>
    <col min="20" max="20" width="12.33203125" style="99" customWidth="1"/>
    <col min="21" max="21" width="11.6640625" style="99" customWidth="1"/>
    <col min="22" max="23" width="12" style="99" customWidth="1"/>
    <col min="24" max="24" width="12.6640625" style="99" customWidth="1"/>
    <col min="25" max="25" width="12" style="99" customWidth="1"/>
    <col min="26" max="26" width="9.6640625" style="99" customWidth="1"/>
    <col min="27" max="31" width="8.5" style="99" customWidth="1"/>
    <col min="32" max="32" width="9.6640625" style="99" customWidth="1"/>
    <col min="33" max="33" width="9.33203125" style="99" customWidth="1"/>
    <col min="34" max="34" width="12" style="99" customWidth="1"/>
    <col min="35" max="36" width="11.1640625" style="99" customWidth="1"/>
    <col min="37" max="37" width="12.6640625" style="99" customWidth="1"/>
    <col min="38" max="38" width="11.83203125" style="99" hidden="1" customWidth="1"/>
    <col min="39" max="39" width="13" style="99" hidden="1" customWidth="1"/>
    <col min="40" max="42" width="9.33203125" style="22"/>
    <col min="43" max="43" width="11.33203125" style="22" bestFit="1" customWidth="1"/>
    <col min="44" max="16384" width="9.33203125" style="99"/>
  </cols>
  <sheetData>
    <row r="1" spans="1:45" ht="21" customHeight="1" x14ac:dyDescent="0.2">
      <c r="AE1" s="2263"/>
      <c r="AF1" s="2263"/>
      <c r="AG1" s="2263"/>
      <c r="AH1" s="2263"/>
    </row>
    <row r="2" spans="1:45" ht="24" customHeight="1" x14ac:dyDescent="0.2">
      <c r="A2" s="2264" t="s">
        <v>156</v>
      </c>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c r="AA2" s="2264"/>
      <c r="AB2" s="2264"/>
      <c r="AC2" s="2264"/>
      <c r="AD2" s="2264"/>
      <c r="AE2" s="2264"/>
      <c r="AF2" s="2264"/>
      <c r="AG2" s="2264"/>
      <c r="AH2" s="2264"/>
    </row>
    <row r="3" spans="1:45" ht="24.75" customHeight="1" x14ac:dyDescent="0.2">
      <c r="A3" s="2265"/>
      <c r="B3" s="2265"/>
      <c r="C3" s="2265"/>
      <c r="D3" s="2265"/>
      <c r="E3" s="2265"/>
      <c r="F3" s="2265"/>
      <c r="G3" s="2265"/>
      <c r="H3" s="2265"/>
      <c r="I3" s="2265"/>
      <c r="J3" s="2265"/>
      <c r="K3" s="2265"/>
      <c r="L3" s="2265"/>
      <c r="M3" s="2265"/>
      <c r="N3" s="2265"/>
      <c r="O3" s="2265"/>
      <c r="P3" s="2265"/>
      <c r="Q3" s="2265"/>
      <c r="R3" s="2265"/>
      <c r="S3" s="2265"/>
      <c r="T3" s="2265"/>
      <c r="U3" s="2265"/>
      <c r="V3" s="2265"/>
      <c r="W3" s="2265"/>
      <c r="X3" s="2265"/>
      <c r="Y3" s="2265"/>
      <c r="Z3" s="2265"/>
      <c r="AA3" s="2265"/>
      <c r="AB3" s="2265"/>
      <c r="AC3" s="2265"/>
      <c r="AD3" s="2265"/>
      <c r="AE3" s="2265"/>
      <c r="AF3" s="2265"/>
      <c r="AG3" s="2265"/>
      <c r="AH3" s="2265"/>
    </row>
    <row r="4" spans="1:45" x14ac:dyDescent="0.2">
      <c r="L4" s="102">
        <v>3.8399999999999997E-2</v>
      </c>
    </row>
    <row r="5" spans="1:45" ht="38.25" customHeight="1" x14ac:dyDescent="0.2">
      <c r="A5" s="2266" t="s">
        <v>78</v>
      </c>
      <c r="B5" s="2266" t="s">
        <v>77</v>
      </c>
      <c r="C5" s="2256" t="s">
        <v>0</v>
      </c>
      <c r="D5" s="2256" t="s">
        <v>3</v>
      </c>
      <c r="E5" s="2256"/>
      <c r="F5" s="2256"/>
      <c r="G5" s="2256"/>
      <c r="H5" s="2256"/>
      <c r="I5" s="2256"/>
      <c r="J5" s="2256"/>
      <c r="K5" s="2256"/>
      <c r="L5" s="2256"/>
      <c r="M5" s="2256"/>
      <c r="N5" s="2256"/>
      <c r="O5" s="2256"/>
      <c r="P5" s="2256"/>
      <c r="Q5" s="2256"/>
      <c r="R5" s="2256"/>
      <c r="S5" s="2256"/>
      <c r="T5" s="2256"/>
      <c r="U5" s="2256"/>
      <c r="V5" s="2256"/>
      <c r="W5" s="2256"/>
      <c r="X5" s="2256" t="s">
        <v>4</v>
      </c>
      <c r="Y5" s="2256"/>
      <c r="Z5" s="2256"/>
      <c r="AA5" s="2256"/>
      <c r="AB5" s="2256"/>
      <c r="AC5" s="2256"/>
      <c r="AD5" s="2256"/>
      <c r="AE5" s="2256"/>
      <c r="AF5" s="2256"/>
      <c r="AG5" s="2256"/>
      <c r="AH5" s="2256"/>
    </row>
    <row r="6" spans="1:45" ht="60" customHeight="1" x14ac:dyDescent="0.2">
      <c r="A6" s="2266"/>
      <c r="B6" s="2266"/>
      <c r="C6" s="2256"/>
      <c r="D6" s="2259" t="s">
        <v>79</v>
      </c>
      <c r="E6" s="2259" t="s">
        <v>69</v>
      </c>
      <c r="F6" s="2259" t="s">
        <v>89</v>
      </c>
      <c r="G6" s="2259" t="s">
        <v>1</v>
      </c>
      <c r="H6" s="2259" t="s">
        <v>2</v>
      </c>
      <c r="I6" s="2259" t="s">
        <v>70</v>
      </c>
      <c r="J6" s="2259" t="s">
        <v>61</v>
      </c>
      <c r="K6" s="2259" t="s">
        <v>27</v>
      </c>
      <c r="L6" s="2261" t="s">
        <v>65</v>
      </c>
      <c r="M6" s="2261" t="s">
        <v>86</v>
      </c>
      <c r="N6" s="2262" t="s">
        <v>91</v>
      </c>
      <c r="O6" s="2262"/>
      <c r="P6" s="2262" t="s">
        <v>88</v>
      </c>
      <c r="Q6" s="2261" t="s">
        <v>82</v>
      </c>
      <c r="R6" s="2259" t="s">
        <v>83</v>
      </c>
      <c r="S6" s="2261" t="s">
        <v>87</v>
      </c>
      <c r="T6" s="2259" t="s">
        <v>84</v>
      </c>
      <c r="U6" s="2259" t="s">
        <v>9</v>
      </c>
      <c r="V6" s="2259" t="s">
        <v>7</v>
      </c>
      <c r="W6" s="2259" t="s">
        <v>85</v>
      </c>
      <c r="X6" s="2256" t="s">
        <v>10</v>
      </c>
      <c r="Y6" s="2256"/>
      <c r="Z6" s="2256"/>
      <c r="AA6" s="2256" t="s">
        <v>11</v>
      </c>
      <c r="AB6" s="2256"/>
      <c r="AC6" s="2256"/>
      <c r="AD6" s="2256" t="s">
        <v>12</v>
      </c>
      <c r="AE6" s="2256"/>
      <c r="AF6" s="2256"/>
      <c r="AG6" s="2256" t="s">
        <v>13</v>
      </c>
      <c r="AH6" s="2256" t="s">
        <v>73</v>
      </c>
    </row>
    <row r="7" spans="1:45" ht="97.5" customHeight="1" x14ac:dyDescent="0.2">
      <c r="A7" s="2266"/>
      <c r="B7" s="2266"/>
      <c r="C7" s="2256"/>
      <c r="D7" s="2259"/>
      <c r="E7" s="2259"/>
      <c r="F7" s="2259"/>
      <c r="G7" s="2259"/>
      <c r="H7" s="2259"/>
      <c r="I7" s="2259"/>
      <c r="J7" s="2259"/>
      <c r="K7" s="2259"/>
      <c r="L7" s="2261" t="s">
        <v>66</v>
      </c>
      <c r="M7" s="2261"/>
      <c r="N7" s="286" t="s">
        <v>80</v>
      </c>
      <c r="O7" s="286" t="s">
        <v>81</v>
      </c>
      <c r="P7" s="2262"/>
      <c r="Q7" s="2261"/>
      <c r="R7" s="2259"/>
      <c r="S7" s="2261" t="s">
        <v>67</v>
      </c>
      <c r="T7" s="2259"/>
      <c r="U7" s="2259"/>
      <c r="V7" s="2259"/>
      <c r="W7" s="2259"/>
      <c r="X7" s="285" t="s">
        <v>5</v>
      </c>
      <c r="Y7" s="285" t="s">
        <v>6</v>
      </c>
      <c r="Z7" s="285" t="s">
        <v>74</v>
      </c>
      <c r="AA7" s="285" t="s">
        <v>5</v>
      </c>
      <c r="AB7" s="285" t="s">
        <v>6</v>
      </c>
      <c r="AC7" s="285" t="s">
        <v>75</v>
      </c>
      <c r="AD7" s="285" t="s">
        <v>5</v>
      </c>
      <c r="AE7" s="285" t="s">
        <v>6</v>
      </c>
      <c r="AF7" s="285" t="s">
        <v>76</v>
      </c>
      <c r="AG7" s="2256"/>
      <c r="AH7" s="2256"/>
      <c r="AK7" s="98" t="s">
        <v>64</v>
      </c>
      <c r="AL7" s="98" t="s">
        <v>62</v>
      </c>
      <c r="AM7" s="98" t="s">
        <v>63</v>
      </c>
    </row>
    <row r="8" spans="1:45" x14ac:dyDescent="0.2">
      <c r="A8" s="284">
        <v>1</v>
      </c>
      <c r="B8" s="284">
        <v>2</v>
      </c>
      <c r="C8" s="284">
        <v>3</v>
      </c>
      <c r="D8" s="284">
        <v>4</v>
      </c>
      <c r="E8" s="284">
        <v>5</v>
      </c>
      <c r="F8" s="284">
        <v>6</v>
      </c>
      <c r="G8" s="284">
        <v>7</v>
      </c>
      <c r="H8" s="284">
        <v>8</v>
      </c>
      <c r="I8" s="284">
        <v>9</v>
      </c>
      <c r="J8" s="284">
        <v>10</v>
      </c>
      <c r="K8" s="284">
        <v>11</v>
      </c>
      <c r="L8" s="284">
        <v>12</v>
      </c>
      <c r="M8" s="284">
        <v>13</v>
      </c>
      <c r="N8" s="284">
        <v>14</v>
      </c>
      <c r="O8" s="284">
        <v>15</v>
      </c>
      <c r="P8" s="284">
        <v>16</v>
      </c>
      <c r="Q8" s="284">
        <v>17</v>
      </c>
      <c r="R8" s="284">
        <v>18</v>
      </c>
      <c r="S8" s="284">
        <v>19</v>
      </c>
      <c r="T8" s="284">
        <v>20</v>
      </c>
      <c r="U8" s="284">
        <v>21</v>
      </c>
      <c r="V8" s="284">
        <v>22</v>
      </c>
      <c r="W8" s="284">
        <v>23</v>
      </c>
      <c r="X8" s="284">
        <v>24</v>
      </c>
      <c r="Y8" s="284">
        <v>25</v>
      </c>
      <c r="Z8" s="284">
        <v>26</v>
      </c>
      <c r="AA8" s="284">
        <v>27</v>
      </c>
      <c r="AB8" s="284">
        <v>28</v>
      </c>
      <c r="AC8" s="284">
        <v>29</v>
      </c>
      <c r="AD8" s="284">
        <v>30</v>
      </c>
      <c r="AE8" s="284">
        <v>31</v>
      </c>
      <c r="AF8" s="284">
        <v>32</v>
      </c>
      <c r="AG8" s="284">
        <v>33</v>
      </c>
      <c r="AH8" s="284">
        <v>34</v>
      </c>
      <c r="AN8" s="43" t="s">
        <v>116</v>
      </c>
      <c r="AO8" s="43" t="s">
        <v>117</v>
      </c>
      <c r="AP8" s="43" t="s">
        <v>118</v>
      </c>
      <c r="AQ8" s="43" t="s">
        <v>119</v>
      </c>
    </row>
    <row r="9" spans="1:45" ht="16.5" customHeight="1" x14ac:dyDescent="0.2">
      <c r="A9" s="284">
        <v>1</v>
      </c>
      <c r="B9" s="106" t="s">
        <v>21</v>
      </c>
      <c r="C9" s="284">
        <v>1</v>
      </c>
      <c r="D9" s="107">
        <v>22.465</v>
      </c>
      <c r="E9" s="108">
        <f t="shared" ref="E9:E20" si="0">C9*D9</f>
        <v>22.47</v>
      </c>
      <c r="F9" s="109">
        <f t="shared" ref="F9:F19" si="1">E9*12</f>
        <v>269.60000000000002</v>
      </c>
      <c r="G9" s="110"/>
      <c r="H9" s="110"/>
      <c r="I9" s="110"/>
      <c r="J9" s="110"/>
      <c r="K9" s="95">
        <f>D9*0.2*5+D9*0.25*7</f>
        <v>61.8</v>
      </c>
      <c r="L9" s="95">
        <f>$L$4*F9</f>
        <v>10.4</v>
      </c>
      <c r="M9" s="95">
        <f t="shared" ref="M9:M19" si="2">F9+G9+H9+I9+J9+K9+L9</f>
        <v>341.8</v>
      </c>
      <c r="N9" s="111">
        <v>0.47</v>
      </c>
      <c r="O9" s="95">
        <f t="shared" ref="O9:O19" si="3">M9*N9</f>
        <v>160.6</v>
      </c>
      <c r="P9" s="95">
        <f t="shared" ref="P9:P19" si="4">M9+O9</f>
        <v>502.4</v>
      </c>
      <c r="Q9" s="95">
        <f t="shared" ref="Q9:Q19" si="5">P9*0.8</f>
        <v>401.9</v>
      </c>
      <c r="R9" s="95">
        <f t="shared" ref="R9:R19" si="6">P9*0.8</f>
        <v>401.9</v>
      </c>
      <c r="S9" s="95">
        <f t="shared" ref="S9:S19" si="7">(P9+Q9+R9)*0.032</f>
        <v>41.8</v>
      </c>
      <c r="T9" s="95">
        <f>P9+Q9+R9+S9</f>
        <v>1348</v>
      </c>
      <c r="U9" s="2257">
        <v>1</v>
      </c>
      <c r="V9" s="95">
        <f>T9*$U$9</f>
        <v>1348</v>
      </c>
      <c r="W9" s="95">
        <f>AQ9</f>
        <v>369.3</v>
      </c>
      <c r="X9" s="284">
        <v>1</v>
      </c>
      <c r="Y9" s="112">
        <v>30</v>
      </c>
      <c r="Z9" s="113">
        <f t="shared" ref="Z9:Z20" si="8">X9*Y9</f>
        <v>30</v>
      </c>
      <c r="AA9" s="284"/>
      <c r="AB9" s="112">
        <v>15</v>
      </c>
      <c r="AC9" s="113">
        <f t="shared" ref="AC9:AC20" si="9">AA9*AB9</f>
        <v>0</v>
      </c>
      <c r="AD9" s="284"/>
      <c r="AE9" s="112">
        <v>30</v>
      </c>
      <c r="AF9" s="113">
        <f>AD9*AE9</f>
        <v>0</v>
      </c>
      <c r="AG9" s="113">
        <f>(Z9+AC9+AF9)*1%*30</f>
        <v>9</v>
      </c>
      <c r="AH9" s="113">
        <f>Z9+AC9+AF9+AG9</f>
        <v>39</v>
      </c>
      <c r="AI9" s="114">
        <f t="shared" ref="AI9:AI19" si="10">V9/12/C9*1000</f>
        <v>112333.3</v>
      </c>
      <c r="AJ9" s="114"/>
      <c r="AK9" s="114">
        <f t="shared" ref="AK9:AK20" si="11">V9/C9</f>
        <v>1348</v>
      </c>
      <c r="AL9" s="114">
        <f>((979*0.302)+((AK9-979)*0.182))</f>
        <v>362.8</v>
      </c>
      <c r="AM9" s="115">
        <f>AL9/AK9</f>
        <v>0.26900000000000002</v>
      </c>
      <c r="AN9" s="50">
        <f>1150*0.22*C9+(V9-1150*C9)*0.1</f>
        <v>272.8</v>
      </c>
      <c r="AO9" s="116">
        <f>865*0.029</f>
        <v>25.1</v>
      </c>
      <c r="AP9" s="116">
        <f>AK9*0.053</f>
        <v>71.400000000000006</v>
      </c>
      <c r="AQ9" s="50">
        <f>SUM(AN9:AP9)</f>
        <v>369.3</v>
      </c>
      <c r="AS9" s="115"/>
    </row>
    <row r="10" spans="1:45" ht="15" x14ac:dyDescent="0.2">
      <c r="A10" s="284">
        <v>2</v>
      </c>
      <c r="B10" s="106" t="s">
        <v>125</v>
      </c>
      <c r="C10" s="284">
        <v>1</v>
      </c>
      <c r="D10" s="107">
        <v>17.972000000000001</v>
      </c>
      <c r="E10" s="108">
        <f t="shared" si="0"/>
        <v>17.97</v>
      </c>
      <c r="F10" s="109">
        <f t="shared" si="1"/>
        <v>215.6</v>
      </c>
      <c r="G10" s="110"/>
      <c r="H10" s="110"/>
      <c r="I10" s="110"/>
      <c r="J10" s="110"/>
      <c r="K10" s="95">
        <f>F10*0.3</f>
        <v>64.7</v>
      </c>
      <c r="L10" s="95">
        <f t="shared" ref="L10:L20" si="12">$L$4*F10</f>
        <v>8.3000000000000007</v>
      </c>
      <c r="M10" s="95">
        <f t="shared" si="2"/>
        <v>288.60000000000002</v>
      </c>
      <c r="N10" s="111">
        <v>0.47</v>
      </c>
      <c r="O10" s="95">
        <f t="shared" si="3"/>
        <v>135.6</v>
      </c>
      <c r="P10" s="95">
        <f t="shared" si="4"/>
        <v>424.2</v>
      </c>
      <c r="Q10" s="95">
        <f t="shared" si="5"/>
        <v>339.4</v>
      </c>
      <c r="R10" s="95">
        <f t="shared" si="6"/>
        <v>339.4</v>
      </c>
      <c r="S10" s="95">
        <f t="shared" si="7"/>
        <v>35.299999999999997</v>
      </c>
      <c r="T10" s="95">
        <f t="shared" ref="T10:T19" si="13">P10+Q10+R10+S10</f>
        <v>1138.3</v>
      </c>
      <c r="U10" s="2258"/>
      <c r="V10" s="95">
        <f>T10*$U$9</f>
        <v>1138.3</v>
      </c>
      <c r="W10" s="95">
        <f>AQ10</f>
        <v>337.2</v>
      </c>
      <c r="X10" s="284"/>
      <c r="Y10" s="112">
        <v>30</v>
      </c>
      <c r="Z10" s="113">
        <f t="shared" si="8"/>
        <v>0</v>
      </c>
      <c r="AA10" s="284"/>
      <c r="AB10" s="112">
        <v>15</v>
      </c>
      <c r="AC10" s="113">
        <f t="shared" si="9"/>
        <v>0</v>
      </c>
      <c r="AD10" s="284"/>
      <c r="AE10" s="112">
        <v>30</v>
      </c>
      <c r="AF10" s="113">
        <f t="shared" ref="AF10:AF20" si="14">AD10*AE10</f>
        <v>0</v>
      </c>
      <c r="AG10" s="113">
        <f t="shared" ref="AG10:AG20" si="15">(Z10+AC10+AF10)*1%*30</f>
        <v>0</v>
      </c>
      <c r="AH10" s="113">
        <f t="shared" ref="AH10:AH20" si="16">Z10+AC10+AF10+AG10</f>
        <v>0</v>
      </c>
      <c r="AI10" s="114">
        <f t="shared" si="10"/>
        <v>94858.3</v>
      </c>
      <c r="AJ10" s="114"/>
      <c r="AK10" s="114">
        <f t="shared" si="11"/>
        <v>1138.3</v>
      </c>
      <c r="AL10" s="114">
        <f t="shared" ref="AL10:AL20" si="17">((979*0.302)+((AK10-979)*0.182))</f>
        <v>324.7</v>
      </c>
      <c r="AM10" s="115">
        <f>AL10/AK10</f>
        <v>0.28499999999999998</v>
      </c>
      <c r="AN10" s="50">
        <f>1150*0.22*C10+(V10-1150*C10)*0.1</f>
        <v>251.8</v>
      </c>
      <c r="AO10" s="116">
        <f>865*0.029</f>
        <v>25.1</v>
      </c>
      <c r="AP10" s="116">
        <f>AK10*0.053</f>
        <v>60.3</v>
      </c>
      <c r="AQ10" s="50">
        <f>SUM(AN10:AP10)</f>
        <v>337.2</v>
      </c>
      <c r="AS10" s="115"/>
    </row>
    <row r="11" spans="1:45" ht="15" x14ac:dyDescent="0.2">
      <c r="A11" s="284">
        <v>3</v>
      </c>
      <c r="B11" s="117" t="s">
        <v>29</v>
      </c>
      <c r="C11" s="118">
        <v>1</v>
      </c>
      <c r="D11" s="107">
        <v>8.4730000000000008</v>
      </c>
      <c r="E11" s="119">
        <f t="shared" si="0"/>
        <v>8.4700000000000006</v>
      </c>
      <c r="F11" s="110">
        <f t="shared" si="1"/>
        <v>101.6</v>
      </c>
      <c r="G11" s="110"/>
      <c r="H11" s="110"/>
      <c r="I11" s="110"/>
      <c r="J11" s="110"/>
      <c r="K11" s="95"/>
      <c r="L11" s="95">
        <f t="shared" si="12"/>
        <v>3.9</v>
      </c>
      <c r="M11" s="95">
        <f t="shared" si="2"/>
        <v>105.5</v>
      </c>
      <c r="N11" s="111">
        <v>0.41</v>
      </c>
      <c r="O11" s="95">
        <f t="shared" si="3"/>
        <v>43.3</v>
      </c>
      <c r="P11" s="95">
        <f t="shared" si="4"/>
        <v>148.80000000000001</v>
      </c>
      <c r="Q11" s="95">
        <f t="shared" si="5"/>
        <v>119</v>
      </c>
      <c r="R11" s="95">
        <f t="shared" si="6"/>
        <v>119</v>
      </c>
      <c r="S11" s="95">
        <f t="shared" si="7"/>
        <v>12.4</v>
      </c>
      <c r="T11" s="95">
        <f t="shared" si="13"/>
        <v>399.2</v>
      </c>
      <c r="U11" s="2258"/>
      <c r="V11" s="95">
        <f t="shared" ref="V11:V19" si="18">T11*$U$9</f>
        <v>399.2</v>
      </c>
      <c r="W11" s="95">
        <f t="shared" ref="W11:W20" si="19">V11*0.302</f>
        <v>120.6</v>
      </c>
      <c r="X11" s="120"/>
      <c r="Y11" s="112">
        <v>30</v>
      </c>
      <c r="Z11" s="113">
        <f t="shared" si="8"/>
        <v>0</v>
      </c>
      <c r="AA11" s="120"/>
      <c r="AB11" s="112">
        <v>15</v>
      </c>
      <c r="AC11" s="113">
        <f t="shared" si="9"/>
        <v>0</v>
      </c>
      <c r="AD11" s="120"/>
      <c r="AE11" s="112">
        <v>30</v>
      </c>
      <c r="AF11" s="113">
        <f t="shared" si="14"/>
        <v>0</v>
      </c>
      <c r="AG11" s="113">
        <f t="shared" si="15"/>
        <v>0</v>
      </c>
      <c r="AH11" s="113">
        <f t="shared" si="16"/>
        <v>0</v>
      </c>
      <c r="AI11" s="114">
        <f t="shared" si="10"/>
        <v>33266.699999999997</v>
      </c>
      <c r="AJ11" s="114"/>
      <c r="AK11" s="114">
        <f t="shared" si="11"/>
        <v>399.2</v>
      </c>
      <c r="AL11" s="114">
        <f t="shared" si="17"/>
        <v>190.1</v>
      </c>
      <c r="AM11" s="115">
        <v>0.30199999999999999</v>
      </c>
      <c r="AN11" s="116"/>
      <c r="AO11" s="116"/>
      <c r="AP11" s="116"/>
      <c r="AQ11" s="116"/>
      <c r="AS11" s="115"/>
    </row>
    <row r="12" spans="1:45" s="126" customFormat="1" ht="25.5" x14ac:dyDescent="0.2">
      <c r="A12" s="284">
        <v>4</v>
      </c>
      <c r="B12" s="121" t="s">
        <v>31</v>
      </c>
      <c r="C12" s="122">
        <v>1</v>
      </c>
      <c r="D12" s="107">
        <v>11.061999999999999</v>
      </c>
      <c r="E12" s="123">
        <f t="shared" si="0"/>
        <v>11.06</v>
      </c>
      <c r="F12" s="124">
        <f t="shared" si="1"/>
        <v>132.69999999999999</v>
      </c>
      <c r="G12" s="124"/>
      <c r="H12" s="124"/>
      <c r="I12" s="124"/>
      <c r="J12" s="125"/>
      <c r="K12" s="96"/>
      <c r="L12" s="95">
        <f t="shared" si="12"/>
        <v>5.0999999999999996</v>
      </c>
      <c r="M12" s="96">
        <f t="shared" si="2"/>
        <v>137.80000000000001</v>
      </c>
      <c r="N12" s="111">
        <v>0.47</v>
      </c>
      <c r="O12" s="96">
        <f t="shared" si="3"/>
        <v>64.8</v>
      </c>
      <c r="P12" s="96">
        <f t="shared" si="4"/>
        <v>202.6</v>
      </c>
      <c r="Q12" s="96">
        <f t="shared" si="5"/>
        <v>162.1</v>
      </c>
      <c r="R12" s="96">
        <f t="shared" si="6"/>
        <v>162.1</v>
      </c>
      <c r="S12" s="96">
        <f t="shared" si="7"/>
        <v>16.899999999999999</v>
      </c>
      <c r="T12" s="96">
        <f t="shared" si="13"/>
        <v>543.70000000000005</v>
      </c>
      <c r="U12" s="2258"/>
      <c r="V12" s="96">
        <f t="shared" si="18"/>
        <v>543.70000000000005</v>
      </c>
      <c r="W12" s="95">
        <f t="shared" si="19"/>
        <v>164.2</v>
      </c>
      <c r="X12" s="122">
        <v>1</v>
      </c>
      <c r="Y12" s="112">
        <v>30</v>
      </c>
      <c r="Z12" s="113">
        <f t="shared" si="8"/>
        <v>30</v>
      </c>
      <c r="AA12" s="122"/>
      <c r="AB12" s="112">
        <v>15</v>
      </c>
      <c r="AC12" s="113">
        <f t="shared" si="9"/>
        <v>0</v>
      </c>
      <c r="AD12" s="122"/>
      <c r="AE12" s="112">
        <v>30</v>
      </c>
      <c r="AF12" s="113">
        <f t="shared" si="14"/>
        <v>0</v>
      </c>
      <c r="AG12" s="113">
        <f t="shared" si="15"/>
        <v>9</v>
      </c>
      <c r="AH12" s="113">
        <f t="shared" si="16"/>
        <v>39</v>
      </c>
      <c r="AI12" s="114">
        <f t="shared" si="10"/>
        <v>45308.3</v>
      </c>
      <c r="AJ12" s="114"/>
      <c r="AK12" s="114">
        <f t="shared" si="11"/>
        <v>543.70000000000005</v>
      </c>
      <c r="AL12" s="114">
        <f t="shared" si="17"/>
        <v>216.4</v>
      </c>
      <c r="AM12" s="115">
        <v>0.30199999999999999</v>
      </c>
      <c r="AN12" s="22"/>
      <c r="AO12" s="116"/>
      <c r="AP12" s="116"/>
      <c r="AQ12" s="116"/>
      <c r="AS12" s="115"/>
    </row>
    <row r="13" spans="1:45" ht="25.5" x14ac:dyDescent="0.2">
      <c r="A13" s="284">
        <v>5</v>
      </c>
      <c r="B13" s="117" t="s">
        <v>108</v>
      </c>
      <c r="C13" s="127">
        <v>2</v>
      </c>
      <c r="D13" s="107">
        <v>8.4730000000000008</v>
      </c>
      <c r="E13" s="119">
        <f t="shared" si="0"/>
        <v>16.95</v>
      </c>
      <c r="F13" s="110">
        <f t="shared" si="1"/>
        <v>203.4</v>
      </c>
      <c r="G13" s="110"/>
      <c r="H13" s="110"/>
      <c r="I13" s="110"/>
      <c r="J13" s="110"/>
      <c r="K13" s="95">
        <f>F13*0.25</f>
        <v>50.9</v>
      </c>
      <c r="L13" s="95">
        <f t="shared" si="12"/>
        <v>7.8</v>
      </c>
      <c r="M13" s="95">
        <f t="shared" si="2"/>
        <v>262.10000000000002</v>
      </c>
      <c r="N13" s="111">
        <v>0.47</v>
      </c>
      <c r="O13" s="95">
        <f t="shared" si="3"/>
        <v>123.2</v>
      </c>
      <c r="P13" s="95">
        <f t="shared" si="4"/>
        <v>385.3</v>
      </c>
      <c r="Q13" s="95">
        <f t="shared" si="5"/>
        <v>308.2</v>
      </c>
      <c r="R13" s="95">
        <f t="shared" si="6"/>
        <v>308.2</v>
      </c>
      <c r="S13" s="95">
        <f t="shared" si="7"/>
        <v>32.1</v>
      </c>
      <c r="T13" s="95">
        <f t="shared" si="13"/>
        <v>1033.8</v>
      </c>
      <c r="U13" s="2258"/>
      <c r="V13" s="95">
        <f>T13*$U$9</f>
        <v>1033.8</v>
      </c>
      <c r="W13" s="95">
        <f t="shared" si="19"/>
        <v>312.2</v>
      </c>
      <c r="X13" s="284">
        <v>1</v>
      </c>
      <c r="Y13" s="112">
        <v>30</v>
      </c>
      <c r="Z13" s="113">
        <f t="shared" si="8"/>
        <v>30</v>
      </c>
      <c r="AA13" s="127">
        <v>1</v>
      </c>
      <c r="AB13" s="112">
        <v>15</v>
      </c>
      <c r="AC13" s="113">
        <f t="shared" si="9"/>
        <v>15</v>
      </c>
      <c r="AD13" s="127"/>
      <c r="AE13" s="112">
        <v>30</v>
      </c>
      <c r="AF13" s="113">
        <f t="shared" si="14"/>
        <v>0</v>
      </c>
      <c r="AG13" s="113">
        <f t="shared" si="15"/>
        <v>13.5</v>
      </c>
      <c r="AH13" s="113">
        <f t="shared" si="16"/>
        <v>58.5</v>
      </c>
      <c r="AI13" s="114">
        <f t="shared" si="10"/>
        <v>43075</v>
      </c>
      <c r="AJ13" s="114"/>
      <c r="AK13" s="114">
        <f t="shared" si="11"/>
        <v>516.9</v>
      </c>
      <c r="AL13" s="114">
        <f t="shared" si="17"/>
        <v>211.6</v>
      </c>
      <c r="AM13" s="115">
        <v>0.30199999999999999</v>
      </c>
      <c r="AQ13" s="116"/>
      <c r="AS13" s="115"/>
    </row>
    <row r="14" spans="1:45" ht="15" x14ac:dyDescent="0.2">
      <c r="A14" s="284">
        <v>6</v>
      </c>
      <c r="B14" s="117" t="s">
        <v>32</v>
      </c>
      <c r="C14" s="128">
        <v>1</v>
      </c>
      <c r="D14" s="107">
        <v>11.061999999999999</v>
      </c>
      <c r="E14" s="119">
        <f t="shared" si="0"/>
        <v>11.06</v>
      </c>
      <c r="F14" s="110">
        <f t="shared" si="1"/>
        <v>132.69999999999999</v>
      </c>
      <c r="G14" s="110"/>
      <c r="H14" s="110"/>
      <c r="I14" s="110"/>
      <c r="J14" s="110"/>
      <c r="K14" s="95"/>
      <c r="L14" s="95">
        <f t="shared" si="12"/>
        <v>5.0999999999999996</v>
      </c>
      <c r="M14" s="95">
        <f t="shared" si="2"/>
        <v>137.80000000000001</v>
      </c>
      <c r="N14" s="111">
        <v>0.43</v>
      </c>
      <c r="O14" s="95">
        <f t="shared" si="3"/>
        <v>59.3</v>
      </c>
      <c r="P14" s="95">
        <f t="shared" si="4"/>
        <v>197.1</v>
      </c>
      <c r="Q14" s="95">
        <f t="shared" si="5"/>
        <v>157.69999999999999</v>
      </c>
      <c r="R14" s="95">
        <f t="shared" si="6"/>
        <v>157.69999999999999</v>
      </c>
      <c r="S14" s="95">
        <f t="shared" si="7"/>
        <v>16.399999999999999</v>
      </c>
      <c r="T14" s="95">
        <f t="shared" si="13"/>
        <v>528.9</v>
      </c>
      <c r="U14" s="2258"/>
      <c r="V14" s="95">
        <f t="shared" si="18"/>
        <v>528.9</v>
      </c>
      <c r="W14" s="95">
        <f t="shared" si="19"/>
        <v>159.69999999999999</v>
      </c>
      <c r="X14" s="284">
        <v>1</v>
      </c>
      <c r="Y14" s="112">
        <v>30</v>
      </c>
      <c r="Z14" s="113">
        <f t="shared" si="8"/>
        <v>30</v>
      </c>
      <c r="AA14" s="127"/>
      <c r="AB14" s="112">
        <v>15</v>
      </c>
      <c r="AC14" s="113">
        <f t="shared" si="9"/>
        <v>0</v>
      </c>
      <c r="AD14" s="127"/>
      <c r="AE14" s="112">
        <v>30</v>
      </c>
      <c r="AF14" s="113">
        <f t="shared" si="14"/>
        <v>0</v>
      </c>
      <c r="AG14" s="113">
        <f t="shared" si="15"/>
        <v>9</v>
      </c>
      <c r="AH14" s="113">
        <f t="shared" si="16"/>
        <v>39</v>
      </c>
      <c r="AI14" s="114">
        <f t="shared" si="10"/>
        <v>44075</v>
      </c>
      <c r="AJ14" s="114"/>
      <c r="AK14" s="114">
        <f t="shared" si="11"/>
        <v>528.9</v>
      </c>
      <c r="AL14" s="114">
        <f t="shared" si="17"/>
        <v>213.7</v>
      </c>
      <c r="AM14" s="115">
        <v>0.30199999999999999</v>
      </c>
      <c r="AO14" s="116"/>
      <c r="AP14" s="116"/>
      <c r="AQ14" s="116"/>
      <c r="AS14" s="115"/>
    </row>
    <row r="15" spans="1:45" x14ac:dyDescent="0.2">
      <c r="A15" s="284">
        <v>7</v>
      </c>
      <c r="B15" s="129" t="s">
        <v>23</v>
      </c>
      <c r="C15" s="128">
        <v>1</v>
      </c>
      <c r="D15" s="107">
        <v>11.061999999999999</v>
      </c>
      <c r="E15" s="119">
        <f t="shared" si="0"/>
        <v>11.06</v>
      </c>
      <c r="F15" s="110">
        <f t="shared" si="1"/>
        <v>132.69999999999999</v>
      </c>
      <c r="G15" s="110"/>
      <c r="H15" s="110"/>
      <c r="I15" s="110"/>
      <c r="J15" s="110"/>
      <c r="K15" s="95">
        <f>D15*0.3*9+D15*0.35*3</f>
        <v>41.5</v>
      </c>
      <c r="L15" s="95">
        <f t="shared" si="12"/>
        <v>5.0999999999999996</v>
      </c>
      <c r="M15" s="95">
        <f t="shared" si="2"/>
        <v>179.3</v>
      </c>
      <c r="N15" s="111">
        <v>0.43</v>
      </c>
      <c r="O15" s="95">
        <f t="shared" si="3"/>
        <v>77.099999999999994</v>
      </c>
      <c r="P15" s="95">
        <f t="shared" si="4"/>
        <v>256.39999999999998</v>
      </c>
      <c r="Q15" s="95">
        <f t="shared" si="5"/>
        <v>205.1</v>
      </c>
      <c r="R15" s="95">
        <f t="shared" si="6"/>
        <v>205.1</v>
      </c>
      <c r="S15" s="95">
        <f t="shared" si="7"/>
        <v>21.3</v>
      </c>
      <c r="T15" s="95">
        <f t="shared" si="13"/>
        <v>687.9</v>
      </c>
      <c r="U15" s="2258"/>
      <c r="V15" s="95">
        <f t="shared" si="18"/>
        <v>687.9</v>
      </c>
      <c r="W15" s="95">
        <f t="shared" si="19"/>
        <v>207.7</v>
      </c>
      <c r="X15" s="118"/>
      <c r="Y15" s="112">
        <v>30</v>
      </c>
      <c r="Z15" s="113">
        <f t="shared" si="8"/>
        <v>0</v>
      </c>
      <c r="AA15" s="118"/>
      <c r="AB15" s="112">
        <v>15</v>
      </c>
      <c r="AC15" s="113">
        <f t="shared" si="9"/>
        <v>0</v>
      </c>
      <c r="AD15" s="118"/>
      <c r="AE15" s="112">
        <v>30</v>
      </c>
      <c r="AF15" s="113">
        <f t="shared" si="14"/>
        <v>0</v>
      </c>
      <c r="AG15" s="113">
        <f t="shared" si="15"/>
        <v>0</v>
      </c>
      <c r="AH15" s="113">
        <f t="shared" si="16"/>
        <v>0</v>
      </c>
      <c r="AI15" s="114">
        <f t="shared" si="10"/>
        <v>57325</v>
      </c>
      <c r="AJ15" s="114"/>
      <c r="AK15" s="114">
        <f t="shared" si="11"/>
        <v>687.9</v>
      </c>
      <c r="AL15" s="114">
        <f t="shared" si="17"/>
        <v>242.7</v>
      </c>
      <c r="AM15" s="115">
        <v>0.30199999999999999</v>
      </c>
      <c r="AS15" s="115"/>
    </row>
    <row r="16" spans="1:45" ht="15" x14ac:dyDescent="0.2">
      <c r="A16" s="284">
        <v>8</v>
      </c>
      <c r="B16" s="129" t="s">
        <v>33</v>
      </c>
      <c r="C16" s="128">
        <v>2</v>
      </c>
      <c r="D16" s="107">
        <v>8.4730000000000008</v>
      </c>
      <c r="E16" s="119">
        <f t="shared" si="0"/>
        <v>16.95</v>
      </c>
      <c r="F16" s="110">
        <f t="shared" si="1"/>
        <v>203.4</v>
      </c>
      <c r="G16" s="124">
        <f>29314.2/1000</f>
        <v>29.3</v>
      </c>
      <c r="H16" s="110">
        <f>9637.5/1000</f>
        <v>9.6</v>
      </c>
      <c r="I16" s="110"/>
      <c r="J16" s="110"/>
      <c r="K16" s="95">
        <f>D16*0.25*10+D16*0.3*2+F16*0.35</f>
        <v>97.5</v>
      </c>
      <c r="L16" s="95">
        <f t="shared" si="12"/>
        <v>7.8</v>
      </c>
      <c r="M16" s="95">
        <f t="shared" si="2"/>
        <v>347.6</v>
      </c>
      <c r="N16" s="111">
        <v>0.41</v>
      </c>
      <c r="O16" s="95">
        <f t="shared" si="3"/>
        <v>142.5</v>
      </c>
      <c r="P16" s="95">
        <f t="shared" si="4"/>
        <v>490.1</v>
      </c>
      <c r="Q16" s="95">
        <f t="shared" si="5"/>
        <v>392.1</v>
      </c>
      <c r="R16" s="95">
        <f t="shared" si="6"/>
        <v>392.1</v>
      </c>
      <c r="S16" s="95">
        <f t="shared" si="7"/>
        <v>40.799999999999997</v>
      </c>
      <c r="T16" s="95">
        <f t="shared" si="13"/>
        <v>1315.1</v>
      </c>
      <c r="U16" s="2258"/>
      <c r="V16" s="95">
        <f t="shared" si="18"/>
        <v>1315.1</v>
      </c>
      <c r="W16" s="95">
        <f t="shared" si="19"/>
        <v>397.2</v>
      </c>
      <c r="X16" s="118">
        <v>1</v>
      </c>
      <c r="Y16" s="112">
        <v>30</v>
      </c>
      <c r="Z16" s="113">
        <f t="shared" si="8"/>
        <v>30</v>
      </c>
      <c r="AA16" s="118"/>
      <c r="AB16" s="112">
        <v>15</v>
      </c>
      <c r="AC16" s="113">
        <f t="shared" si="9"/>
        <v>0</v>
      </c>
      <c r="AD16" s="118"/>
      <c r="AE16" s="112">
        <v>30</v>
      </c>
      <c r="AF16" s="113">
        <f t="shared" si="14"/>
        <v>0</v>
      </c>
      <c r="AG16" s="113">
        <f t="shared" si="15"/>
        <v>9</v>
      </c>
      <c r="AH16" s="113">
        <f t="shared" si="16"/>
        <v>39</v>
      </c>
      <c r="AI16" s="114">
        <f t="shared" si="10"/>
        <v>54795.8</v>
      </c>
      <c r="AJ16" s="114"/>
      <c r="AK16" s="114">
        <f t="shared" si="11"/>
        <v>657.6</v>
      </c>
      <c r="AL16" s="114">
        <f t="shared" si="17"/>
        <v>237.2</v>
      </c>
      <c r="AM16" s="115">
        <v>0.30199999999999999</v>
      </c>
      <c r="AO16" s="116"/>
      <c r="AP16" s="116"/>
      <c r="AQ16" s="116"/>
      <c r="AS16" s="115"/>
    </row>
    <row r="17" spans="1:45" ht="51" x14ac:dyDescent="0.2">
      <c r="A17" s="284">
        <v>9</v>
      </c>
      <c r="B17" s="117" t="s">
        <v>103</v>
      </c>
      <c r="C17" s="128">
        <v>1</v>
      </c>
      <c r="D17" s="107">
        <v>4.4569999999999999</v>
      </c>
      <c r="E17" s="119">
        <f t="shared" si="0"/>
        <v>4.46</v>
      </c>
      <c r="F17" s="110">
        <f t="shared" si="1"/>
        <v>53.5</v>
      </c>
      <c r="G17" s="110"/>
      <c r="H17" s="110"/>
      <c r="I17" s="110"/>
      <c r="J17" s="110"/>
      <c r="K17" s="95"/>
      <c r="L17" s="95">
        <f t="shared" si="12"/>
        <v>2.1</v>
      </c>
      <c r="M17" s="95">
        <f t="shared" si="2"/>
        <v>55.6</v>
      </c>
      <c r="N17" s="111">
        <v>0.61</v>
      </c>
      <c r="O17" s="95">
        <f t="shared" si="3"/>
        <v>33.9</v>
      </c>
      <c r="P17" s="95">
        <f t="shared" si="4"/>
        <v>89.5</v>
      </c>
      <c r="Q17" s="95">
        <f t="shared" si="5"/>
        <v>71.599999999999994</v>
      </c>
      <c r="R17" s="95">
        <f t="shared" si="6"/>
        <v>71.599999999999994</v>
      </c>
      <c r="S17" s="95">
        <f t="shared" si="7"/>
        <v>7.4</v>
      </c>
      <c r="T17" s="95">
        <f t="shared" si="13"/>
        <v>240.1</v>
      </c>
      <c r="U17" s="2258"/>
      <c r="V17" s="95">
        <f>T17*$U$9</f>
        <v>240.1</v>
      </c>
      <c r="W17" s="95">
        <f t="shared" si="19"/>
        <v>72.5</v>
      </c>
      <c r="X17" s="118"/>
      <c r="Y17" s="112">
        <v>30</v>
      </c>
      <c r="Z17" s="113">
        <f t="shared" si="8"/>
        <v>0</v>
      </c>
      <c r="AA17" s="118"/>
      <c r="AB17" s="112">
        <v>15</v>
      </c>
      <c r="AC17" s="113">
        <f t="shared" si="9"/>
        <v>0</v>
      </c>
      <c r="AD17" s="118"/>
      <c r="AE17" s="112">
        <v>30</v>
      </c>
      <c r="AF17" s="113">
        <f t="shared" si="14"/>
        <v>0</v>
      </c>
      <c r="AG17" s="113">
        <f t="shared" si="15"/>
        <v>0</v>
      </c>
      <c r="AH17" s="113">
        <f t="shared" si="16"/>
        <v>0</v>
      </c>
      <c r="AI17" s="114">
        <f t="shared" si="10"/>
        <v>20008.3</v>
      </c>
      <c r="AJ17" s="114"/>
      <c r="AK17" s="114">
        <f t="shared" si="11"/>
        <v>240.1</v>
      </c>
      <c r="AL17" s="114">
        <f t="shared" si="17"/>
        <v>161.19999999999999</v>
      </c>
      <c r="AM17" s="115">
        <v>0.30199999999999999</v>
      </c>
      <c r="AN17" s="130"/>
      <c r="AO17" s="130"/>
      <c r="AP17" s="130"/>
      <c r="AS17" s="115"/>
    </row>
    <row r="18" spans="1:45" s="126" customFormat="1" ht="25.5" x14ac:dyDescent="0.2">
      <c r="A18" s="284">
        <v>10</v>
      </c>
      <c r="B18" s="129" t="s">
        <v>34</v>
      </c>
      <c r="C18" s="122">
        <v>3</v>
      </c>
      <c r="D18" s="107">
        <v>7.1950000000000003</v>
      </c>
      <c r="E18" s="123">
        <f t="shared" si="0"/>
        <v>21.59</v>
      </c>
      <c r="F18" s="124">
        <f t="shared" si="1"/>
        <v>259.10000000000002</v>
      </c>
      <c r="G18" s="124">
        <f>44329.4/1000</f>
        <v>44.3</v>
      </c>
      <c r="H18" s="124">
        <f>16367.8/1000</f>
        <v>16.399999999999999</v>
      </c>
      <c r="I18" s="124"/>
      <c r="J18" s="125"/>
      <c r="K18" s="96"/>
      <c r="L18" s="95">
        <f t="shared" si="12"/>
        <v>9.9</v>
      </c>
      <c r="M18" s="96">
        <f t="shared" si="2"/>
        <v>329.7</v>
      </c>
      <c r="N18" s="111">
        <v>0.41</v>
      </c>
      <c r="O18" s="96">
        <f t="shared" si="3"/>
        <v>135.19999999999999</v>
      </c>
      <c r="P18" s="96">
        <f t="shared" si="4"/>
        <v>464.9</v>
      </c>
      <c r="Q18" s="96">
        <f t="shared" si="5"/>
        <v>371.9</v>
      </c>
      <c r="R18" s="96">
        <f t="shared" si="6"/>
        <v>371.9</v>
      </c>
      <c r="S18" s="96">
        <f t="shared" si="7"/>
        <v>38.700000000000003</v>
      </c>
      <c r="T18" s="96">
        <f t="shared" si="13"/>
        <v>1247.4000000000001</v>
      </c>
      <c r="U18" s="2258"/>
      <c r="V18" s="96">
        <f t="shared" si="18"/>
        <v>1247.4000000000001</v>
      </c>
      <c r="W18" s="95">
        <f t="shared" si="19"/>
        <v>376.7</v>
      </c>
      <c r="X18" s="284">
        <v>1</v>
      </c>
      <c r="Y18" s="112">
        <v>30</v>
      </c>
      <c r="Z18" s="113">
        <f t="shared" si="8"/>
        <v>30</v>
      </c>
      <c r="AA18" s="284"/>
      <c r="AB18" s="112">
        <v>15</v>
      </c>
      <c r="AC18" s="113">
        <f t="shared" si="9"/>
        <v>0</v>
      </c>
      <c r="AD18" s="284"/>
      <c r="AE18" s="112">
        <v>30</v>
      </c>
      <c r="AF18" s="113">
        <f t="shared" si="14"/>
        <v>0</v>
      </c>
      <c r="AG18" s="113">
        <f t="shared" si="15"/>
        <v>9</v>
      </c>
      <c r="AH18" s="113">
        <f t="shared" si="16"/>
        <v>39</v>
      </c>
      <c r="AI18" s="114">
        <f t="shared" si="10"/>
        <v>34650</v>
      </c>
      <c r="AJ18" s="114"/>
      <c r="AK18" s="114">
        <f t="shared" si="11"/>
        <v>415.8</v>
      </c>
      <c r="AL18" s="114">
        <f t="shared" si="17"/>
        <v>193.2</v>
      </c>
      <c r="AM18" s="115">
        <v>0.30199999999999999</v>
      </c>
      <c r="AN18" s="130"/>
      <c r="AO18" s="130"/>
      <c r="AP18" s="130"/>
      <c r="AQ18" s="22"/>
      <c r="AS18" s="115"/>
    </row>
    <row r="19" spans="1:45" s="126" customFormat="1" x14ac:dyDescent="0.2">
      <c r="A19" s="284">
        <v>11</v>
      </c>
      <c r="B19" s="129" t="s">
        <v>35</v>
      </c>
      <c r="C19" s="122">
        <v>1</v>
      </c>
      <c r="D19" s="107">
        <v>4.4569999999999999</v>
      </c>
      <c r="E19" s="123">
        <f t="shared" si="0"/>
        <v>4.46</v>
      </c>
      <c r="F19" s="124">
        <f t="shared" si="1"/>
        <v>53.5</v>
      </c>
      <c r="G19" s="124"/>
      <c r="H19" s="124"/>
      <c r="I19" s="124"/>
      <c r="J19" s="125"/>
      <c r="K19" s="96"/>
      <c r="L19" s="95">
        <f t="shared" si="12"/>
        <v>2.1</v>
      </c>
      <c r="M19" s="96">
        <f t="shared" si="2"/>
        <v>55.6</v>
      </c>
      <c r="N19" s="111">
        <v>0.61</v>
      </c>
      <c r="O19" s="96">
        <f t="shared" si="3"/>
        <v>33.9</v>
      </c>
      <c r="P19" s="96">
        <f t="shared" si="4"/>
        <v>89.5</v>
      </c>
      <c r="Q19" s="96">
        <f t="shared" si="5"/>
        <v>71.599999999999994</v>
      </c>
      <c r="R19" s="96">
        <f t="shared" si="6"/>
        <v>71.599999999999994</v>
      </c>
      <c r="S19" s="96">
        <f t="shared" si="7"/>
        <v>7.4</v>
      </c>
      <c r="T19" s="96">
        <f t="shared" si="13"/>
        <v>240.1</v>
      </c>
      <c r="U19" s="2258"/>
      <c r="V19" s="96">
        <f t="shared" si="18"/>
        <v>240.1</v>
      </c>
      <c r="W19" s="95">
        <f t="shared" si="19"/>
        <v>72.5</v>
      </c>
      <c r="X19" s="284"/>
      <c r="Y19" s="112">
        <v>30</v>
      </c>
      <c r="Z19" s="113">
        <f t="shared" si="8"/>
        <v>0</v>
      </c>
      <c r="AA19" s="284"/>
      <c r="AB19" s="112">
        <v>15</v>
      </c>
      <c r="AC19" s="113">
        <f t="shared" si="9"/>
        <v>0</v>
      </c>
      <c r="AD19" s="284"/>
      <c r="AE19" s="112">
        <v>30</v>
      </c>
      <c r="AF19" s="113">
        <f t="shared" si="14"/>
        <v>0</v>
      </c>
      <c r="AG19" s="113">
        <f t="shared" si="15"/>
        <v>0</v>
      </c>
      <c r="AH19" s="113">
        <f t="shared" si="16"/>
        <v>0</v>
      </c>
      <c r="AI19" s="114">
        <f t="shared" si="10"/>
        <v>20008.3</v>
      </c>
      <c r="AJ19" s="114"/>
      <c r="AK19" s="114">
        <f t="shared" si="11"/>
        <v>240.1</v>
      </c>
      <c r="AL19" s="114">
        <f t="shared" si="17"/>
        <v>161.19999999999999</v>
      </c>
      <c r="AM19" s="115">
        <v>0.30199999999999999</v>
      </c>
      <c r="AN19" s="130"/>
      <c r="AO19" s="130"/>
      <c r="AP19" s="130"/>
      <c r="AQ19" s="22"/>
      <c r="AS19" s="115"/>
    </row>
    <row r="20" spans="1:45" s="126" customFormat="1" x14ac:dyDescent="0.2">
      <c r="A20" s="284">
        <v>12</v>
      </c>
      <c r="B20" s="129" t="s">
        <v>25</v>
      </c>
      <c r="C20" s="125">
        <v>0.5</v>
      </c>
      <c r="D20" s="107">
        <v>4.3109999999999999</v>
      </c>
      <c r="E20" s="123">
        <f t="shared" si="0"/>
        <v>2.16</v>
      </c>
      <c r="F20" s="124">
        <f>E20*12</f>
        <v>25.9</v>
      </c>
      <c r="G20" s="124">
        <f>5056.7/1000</f>
        <v>5.0999999999999996</v>
      </c>
      <c r="H20" s="124">
        <f>437.8/1000</f>
        <v>0.4</v>
      </c>
      <c r="I20" s="124"/>
      <c r="J20" s="125"/>
      <c r="K20" s="96"/>
      <c r="L20" s="95">
        <f t="shared" si="12"/>
        <v>1</v>
      </c>
      <c r="M20" s="96">
        <f>F20+G20+H20+I20+J20+K20+L20</f>
        <v>32.4</v>
      </c>
      <c r="N20" s="111">
        <v>0.75</v>
      </c>
      <c r="O20" s="96">
        <f>M20*N20</f>
        <v>24.3</v>
      </c>
      <c r="P20" s="96">
        <f>M20+O20</f>
        <v>56.7</v>
      </c>
      <c r="Q20" s="96">
        <f>P20*0.8</f>
        <v>45.4</v>
      </c>
      <c r="R20" s="96">
        <f>P20*0.8</f>
        <v>45.4</v>
      </c>
      <c r="S20" s="96">
        <f>(P20+Q20+R20)*0.032</f>
        <v>4.7</v>
      </c>
      <c r="T20" s="96">
        <f>P20+Q20+R20+S20</f>
        <v>152.19999999999999</v>
      </c>
      <c r="U20" s="2258"/>
      <c r="V20" s="96">
        <f>T20*$U$9</f>
        <v>152.19999999999999</v>
      </c>
      <c r="W20" s="95">
        <f t="shared" si="19"/>
        <v>46</v>
      </c>
      <c r="X20" s="284"/>
      <c r="Y20" s="112">
        <v>30</v>
      </c>
      <c r="Z20" s="113">
        <f t="shared" si="8"/>
        <v>0</v>
      </c>
      <c r="AA20" s="284"/>
      <c r="AB20" s="112">
        <v>15</v>
      </c>
      <c r="AC20" s="113">
        <f t="shared" si="9"/>
        <v>0</v>
      </c>
      <c r="AD20" s="284"/>
      <c r="AE20" s="112">
        <v>30</v>
      </c>
      <c r="AF20" s="113">
        <f t="shared" si="14"/>
        <v>0</v>
      </c>
      <c r="AG20" s="113">
        <f t="shared" si="15"/>
        <v>0</v>
      </c>
      <c r="AH20" s="113">
        <f t="shared" si="16"/>
        <v>0</v>
      </c>
      <c r="AI20" s="114">
        <f>V20/12*1000</f>
        <v>12683.3</v>
      </c>
      <c r="AJ20" s="114"/>
      <c r="AK20" s="114">
        <f t="shared" si="11"/>
        <v>304.39999999999998</v>
      </c>
      <c r="AL20" s="114">
        <f t="shared" si="17"/>
        <v>172.9</v>
      </c>
      <c r="AM20" s="115">
        <v>0.30199999999999999</v>
      </c>
      <c r="AN20" s="130"/>
      <c r="AO20" s="130"/>
      <c r="AP20" s="130"/>
      <c r="AQ20" s="22"/>
      <c r="AS20" s="115"/>
    </row>
    <row r="21" spans="1:45" s="98" customFormat="1" ht="20.25" customHeight="1" x14ac:dyDescent="0.2">
      <c r="A21" s="2260" t="s">
        <v>8</v>
      </c>
      <c r="B21" s="2260"/>
      <c r="C21" s="97">
        <f t="shared" ref="C21:M21" si="20">SUM(C9:C20)</f>
        <v>15.5</v>
      </c>
      <c r="D21" s="97">
        <f t="shared" si="20"/>
        <v>119.5</v>
      </c>
      <c r="E21" s="97">
        <f t="shared" si="20"/>
        <v>148.69999999999999</v>
      </c>
      <c r="F21" s="97">
        <f t="shared" si="20"/>
        <v>1783.7</v>
      </c>
      <c r="G21" s="97">
        <f t="shared" si="20"/>
        <v>78.7</v>
      </c>
      <c r="H21" s="97">
        <f t="shared" si="20"/>
        <v>26.4</v>
      </c>
      <c r="I21" s="97">
        <f t="shared" si="20"/>
        <v>0</v>
      </c>
      <c r="J21" s="97">
        <f t="shared" si="20"/>
        <v>0</v>
      </c>
      <c r="K21" s="97">
        <f t="shared" si="20"/>
        <v>316.39999999999998</v>
      </c>
      <c r="L21" s="97">
        <f t="shared" si="20"/>
        <v>68.599999999999994</v>
      </c>
      <c r="M21" s="97">
        <f t="shared" si="20"/>
        <v>2273.8000000000002</v>
      </c>
      <c r="N21" s="97"/>
      <c r="O21" s="97">
        <f t="shared" ref="O21:AH21" si="21">SUM(O9:O20)</f>
        <v>1033.7</v>
      </c>
      <c r="P21" s="97">
        <f t="shared" si="21"/>
        <v>3307.5</v>
      </c>
      <c r="Q21" s="97">
        <f t="shared" si="21"/>
        <v>2646</v>
      </c>
      <c r="R21" s="97">
        <f t="shared" si="21"/>
        <v>2646</v>
      </c>
      <c r="S21" s="97">
        <f t="shared" si="21"/>
        <v>275.2</v>
      </c>
      <c r="T21" s="97">
        <f t="shared" si="21"/>
        <v>8874.7000000000007</v>
      </c>
      <c r="U21" s="97">
        <f t="shared" si="21"/>
        <v>1</v>
      </c>
      <c r="V21" s="97">
        <f t="shared" si="21"/>
        <v>8874.7000000000007</v>
      </c>
      <c r="W21" s="97">
        <f t="shared" si="21"/>
        <v>2635.8</v>
      </c>
      <c r="X21" s="97">
        <f t="shared" si="21"/>
        <v>6</v>
      </c>
      <c r="Y21" s="97">
        <f t="shared" si="21"/>
        <v>360</v>
      </c>
      <c r="Z21" s="97">
        <f t="shared" si="21"/>
        <v>180</v>
      </c>
      <c r="AA21" s="97">
        <f t="shared" si="21"/>
        <v>1</v>
      </c>
      <c r="AB21" s="97">
        <f t="shared" si="21"/>
        <v>180</v>
      </c>
      <c r="AC21" s="97">
        <f t="shared" si="21"/>
        <v>15</v>
      </c>
      <c r="AD21" s="97">
        <f t="shared" si="21"/>
        <v>0</v>
      </c>
      <c r="AE21" s="97">
        <f t="shared" si="21"/>
        <v>360</v>
      </c>
      <c r="AF21" s="97">
        <f t="shared" si="21"/>
        <v>0</v>
      </c>
      <c r="AG21" s="97">
        <f t="shared" si="21"/>
        <v>58.5</v>
      </c>
      <c r="AH21" s="97">
        <f t="shared" si="21"/>
        <v>253.5</v>
      </c>
      <c r="AN21" s="130"/>
      <c r="AO21" s="130"/>
      <c r="AP21" s="130"/>
      <c r="AQ21" s="22"/>
    </row>
    <row r="22" spans="1:45" x14ac:dyDescent="0.2">
      <c r="G22" s="131"/>
      <c r="H22" s="131"/>
      <c r="I22" s="131"/>
      <c r="J22" s="131"/>
      <c r="K22" s="131"/>
      <c r="L22" s="131"/>
      <c r="M22" s="131"/>
      <c r="N22" s="131"/>
      <c r="O22" s="131"/>
      <c r="P22" s="131"/>
      <c r="Q22" s="131"/>
      <c r="R22" s="131"/>
      <c r="S22" s="131"/>
      <c r="T22" s="131"/>
      <c r="V22" s="114"/>
      <c r="W22" s="66"/>
      <c r="X22" s="132"/>
      <c r="Y22" s="132"/>
      <c r="Z22" s="132"/>
      <c r="AA22" s="131"/>
      <c r="AD22" s="131"/>
      <c r="AG22" s="131"/>
      <c r="AH22" s="131"/>
      <c r="AN22" s="130"/>
      <c r="AO22" s="130"/>
      <c r="AP22" s="130"/>
    </row>
    <row r="23" spans="1:45" x14ac:dyDescent="0.2">
      <c r="G23" s="131"/>
      <c r="H23" s="131"/>
      <c r="I23" s="131"/>
      <c r="J23" s="131"/>
      <c r="K23" s="131"/>
      <c r="L23" s="131"/>
      <c r="M23" s="131"/>
      <c r="N23" s="131"/>
      <c r="O23" s="131"/>
      <c r="P23" s="131"/>
      <c r="Q23" s="131"/>
      <c r="R23" s="131"/>
      <c r="S23" s="131"/>
      <c r="T23" s="131"/>
      <c r="V23" s="114"/>
      <c r="W23" s="114"/>
      <c r="X23" s="133"/>
      <c r="Y23" s="133"/>
      <c r="Z23" s="133"/>
      <c r="AA23" s="131"/>
      <c r="AD23" s="131"/>
      <c r="AG23" s="131"/>
      <c r="AH23" s="131"/>
      <c r="AN23" s="130"/>
      <c r="AO23" s="130"/>
      <c r="AP23" s="130"/>
    </row>
    <row r="24" spans="1:45" s="62" customFormat="1" ht="14.25" x14ac:dyDescent="0.2">
      <c r="A24" s="68"/>
      <c r="B24" s="63"/>
      <c r="C24" s="26"/>
      <c r="D24" s="26"/>
      <c r="E24" s="26"/>
      <c r="F24" s="26"/>
      <c r="G24" s="26"/>
      <c r="H24" s="26"/>
      <c r="I24" s="26"/>
      <c r="J24" s="26"/>
      <c r="K24" s="26"/>
      <c r="L24" s="26"/>
      <c r="M24" s="26"/>
      <c r="N24" s="26"/>
      <c r="O24" s="26"/>
      <c r="P24" s="26"/>
      <c r="Q24" s="26"/>
      <c r="R24" s="26"/>
      <c r="S24" s="26"/>
      <c r="T24" s="26"/>
      <c r="U24" s="64"/>
      <c r="V24" s="69"/>
      <c r="W24" s="69"/>
      <c r="X24" s="65"/>
      <c r="Y24" s="65"/>
      <c r="Z24" s="65"/>
      <c r="AA24" s="65"/>
      <c r="AB24" s="65"/>
      <c r="AC24" s="65"/>
      <c r="AD24" s="65"/>
      <c r="AE24" s="65"/>
      <c r="AF24" s="65"/>
      <c r="AG24" s="65"/>
      <c r="AH24" s="65"/>
      <c r="AI24" s="67"/>
      <c r="AJ24" s="61"/>
      <c r="AK24" s="61"/>
      <c r="AL24" s="134"/>
      <c r="AM24" s="135"/>
    </row>
    <row r="25" spans="1:45" s="75" customFormat="1" ht="15" x14ac:dyDescent="0.2">
      <c r="A25" s="70"/>
      <c r="B25" s="70"/>
      <c r="C25" s="71"/>
      <c r="D25" s="72"/>
      <c r="E25" s="72"/>
      <c r="F25" s="72"/>
      <c r="G25" s="72"/>
      <c r="H25" s="73"/>
      <c r="I25" s="73"/>
      <c r="J25" s="27"/>
      <c r="K25" s="27"/>
      <c r="L25" s="27"/>
      <c r="M25" s="27"/>
      <c r="N25" s="74"/>
      <c r="O25" s="27"/>
      <c r="P25" s="27"/>
      <c r="Q25" s="27"/>
      <c r="R25" s="27"/>
      <c r="S25" s="27"/>
      <c r="T25" s="27"/>
      <c r="U25" s="27"/>
      <c r="V25" s="27"/>
      <c r="W25" s="27"/>
      <c r="X25" s="27"/>
      <c r="Y25" s="27"/>
      <c r="Z25" s="27"/>
      <c r="AA25" s="27"/>
      <c r="AB25" s="27"/>
      <c r="AC25" s="27"/>
      <c r="AD25" s="27"/>
      <c r="AE25" s="27"/>
      <c r="AF25" s="27"/>
      <c r="AG25" s="27"/>
      <c r="AH25" s="27"/>
      <c r="AI25" s="27"/>
      <c r="AJ25" s="76"/>
      <c r="AN25" s="76"/>
      <c r="AO25" s="76"/>
      <c r="AP25" s="76"/>
      <c r="AQ25" s="76"/>
      <c r="AR25" s="76"/>
    </row>
    <row r="26" spans="1:45" s="75" customFormat="1" ht="55.5" customHeight="1" x14ac:dyDescent="0.2">
      <c r="A26" s="70"/>
      <c r="B26" s="70"/>
      <c r="C26" s="71"/>
      <c r="D26" s="77"/>
      <c r="E26" s="77"/>
      <c r="F26" s="27"/>
      <c r="G26" s="2244" t="s">
        <v>140</v>
      </c>
      <c r="H26" s="2244"/>
      <c r="I26" s="2244" t="s">
        <v>141</v>
      </c>
      <c r="J26" s="2244"/>
      <c r="K26" s="2244" t="s">
        <v>128</v>
      </c>
      <c r="L26" s="2244"/>
      <c r="Q26" s="27"/>
      <c r="R26" s="27"/>
      <c r="S26" s="27"/>
      <c r="T26" s="27"/>
      <c r="U26" s="27"/>
      <c r="V26" s="27"/>
      <c r="W26" s="27"/>
      <c r="X26" s="27"/>
      <c r="Y26" s="27"/>
      <c r="Z26" s="27"/>
      <c r="AA26" s="27"/>
      <c r="AB26" s="27"/>
      <c r="AC26" s="27"/>
      <c r="AD26" s="27"/>
      <c r="AE26" s="27"/>
      <c r="AF26" s="27"/>
      <c r="AG26" s="27"/>
      <c r="AH26" s="27"/>
      <c r="AI26" s="27"/>
      <c r="AJ26" s="76"/>
      <c r="AN26" s="76"/>
      <c r="AO26" s="76"/>
      <c r="AP26" s="76"/>
      <c r="AQ26" s="76"/>
      <c r="AR26" s="76"/>
    </row>
    <row r="27" spans="1:45" s="75" customFormat="1" ht="15" x14ac:dyDescent="0.2">
      <c r="A27" s="70"/>
      <c r="B27" s="70"/>
      <c r="C27" s="71"/>
      <c r="D27" s="77"/>
      <c r="E27" s="77"/>
      <c r="F27" s="27"/>
      <c r="G27" s="279">
        <v>991</v>
      </c>
      <c r="H27" s="279">
        <v>992</v>
      </c>
      <c r="I27" s="279">
        <v>991</v>
      </c>
      <c r="J27" s="279">
        <v>992</v>
      </c>
      <c r="K27" s="279">
        <v>991</v>
      </c>
      <c r="L27" s="279">
        <v>992</v>
      </c>
      <c r="Q27" s="27"/>
      <c r="R27" s="27"/>
      <c r="S27" s="27"/>
      <c r="T27" s="27"/>
      <c r="U27" s="27"/>
      <c r="V27" s="27"/>
      <c r="W27" s="27"/>
      <c r="X27" s="27"/>
      <c r="Y27" s="27"/>
      <c r="Z27" s="27"/>
      <c r="AA27" s="27"/>
      <c r="AB27" s="27"/>
      <c r="AC27" s="27"/>
      <c r="AD27" s="27"/>
      <c r="AE27" s="27"/>
      <c r="AF27" s="27"/>
      <c r="AG27" s="27"/>
      <c r="AH27" s="27"/>
      <c r="AI27" s="27"/>
      <c r="AJ27" s="76"/>
      <c r="AN27" s="76"/>
      <c r="AO27" s="76"/>
      <c r="AP27" s="76"/>
      <c r="AQ27" s="76"/>
      <c r="AR27" s="76"/>
    </row>
    <row r="28" spans="1:45" s="75" customFormat="1" ht="15" x14ac:dyDescent="0.2">
      <c r="A28" s="70"/>
      <c r="B28" s="70"/>
      <c r="C28" s="71"/>
      <c r="D28" s="77"/>
      <c r="E28" s="77"/>
      <c r="F28" s="27"/>
      <c r="G28" s="29">
        <v>8874.7000000000007</v>
      </c>
      <c r="H28" s="29">
        <v>2640.7</v>
      </c>
      <c r="I28" s="29">
        <f>V21</f>
        <v>8874.7000000000007</v>
      </c>
      <c r="J28" s="29">
        <f>W21</f>
        <v>2635.8</v>
      </c>
      <c r="K28" s="29">
        <f>G28-I28</f>
        <v>0</v>
      </c>
      <c r="L28" s="29">
        <f>H28-J28</f>
        <v>4.9000000000000004</v>
      </c>
      <c r="Q28" s="27"/>
      <c r="R28" s="27"/>
      <c r="S28" s="27"/>
      <c r="T28" s="27"/>
      <c r="U28" s="27"/>
      <c r="V28" s="27"/>
      <c r="W28" s="27"/>
      <c r="X28" s="27"/>
      <c r="Y28" s="27"/>
      <c r="Z28" s="27"/>
      <c r="AA28" s="27"/>
      <c r="AB28" s="27"/>
      <c r="AC28" s="27"/>
      <c r="AD28" s="27"/>
      <c r="AE28" s="27"/>
      <c r="AF28" s="27"/>
      <c r="AG28" s="27"/>
      <c r="AH28" s="27"/>
      <c r="AI28" s="27"/>
      <c r="AJ28" s="76"/>
      <c r="AN28" s="76"/>
      <c r="AO28" s="76"/>
      <c r="AP28" s="76"/>
      <c r="AQ28" s="76"/>
      <c r="AR28" s="76"/>
    </row>
    <row r="29" spans="1:45" s="143" customFormat="1" ht="15" x14ac:dyDescent="0.2">
      <c r="A29" s="136"/>
      <c r="B29" s="136"/>
      <c r="C29" s="137"/>
      <c r="D29" s="138"/>
      <c r="E29" s="138"/>
      <c r="F29" s="138"/>
      <c r="G29" s="138"/>
      <c r="H29" s="139"/>
      <c r="I29" s="139"/>
      <c r="J29" s="140"/>
      <c r="K29" s="140"/>
      <c r="L29" s="140"/>
      <c r="M29" s="140"/>
      <c r="N29" s="141"/>
      <c r="O29" s="140"/>
      <c r="P29" s="140"/>
      <c r="Q29" s="140"/>
      <c r="R29" s="140"/>
      <c r="S29" s="140"/>
      <c r="T29" s="140"/>
      <c r="U29" s="140"/>
      <c r="V29" s="140"/>
      <c r="W29" s="140"/>
      <c r="X29" s="140"/>
      <c r="Y29" s="140"/>
      <c r="Z29" s="140"/>
      <c r="AA29" s="140"/>
      <c r="AB29" s="140"/>
      <c r="AC29" s="140"/>
      <c r="AD29" s="140"/>
      <c r="AE29" s="140"/>
      <c r="AF29" s="140"/>
      <c r="AG29" s="140"/>
      <c r="AH29" s="140"/>
      <c r="AI29" s="142"/>
      <c r="AN29" s="22"/>
      <c r="AO29" s="22"/>
      <c r="AP29" s="22"/>
      <c r="AQ29" s="22"/>
    </row>
    <row r="30" spans="1:45" s="143" customFormat="1" ht="15" x14ac:dyDescent="0.2">
      <c r="A30" s="136"/>
      <c r="B30" s="136"/>
      <c r="C30" s="137"/>
      <c r="D30" s="138"/>
      <c r="E30" s="138"/>
      <c r="F30" s="138"/>
      <c r="G30" s="138"/>
      <c r="H30" s="139"/>
      <c r="I30" s="139"/>
      <c r="J30" s="140"/>
      <c r="K30" s="140"/>
      <c r="L30" s="140"/>
      <c r="M30" s="140"/>
      <c r="N30" s="141"/>
      <c r="O30" s="140"/>
      <c r="P30" s="140"/>
      <c r="Q30" s="140"/>
      <c r="R30" s="140"/>
      <c r="S30" s="140"/>
      <c r="T30" s="140"/>
      <c r="U30" s="140"/>
      <c r="V30" s="140"/>
      <c r="W30" s="140"/>
      <c r="X30" s="140"/>
      <c r="Y30" s="140"/>
      <c r="Z30" s="140"/>
      <c r="AA30" s="140"/>
      <c r="AB30" s="140"/>
      <c r="AC30" s="140"/>
      <c r="AD30" s="140"/>
      <c r="AE30" s="140"/>
      <c r="AF30" s="140"/>
      <c r="AG30" s="140"/>
      <c r="AH30" s="140"/>
      <c r="AI30" s="142"/>
      <c r="AN30" s="22"/>
      <c r="AO30" s="22"/>
      <c r="AP30" s="22"/>
      <c r="AQ30" s="22"/>
    </row>
    <row r="31" spans="1:45" s="143" customFormat="1" ht="15" x14ac:dyDescent="0.2">
      <c r="A31" s="136"/>
      <c r="B31" s="136"/>
      <c r="C31" s="137"/>
      <c r="D31" s="144"/>
      <c r="E31" s="144"/>
      <c r="F31" s="140"/>
      <c r="G31" s="140"/>
      <c r="H31" s="139"/>
      <c r="I31" s="139"/>
      <c r="J31" s="140"/>
      <c r="K31" s="140"/>
      <c r="L31" s="140"/>
      <c r="M31" s="140"/>
      <c r="N31" s="141"/>
      <c r="O31" s="140"/>
      <c r="P31" s="140"/>
      <c r="Q31" s="140"/>
      <c r="R31" s="140"/>
      <c r="S31" s="140"/>
      <c r="T31" s="140"/>
      <c r="U31" s="140"/>
      <c r="V31" s="140"/>
      <c r="W31" s="140"/>
      <c r="X31" s="140"/>
      <c r="Y31" s="140"/>
      <c r="Z31" s="140"/>
      <c r="AA31" s="140"/>
      <c r="AB31" s="140"/>
      <c r="AC31" s="140"/>
      <c r="AD31" s="140"/>
      <c r="AE31" s="140"/>
      <c r="AF31" s="140"/>
      <c r="AG31" s="140"/>
      <c r="AH31" s="140"/>
      <c r="AI31" s="142"/>
      <c r="AN31" s="22"/>
      <c r="AO31" s="22"/>
      <c r="AP31" s="22"/>
      <c r="AQ31" s="22"/>
    </row>
    <row r="32" spans="1:45" s="282" customFormat="1" ht="20.25" x14ac:dyDescent="0.2">
      <c r="A32" s="81"/>
      <c r="B32" s="82" t="s">
        <v>138</v>
      </c>
      <c r="C32" s="83"/>
      <c r="D32" s="84"/>
      <c r="E32" s="84"/>
      <c r="F32" s="85"/>
      <c r="G32" s="85"/>
      <c r="H32" s="86"/>
      <c r="I32" s="86"/>
      <c r="J32" s="85"/>
      <c r="K32" s="30" t="s">
        <v>166</v>
      </c>
      <c r="L32" s="85"/>
      <c r="M32" s="85"/>
      <c r="N32" s="87"/>
      <c r="O32" s="85"/>
      <c r="P32" s="85"/>
      <c r="Q32" s="85"/>
      <c r="R32" s="85"/>
      <c r="S32" s="85"/>
      <c r="T32" s="85"/>
      <c r="U32" s="85"/>
      <c r="V32" s="85"/>
      <c r="W32" s="85"/>
      <c r="X32" s="85"/>
      <c r="Y32" s="85"/>
      <c r="Z32" s="85"/>
      <c r="AA32" s="85"/>
      <c r="AB32" s="85"/>
      <c r="AC32" s="85"/>
      <c r="AD32" s="85"/>
      <c r="AE32" s="85"/>
      <c r="AF32" s="85"/>
      <c r="AG32" s="85"/>
      <c r="AH32" s="85"/>
      <c r="AI32" s="85"/>
      <c r="AK32" s="88"/>
      <c r="AL32" s="88"/>
      <c r="AM32" s="88"/>
      <c r="AN32" s="88"/>
      <c r="AO32" s="88"/>
    </row>
    <row r="33" spans="1:43" s="143" customFormat="1" ht="15" x14ac:dyDescent="0.2">
      <c r="A33" s="136"/>
      <c r="B33" s="136"/>
      <c r="C33" s="137"/>
      <c r="D33" s="144"/>
      <c r="E33" s="144"/>
      <c r="F33" s="140"/>
      <c r="G33" s="140"/>
      <c r="H33" s="139"/>
      <c r="I33" s="139"/>
      <c r="J33" s="140"/>
      <c r="K33" s="140"/>
      <c r="L33" s="140"/>
      <c r="M33" s="140"/>
      <c r="N33" s="141"/>
      <c r="O33" s="140"/>
      <c r="P33" s="140"/>
      <c r="Q33" s="140"/>
      <c r="R33" s="140"/>
      <c r="S33" s="140"/>
      <c r="T33" s="140"/>
      <c r="U33" s="140"/>
      <c r="V33" s="140"/>
      <c r="W33" s="140"/>
      <c r="X33" s="140"/>
      <c r="Y33" s="140"/>
      <c r="Z33" s="140"/>
      <c r="AA33" s="140"/>
      <c r="AB33" s="140"/>
      <c r="AC33" s="140"/>
      <c r="AD33" s="140"/>
      <c r="AE33" s="140"/>
      <c r="AF33" s="140"/>
      <c r="AG33" s="140"/>
      <c r="AH33" s="140"/>
      <c r="AI33" s="142"/>
      <c r="AN33" s="22"/>
      <c r="AO33" s="22"/>
      <c r="AP33" s="22"/>
      <c r="AQ33" s="22"/>
    </row>
    <row r="34" spans="1:43" s="143" customFormat="1" ht="20.25" customHeight="1" x14ac:dyDescent="0.2">
      <c r="A34" s="145" t="s">
        <v>96</v>
      </c>
      <c r="B34" s="145"/>
      <c r="C34" s="146"/>
      <c r="D34" s="146"/>
      <c r="E34" s="146"/>
      <c r="F34" s="146"/>
      <c r="G34" s="146"/>
      <c r="H34" s="146"/>
      <c r="I34" s="146"/>
      <c r="J34" s="146"/>
      <c r="K34" s="146"/>
      <c r="L34" s="147"/>
      <c r="M34" s="147"/>
      <c r="N34" s="148"/>
      <c r="O34" s="147"/>
      <c r="P34" s="147"/>
      <c r="Q34" s="147"/>
      <c r="R34" s="147"/>
      <c r="S34" s="147"/>
      <c r="T34" s="147"/>
      <c r="U34" s="147"/>
      <c r="V34" s="147"/>
      <c r="W34" s="147"/>
      <c r="X34" s="147"/>
      <c r="Y34" s="147"/>
      <c r="Z34" s="147"/>
      <c r="AA34" s="147"/>
      <c r="AB34" s="147"/>
      <c r="AC34" s="147"/>
      <c r="AD34" s="147"/>
      <c r="AE34" s="147"/>
      <c r="AF34" s="147"/>
      <c r="AG34" s="147"/>
      <c r="AH34" s="147"/>
      <c r="AI34" s="142"/>
      <c r="AN34" s="62"/>
      <c r="AO34" s="62"/>
      <c r="AP34" s="62"/>
      <c r="AQ34" s="60"/>
    </row>
    <row r="35" spans="1:43" s="143" customFormat="1" ht="20.25" customHeight="1" x14ac:dyDescent="0.2">
      <c r="A35" s="145" t="s">
        <v>139</v>
      </c>
      <c r="B35" s="149"/>
      <c r="C35" s="150"/>
      <c r="D35" s="150"/>
      <c r="E35" s="151"/>
      <c r="F35" s="151"/>
      <c r="G35" s="151"/>
      <c r="H35" s="151"/>
      <c r="I35" s="151"/>
      <c r="J35" s="151"/>
      <c r="K35" s="151"/>
      <c r="L35" s="147"/>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2"/>
      <c r="AN35" s="62"/>
      <c r="AO35" s="62"/>
      <c r="AP35" s="62"/>
      <c r="AQ35" s="62"/>
    </row>
    <row r="36" spans="1:43" ht="16.5" x14ac:dyDescent="0.2">
      <c r="A36" s="152"/>
      <c r="I36" s="153"/>
      <c r="L36" s="99"/>
      <c r="M36" s="99"/>
      <c r="N36" s="99"/>
      <c r="O36" s="99"/>
      <c r="P36" s="99"/>
      <c r="Q36" s="99"/>
      <c r="W36" s="131"/>
      <c r="X36" s="131"/>
      <c r="AA36" s="131"/>
      <c r="AD36" s="131"/>
      <c r="AG36" s="131"/>
      <c r="AH36" s="131"/>
      <c r="AN36" s="62"/>
      <c r="AO36" s="62"/>
      <c r="AP36" s="62"/>
      <c r="AQ36" s="62"/>
    </row>
    <row r="37" spans="1:43" ht="16.5" x14ac:dyDescent="0.2">
      <c r="A37" s="152"/>
      <c r="E37" s="115"/>
      <c r="L37" s="99"/>
      <c r="M37" s="99"/>
      <c r="N37" s="99"/>
      <c r="O37" s="99"/>
      <c r="P37" s="99"/>
      <c r="Q37" s="99"/>
      <c r="W37" s="131"/>
      <c r="X37" s="131"/>
      <c r="AA37" s="131"/>
      <c r="AD37" s="131"/>
      <c r="AG37" s="131"/>
      <c r="AH37" s="131"/>
      <c r="AN37" s="62"/>
      <c r="AO37" s="62"/>
      <c r="AP37" s="62"/>
      <c r="AQ37" s="62"/>
    </row>
    <row r="38" spans="1:43" x14ac:dyDescent="0.2">
      <c r="E38" s="115"/>
    </row>
    <row r="39" spans="1:43" x14ac:dyDescent="0.2">
      <c r="E39" s="115"/>
    </row>
    <row r="40" spans="1:43" x14ac:dyDescent="0.2">
      <c r="E40" s="115"/>
    </row>
    <row r="41" spans="1:43" x14ac:dyDescent="0.2">
      <c r="E41" s="115"/>
    </row>
    <row r="42" spans="1:43" x14ac:dyDescent="0.2">
      <c r="E42" s="115"/>
    </row>
    <row r="43" spans="1:43" x14ac:dyDescent="0.2">
      <c r="E43" s="115"/>
    </row>
  </sheetData>
  <autoFilter ref="A8:AS8" xr:uid="{00000000-0009-0000-0000-00005E000000}"/>
  <mergeCells count="37">
    <mergeCell ref="AE1:AH1"/>
    <mergeCell ref="A2:AH2"/>
    <mergeCell ref="A3:AH3"/>
    <mergeCell ref="A5:A7"/>
    <mergeCell ref="B5:B7"/>
    <mergeCell ref="C5:C7"/>
    <mergeCell ref="D5:W5"/>
    <mergeCell ref="X5:AH5"/>
    <mergeCell ref="D6:D7"/>
    <mergeCell ref="E6:E7"/>
    <mergeCell ref="F6:F7"/>
    <mergeCell ref="G6:G7"/>
    <mergeCell ref="H6:H7"/>
    <mergeCell ref="I6:I7"/>
    <mergeCell ref="J6:J7"/>
    <mergeCell ref="AG6:AG7"/>
    <mergeCell ref="AH6:AH7"/>
    <mergeCell ref="U9:U20"/>
    <mergeCell ref="A21:B21"/>
    <mergeCell ref="S6:S7"/>
    <mergeCell ref="T6:T7"/>
    <mergeCell ref="U6:U7"/>
    <mergeCell ref="V6:V7"/>
    <mergeCell ref="W6:W7"/>
    <mergeCell ref="X6:Z6"/>
    <mergeCell ref="L6:L7"/>
    <mergeCell ref="M6:M7"/>
    <mergeCell ref="N6:O6"/>
    <mergeCell ref="P6:P7"/>
    <mergeCell ref="Q6:Q7"/>
    <mergeCell ref="R6:R7"/>
    <mergeCell ref="G26:H26"/>
    <mergeCell ref="I26:J26"/>
    <mergeCell ref="K26:L26"/>
    <mergeCell ref="AA6:AC6"/>
    <mergeCell ref="AD6:AF6"/>
    <mergeCell ref="K6:K7"/>
  </mergeCells>
  <printOptions horizontalCentered="1"/>
  <pageMargins left="0" right="0" top="0" bottom="0" header="0.31496062992125984" footer="0.31496062992125984"/>
  <pageSetup paperSize="9" scale="39" orientation="landscape" r:id="rId1"/>
  <legacyDrawing r:id="rId2"/>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00B050"/>
    <pageSetUpPr fitToPage="1"/>
  </sheetPr>
  <dimension ref="A1:AS57"/>
  <sheetViews>
    <sheetView view="pageBreakPreview" zoomScale="80" zoomScaleNormal="80" zoomScaleSheetLayoutView="80" workbookViewId="0">
      <pane xSplit="3" ySplit="8" topLeftCell="V9" activePane="bottomRight" state="frozen"/>
      <selection activeCell="M26" sqref="M26:N26"/>
      <selection pane="topRight" activeCell="M26" sqref="M26:N26"/>
      <selection pane="bottomLeft" activeCell="M26" sqref="M26:N26"/>
      <selection pane="bottomRight" activeCell="M26" sqref="M26:N26"/>
    </sheetView>
  </sheetViews>
  <sheetFormatPr defaultRowHeight="12.75" x14ac:dyDescent="0.2"/>
  <cols>
    <col min="1" max="1" width="6.83203125" style="33" customWidth="1"/>
    <col min="2" max="2" width="30.83203125" style="22" customWidth="1"/>
    <col min="3" max="3" width="13.83203125" style="22" customWidth="1"/>
    <col min="4" max="4" width="12.83203125" style="22" customWidth="1"/>
    <col min="5" max="5" width="13" style="22" customWidth="1"/>
    <col min="6" max="6" width="14.6640625" style="22" customWidth="1"/>
    <col min="7" max="7" width="12.33203125" style="22" customWidth="1"/>
    <col min="8" max="8" width="13.33203125" style="22" customWidth="1"/>
    <col min="9" max="9" width="15.83203125" style="22" customWidth="1"/>
    <col min="10" max="11" width="13.83203125" style="22" customWidth="1"/>
    <col min="12" max="12" width="13.33203125" style="22" customWidth="1"/>
    <col min="13" max="13" width="12.83203125" style="22" customWidth="1"/>
    <col min="14" max="14" width="11.5" style="22" customWidth="1"/>
    <col min="15" max="15" width="14.83203125" style="22" customWidth="1"/>
    <col min="16" max="16" width="15.33203125" style="22" customWidth="1"/>
    <col min="17" max="17" width="14.83203125" style="22" customWidth="1"/>
    <col min="18" max="18" width="13.6640625" style="22" customWidth="1"/>
    <col min="19" max="19" width="15.33203125" style="22" customWidth="1"/>
    <col min="20" max="20" width="12.33203125" style="22" customWidth="1"/>
    <col min="21" max="21" width="11.6640625" style="22" customWidth="1"/>
    <col min="22" max="22" width="13" style="22" customWidth="1"/>
    <col min="23" max="23" width="12.6640625" style="22" customWidth="1"/>
    <col min="24" max="24" width="13.33203125" style="22" customWidth="1"/>
    <col min="25" max="25" width="12.83203125" style="22" customWidth="1"/>
    <col min="26" max="26" width="13" style="22" customWidth="1"/>
    <col min="27" max="27" width="12.33203125" style="22" customWidth="1"/>
    <col min="28" max="28" width="11.33203125" style="22" customWidth="1"/>
    <col min="29" max="29" width="9.6640625" style="22" customWidth="1"/>
    <col min="30" max="30" width="11" style="22" customWidth="1"/>
    <col min="31" max="31" width="9.33203125" style="22" customWidth="1"/>
    <col min="32" max="32" width="9.83203125" style="22" customWidth="1"/>
    <col min="33" max="33" width="14" style="22" customWidth="1"/>
    <col min="34" max="34" width="12.33203125" style="22" customWidth="1"/>
    <col min="35" max="35" width="11.1640625" style="34" customWidth="1"/>
    <col min="36" max="36" width="9.33203125" style="22"/>
    <col min="37" max="37" width="12.6640625" style="22" customWidth="1"/>
    <col min="38" max="38" width="11.6640625" style="22" hidden="1" customWidth="1"/>
    <col min="39" max="39" width="13.6640625" style="22" hidden="1" customWidth="1"/>
    <col min="40" max="42" width="9.33203125" style="22"/>
    <col min="43" max="43" width="14" style="22" bestFit="1" customWidth="1"/>
    <col min="44" max="16384" width="9.33203125" style="22"/>
  </cols>
  <sheetData>
    <row r="1" spans="1:45" ht="12.75" customHeight="1" x14ac:dyDescent="0.2">
      <c r="AE1" s="2263"/>
      <c r="AF1" s="2263"/>
      <c r="AG1" s="2263"/>
      <c r="AH1" s="2263"/>
    </row>
    <row r="2" spans="1:45" ht="24" customHeight="1" x14ac:dyDescent="0.2">
      <c r="A2" s="2253" t="s">
        <v>158</v>
      </c>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36"/>
    </row>
    <row r="3" spans="1:45" ht="24.75" customHeight="1" x14ac:dyDescent="0.2">
      <c r="A3" s="2254"/>
      <c r="B3" s="2254"/>
      <c r="C3" s="2254"/>
      <c r="D3" s="2254"/>
      <c r="E3" s="2254"/>
      <c r="F3" s="2254"/>
      <c r="G3" s="2254"/>
      <c r="H3" s="2254"/>
      <c r="I3" s="2254"/>
      <c r="J3" s="2254"/>
      <c r="K3" s="2254"/>
      <c r="L3" s="2254"/>
      <c r="M3" s="2254"/>
      <c r="N3" s="2254"/>
      <c r="O3" s="2254"/>
      <c r="P3" s="2254"/>
      <c r="Q3" s="2254"/>
      <c r="R3" s="2254"/>
      <c r="S3" s="2254"/>
      <c r="T3" s="2254"/>
      <c r="U3" s="2254"/>
      <c r="V3" s="2254"/>
      <c r="W3" s="2254"/>
      <c r="X3" s="2254"/>
      <c r="Y3" s="2254"/>
      <c r="Z3" s="2254"/>
      <c r="AA3" s="2254"/>
      <c r="AB3" s="2254"/>
      <c r="AC3" s="2254"/>
      <c r="AD3" s="2254"/>
      <c r="AE3" s="2254"/>
      <c r="AF3" s="2254"/>
      <c r="AG3" s="2254"/>
      <c r="AH3" s="2254"/>
      <c r="AI3" s="283"/>
    </row>
    <row r="4" spans="1:45" x14ac:dyDescent="0.2">
      <c r="L4" s="38">
        <v>0.34311000000000003</v>
      </c>
    </row>
    <row r="5" spans="1:45" ht="38.25" customHeight="1" x14ac:dyDescent="0.2">
      <c r="A5" s="2266" t="s">
        <v>78</v>
      </c>
      <c r="B5" s="2266" t="s">
        <v>77</v>
      </c>
      <c r="C5" s="2242" t="s">
        <v>0</v>
      </c>
      <c r="D5" s="2242" t="s">
        <v>3</v>
      </c>
      <c r="E5" s="2242"/>
      <c r="F5" s="2242"/>
      <c r="G5" s="2242"/>
      <c r="H5" s="2242"/>
      <c r="I5" s="2242"/>
      <c r="J5" s="2242"/>
      <c r="K5" s="2242"/>
      <c r="L5" s="2242"/>
      <c r="M5" s="2242"/>
      <c r="N5" s="2242"/>
      <c r="O5" s="2242"/>
      <c r="P5" s="2242"/>
      <c r="Q5" s="2242"/>
      <c r="R5" s="2242"/>
      <c r="S5" s="2242"/>
      <c r="T5" s="2242"/>
      <c r="U5" s="2242"/>
      <c r="V5" s="2242"/>
      <c r="W5" s="2242"/>
      <c r="X5" s="2242" t="s">
        <v>4</v>
      </c>
      <c r="Y5" s="2242"/>
      <c r="Z5" s="2242"/>
      <c r="AA5" s="2242"/>
      <c r="AB5" s="2242"/>
      <c r="AC5" s="2242"/>
      <c r="AD5" s="2242"/>
      <c r="AE5" s="2242"/>
      <c r="AF5" s="2242"/>
      <c r="AG5" s="2242"/>
      <c r="AH5" s="2242"/>
    </row>
    <row r="6" spans="1:45" ht="60" customHeight="1" x14ac:dyDescent="0.2">
      <c r="A6" s="2266"/>
      <c r="B6" s="2266"/>
      <c r="C6" s="2242"/>
      <c r="D6" s="2245" t="s">
        <v>68</v>
      </c>
      <c r="E6" s="2245" t="s">
        <v>69</v>
      </c>
      <c r="F6" s="2245" t="s">
        <v>89</v>
      </c>
      <c r="G6" s="2245" t="s">
        <v>1</v>
      </c>
      <c r="H6" s="2245" t="s">
        <v>2</v>
      </c>
      <c r="I6" s="2245" t="s">
        <v>70</v>
      </c>
      <c r="J6" s="2245" t="s">
        <v>61</v>
      </c>
      <c r="K6" s="2245" t="s">
        <v>27</v>
      </c>
      <c r="L6" s="2924" t="s">
        <v>65</v>
      </c>
      <c r="M6" s="2924" t="s">
        <v>86</v>
      </c>
      <c r="N6" s="2925" t="s">
        <v>91</v>
      </c>
      <c r="O6" s="2925"/>
      <c r="P6" s="2925" t="s">
        <v>88</v>
      </c>
      <c r="Q6" s="2924" t="s">
        <v>82</v>
      </c>
      <c r="R6" s="2245" t="s">
        <v>83</v>
      </c>
      <c r="S6" s="2924" t="s">
        <v>87</v>
      </c>
      <c r="T6" s="2245" t="s">
        <v>84</v>
      </c>
      <c r="U6" s="2245" t="s">
        <v>9</v>
      </c>
      <c r="V6" s="2245" t="s">
        <v>7</v>
      </c>
      <c r="W6" s="2245" t="s">
        <v>85</v>
      </c>
      <c r="X6" s="2242" t="s">
        <v>10</v>
      </c>
      <c r="Y6" s="2242"/>
      <c r="Z6" s="2242"/>
      <c r="AA6" s="2242" t="s">
        <v>11</v>
      </c>
      <c r="AB6" s="2242"/>
      <c r="AC6" s="2242"/>
      <c r="AD6" s="2242" t="s">
        <v>12</v>
      </c>
      <c r="AE6" s="2242"/>
      <c r="AF6" s="2242"/>
      <c r="AG6" s="2242" t="s">
        <v>13</v>
      </c>
      <c r="AH6" s="2242" t="s">
        <v>73</v>
      </c>
    </row>
    <row r="7" spans="1:45" ht="107.25" customHeight="1" x14ac:dyDescent="0.2">
      <c r="A7" s="2266"/>
      <c r="B7" s="2266"/>
      <c r="C7" s="2242"/>
      <c r="D7" s="2245"/>
      <c r="E7" s="2245"/>
      <c r="F7" s="2245"/>
      <c r="G7" s="2245"/>
      <c r="H7" s="2245"/>
      <c r="I7" s="2245"/>
      <c r="J7" s="2245"/>
      <c r="K7" s="2245"/>
      <c r="L7" s="2924" t="s">
        <v>66</v>
      </c>
      <c r="M7" s="2924"/>
      <c r="N7" s="288" t="s">
        <v>80</v>
      </c>
      <c r="O7" s="288" t="s">
        <v>81</v>
      </c>
      <c r="P7" s="2925"/>
      <c r="Q7" s="2924"/>
      <c r="R7" s="2245"/>
      <c r="S7" s="2924" t="s">
        <v>67</v>
      </c>
      <c r="T7" s="2245"/>
      <c r="U7" s="2245"/>
      <c r="V7" s="2245"/>
      <c r="W7" s="2245"/>
      <c r="X7" s="280" t="s">
        <v>5</v>
      </c>
      <c r="Y7" s="280" t="s">
        <v>6</v>
      </c>
      <c r="Z7" s="280" t="s">
        <v>74</v>
      </c>
      <c r="AA7" s="280" t="s">
        <v>5</v>
      </c>
      <c r="AB7" s="280" t="s">
        <v>6</v>
      </c>
      <c r="AC7" s="280" t="s">
        <v>75</v>
      </c>
      <c r="AD7" s="280" t="s">
        <v>5</v>
      </c>
      <c r="AE7" s="280" t="s">
        <v>6</v>
      </c>
      <c r="AF7" s="280" t="s">
        <v>76</v>
      </c>
      <c r="AG7" s="2242"/>
      <c r="AH7" s="2242"/>
      <c r="AK7" s="22" t="s">
        <v>64</v>
      </c>
      <c r="AL7" s="22" t="s">
        <v>62</v>
      </c>
      <c r="AM7" s="165" t="s">
        <v>71</v>
      </c>
    </row>
    <row r="8" spans="1:45" x14ac:dyDescent="0.2">
      <c r="A8" s="278">
        <v>1</v>
      </c>
      <c r="B8" s="278">
        <v>2</v>
      </c>
      <c r="C8" s="278">
        <v>3</v>
      </c>
      <c r="D8" s="278">
        <v>4</v>
      </c>
      <c r="E8" s="278">
        <v>5</v>
      </c>
      <c r="F8" s="278">
        <v>6</v>
      </c>
      <c r="G8" s="278">
        <v>7</v>
      </c>
      <c r="H8" s="278">
        <v>8</v>
      </c>
      <c r="I8" s="278">
        <v>9</v>
      </c>
      <c r="J8" s="278">
        <v>10</v>
      </c>
      <c r="K8" s="278">
        <v>11</v>
      </c>
      <c r="L8" s="278">
        <v>12</v>
      </c>
      <c r="M8" s="278">
        <v>13</v>
      </c>
      <c r="N8" s="278">
        <v>14</v>
      </c>
      <c r="O8" s="278">
        <v>15</v>
      </c>
      <c r="P8" s="278">
        <v>16</v>
      </c>
      <c r="Q8" s="278">
        <v>17</v>
      </c>
      <c r="R8" s="278">
        <v>18</v>
      </c>
      <c r="S8" s="278">
        <v>19</v>
      </c>
      <c r="T8" s="278">
        <v>20</v>
      </c>
      <c r="U8" s="278">
        <v>21</v>
      </c>
      <c r="V8" s="278">
        <v>22</v>
      </c>
      <c r="W8" s="278">
        <v>23</v>
      </c>
      <c r="X8" s="278">
        <v>24</v>
      </c>
      <c r="Y8" s="278">
        <v>25</v>
      </c>
      <c r="Z8" s="278">
        <v>26</v>
      </c>
      <c r="AA8" s="278">
        <v>27</v>
      </c>
      <c r="AB8" s="278">
        <v>28</v>
      </c>
      <c r="AC8" s="278">
        <v>29</v>
      </c>
      <c r="AD8" s="278">
        <v>30</v>
      </c>
      <c r="AE8" s="278">
        <v>31</v>
      </c>
      <c r="AF8" s="278">
        <v>32</v>
      </c>
      <c r="AG8" s="278">
        <v>33</v>
      </c>
      <c r="AH8" s="278">
        <v>34</v>
      </c>
      <c r="AN8" s="43" t="s">
        <v>116</v>
      </c>
      <c r="AO8" s="43" t="s">
        <v>117</v>
      </c>
      <c r="AP8" s="43" t="s">
        <v>118</v>
      </c>
      <c r="AQ8" s="43" t="s">
        <v>119</v>
      </c>
    </row>
    <row r="9" spans="1:45" ht="16.5" customHeight="1" x14ac:dyDescent="0.2">
      <c r="A9" s="278">
        <v>1</v>
      </c>
      <c r="B9" s="166" t="s">
        <v>14</v>
      </c>
      <c r="C9" s="167">
        <v>1</v>
      </c>
      <c r="D9" s="168">
        <v>22.876999999999999</v>
      </c>
      <c r="E9" s="169">
        <f>C9*D9</f>
        <v>22.88</v>
      </c>
      <c r="F9" s="170">
        <f>E9*12</f>
        <v>274.60000000000002</v>
      </c>
      <c r="G9" s="154"/>
      <c r="H9" s="154"/>
      <c r="I9" s="154"/>
      <c r="J9" s="154"/>
      <c r="K9" s="154">
        <f>F9*0.4</f>
        <v>109.8</v>
      </c>
      <c r="L9" s="154">
        <f>F9*$L$4</f>
        <v>94.2</v>
      </c>
      <c r="M9" s="154">
        <f>F9+G9+H9+I9+J9+K9+L9</f>
        <v>478.6</v>
      </c>
      <c r="N9" s="171">
        <v>0.47</v>
      </c>
      <c r="O9" s="154">
        <f>M9*N9</f>
        <v>224.9</v>
      </c>
      <c r="P9" s="154">
        <f>M9+O9</f>
        <v>703.5</v>
      </c>
      <c r="Q9" s="154">
        <f>P9*0.8</f>
        <v>562.79999999999995</v>
      </c>
      <c r="R9" s="154">
        <f>P9*0.8</f>
        <v>562.79999999999995</v>
      </c>
      <c r="S9" s="154">
        <f>(P9+Q9+R9)*0.032</f>
        <v>58.5</v>
      </c>
      <c r="T9" s="154">
        <f>P9+Q9+R9+S9</f>
        <v>1887.6</v>
      </c>
      <c r="U9" s="2920">
        <v>1</v>
      </c>
      <c r="V9" s="155">
        <f t="shared" ref="V9:V21" si="0">T9*$U$9</f>
        <v>1887.6</v>
      </c>
      <c r="W9" s="155">
        <f>AQ9</f>
        <v>451.9</v>
      </c>
      <c r="X9" s="278"/>
      <c r="Y9" s="24">
        <v>30</v>
      </c>
      <c r="Z9" s="48">
        <f t="shared" ref="Z9:Z22" si="1">X9*Y9</f>
        <v>0</v>
      </c>
      <c r="AA9" s="278"/>
      <c r="AB9" s="24">
        <v>15</v>
      </c>
      <c r="AC9" s="48">
        <f t="shared" ref="AC9:AC22" si="2">AA9*AB9</f>
        <v>0</v>
      </c>
      <c r="AD9" s="278"/>
      <c r="AE9" s="24">
        <v>30</v>
      </c>
      <c r="AF9" s="48">
        <f t="shared" ref="AF9:AF22" si="3">AD9*AE9</f>
        <v>0</v>
      </c>
      <c r="AG9" s="48">
        <f t="shared" ref="AG9:AG22" si="4">(Z9+AC9+AF9)*1%*30</f>
        <v>0</v>
      </c>
      <c r="AH9" s="48">
        <f t="shared" ref="AH9:AH22" si="5">Z9+AC9+AF9+AG9</f>
        <v>0</v>
      </c>
      <c r="AI9" s="34">
        <f t="shared" ref="AI9:AI22" si="6">V9/12/C9*1000</f>
        <v>157300</v>
      </c>
      <c r="AJ9" s="34"/>
      <c r="AK9" s="34">
        <f t="shared" ref="AK9:AK22" si="7">V9/C9</f>
        <v>1887.6</v>
      </c>
      <c r="AL9" s="34">
        <f>((979*0.302)+((AK9-979)*0.182))</f>
        <v>461</v>
      </c>
      <c r="AM9" s="51">
        <f>AL9/AK9</f>
        <v>0.24399999999999999</v>
      </c>
      <c r="AN9" s="116">
        <f>1150*0.22*C9+(V9-1150*C9)*0.1</f>
        <v>326.8</v>
      </c>
      <c r="AO9" s="116">
        <f>865*0.029*C9</f>
        <v>25.1</v>
      </c>
      <c r="AP9" s="116">
        <f>AK9*0.053</f>
        <v>100</v>
      </c>
      <c r="AQ9" s="116">
        <f>SUM(AN9:AP9)</f>
        <v>451.9</v>
      </c>
      <c r="AS9" s="51">
        <f t="shared" ref="AS9:AS22" si="8">D9*1.5</f>
        <v>34.316000000000003</v>
      </c>
    </row>
    <row r="10" spans="1:45" ht="15" x14ac:dyDescent="0.2">
      <c r="A10" s="278">
        <v>2</v>
      </c>
      <c r="B10" s="166" t="s">
        <v>125</v>
      </c>
      <c r="C10" s="167">
        <v>2</v>
      </c>
      <c r="D10" s="168">
        <v>16.013999999999999</v>
      </c>
      <c r="E10" s="169">
        <f>C10*D10</f>
        <v>32.03</v>
      </c>
      <c r="F10" s="170">
        <f t="shared" ref="F10:F22" si="9">E10*12</f>
        <v>384.4</v>
      </c>
      <c r="G10" s="154"/>
      <c r="H10" s="154"/>
      <c r="I10" s="154">
        <f>D10*0.25*12</f>
        <v>48</v>
      </c>
      <c r="J10" s="154"/>
      <c r="K10" s="154">
        <f>D10*0.25*12+D10*0.4*12+D10*0.05*4</f>
        <v>128.1</v>
      </c>
      <c r="L10" s="154">
        <f t="shared" ref="L10:L21" si="10">F10*$L$4</f>
        <v>131.9</v>
      </c>
      <c r="M10" s="154">
        <f t="shared" ref="M10:M22" si="11">F10+G10+H10+I10+J10+K10+L10</f>
        <v>692.4</v>
      </c>
      <c r="N10" s="171">
        <v>0.47</v>
      </c>
      <c r="O10" s="154">
        <f t="shared" ref="O10:O22" si="12">M10*N10</f>
        <v>325.39999999999998</v>
      </c>
      <c r="P10" s="154">
        <f t="shared" ref="P10:P22" si="13">M10+O10</f>
        <v>1017.8</v>
      </c>
      <c r="Q10" s="154">
        <f t="shared" ref="Q10:Q22" si="14">P10*0.8</f>
        <v>814.2</v>
      </c>
      <c r="R10" s="154">
        <f t="shared" ref="R10:R22" si="15">P10*0.8</f>
        <v>814.2</v>
      </c>
      <c r="S10" s="154">
        <f t="shared" ref="S10:S22" si="16">(P10+Q10+R10)*0.032</f>
        <v>84.7</v>
      </c>
      <c r="T10" s="154">
        <f t="shared" ref="T10:T22" si="17">P10+Q10+R10+S10</f>
        <v>2730.9</v>
      </c>
      <c r="U10" s="2921"/>
      <c r="V10" s="155">
        <f t="shared" si="0"/>
        <v>2730.9</v>
      </c>
      <c r="W10" s="155">
        <f>AQ10</f>
        <v>744</v>
      </c>
      <c r="X10" s="278"/>
      <c r="Y10" s="24">
        <v>30</v>
      </c>
      <c r="Z10" s="48">
        <f t="shared" si="1"/>
        <v>0</v>
      </c>
      <c r="AA10" s="278">
        <v>1</v>
      </c>
      <c r="AB10" s="24">
        <v>15</v>
      </c>
      <c r="AC10" s="48">
        <f t="shared" si="2"/>
        <v>15</v>
      </c>
      <c r="AD10" s="278"/>
      <c r="AE10" s="24">
        <v>30</v>
      </c>
      <c r="AF10" s="48">
        <f t="shared" si="3"/>
        <v>0</v>
      </c>
      <c r="AG10" s="48">
        <f t="shared" si="4"/>
        <v>4.5</v>
      </c>
      <c r="AH10" s="48">
        <f t="shared" si="5"/>
        <v>19.5</v>
      </c>
      <c r="AI10" s="34">
        <f t="shared" si="6"/>
        <v>113787.5</v>
      </c>
      <c r="AJ10" s="34"/>
      <c r="AK10" s="34">
        <f t="shared" si="7"/>
        <v>1365.5</v>
      </c>
      <c r="AL10" s="34">
        <f t="shared" ref="AL10:AL22" si="18">((979*0.302)+((AK10-979)*0.182))</f>
        <v>366</v>
      </c>
      <c r="AM10" s="51">
        <f>AL10/AK10</f>
        <v>0.26800000000000002</v>
      </c>
      <c r="AN10" s="116">
        <f>1150*0.22*C10+(V10-1150*C10)*0.1</f>
        <v>549.1</v>
      </c>
      <c r="AO10" s="116">
        <f>865*0.029*C10</f>
        <v>50.2</v>
      </c>
      <c r="AP10" s="116">
        <f>AK10*0.053*2</f>
        <v>144.69999999999999</v>
      </c>
      <c r="AQ10" s="116">
        <f>SUM(AN10:AP10)</f>
        <v>744</v>
      </c>
      <c r="AS10" s="51">
        <f t="shared" si="8"/>
        <v>24.021000000000001</v>
      </c>
    </row>
    <row r="11" spans="1:45" ht="15" x14ac:dyDescent="0.2">
      <c r="A11" s="278">
        <v>3</v>
      </c>
      <c r="B11" s="106" t="s">
        <v>33</v>
      </c>
      <c r="C11" s="172">
        <v>1</v>
      </c>
      <c r="D11" s="173">
        <v>8.4730000000000008</v>
      </c>
      <c r="E11" s="171">
        <f t="shared" ref="E11:E22" si="19">C11*D11</f>
        <v>8.4700000000000006</v>
      </c>
      <c r="F11" s="154">
        <f t="shared" si="9"/>
        <v>101.6</v>
      </c>
      <c r="G11" s="154"/>
      <c r="H11" s="154"/>
      <c r="I11" s="154"/>
      <c r="J11" s="154"/>
      <c r="K11" s="154">
        <f>D11*0.2*5</f>
        <v>8.5</v>
      </c>
      <c r="L11" s="154">
        <f t="shared" si="10"/>
        <v>34.9</v>
      </c>
      <c r="M11" s="154">
        <f t="shared" si="11"/>
        <v>145</v>
      </c>
      <c r="N11" s="171">
        <v>0.41</v>
      </c>
      <c r="O11" s="154">
        <f t="shared" si="12"/>
        <v>59.5</v>
      </c>
      <c r="P11" s="154">
        <f t="shared" si="13"/>
        <v>204.5</v>
      </c>
      <c r="Q11" s="154">
        <f t="shared" si="14"/>
        <v>163.6</v>
      </c>
      <c r="R11" s="154">
        <f t="shared" si="15"/>
        <v>163.6</v>
      </c>
      <c r="S11" s="154">
        <f t="shared" si="16"/>
        <v>17</v>
      </c>
      <c r="T11" s="154">
        <f t="shared" si="17"/>
        <v>548.70000000000005</v>
      </c>
      <c r="U11" s="2921"/>
      <c r="V11" s="155">
        <f t="shared" si="0"/>
        <v>548.70000000000005</v>
      </c>
      <c r="W11" s="155">
        <f>V11*0.302</f>
        <v>165.7</v>
      </c>
      <c r="X11" s="162"/>
      <c r="Y11" s="163">
        <v>30</v>
      </c>
      <c r="Z11" s="164">
        <f t="shared" si="1"/>
        <v>0</v>
      </c>
      <c r="AA11" s="162"/>
      <c r="AB11" s="163">
        <v>15</v>
      </c>
      <c r="AC11" s="164">
        <f t="shared" si="2"/>
        <v>0</v>
      </c>
      <c r="AD11" s="162"/>
      <c r="AE11" s="163">
        <v>30</v>
      </c>
      <c r="AF11" s="164">
        <f t="shared" si="3"/>
        <v>0</v>
      </c>
      <c r="AG11" s="164">
        <f t="shared" si="4"/>
        <v>0</v>
      </c>
      <c r="AH11" s="164">
        <f t="shared" si="5"/>
        <v>0</v>
      </c>
      <c r="AI11" s="34">
        <f t="shared" si="6"/>
        <v>45725</v>
      </c>
      <c r="AJ11" s="34"/>
      <c r="AK11" s="34">
        <f t="shared" si="7"/>
        <v>548.70000000000005</v>
      </c>
      <c r="AL11" s="34">
        <f t="shared" si="18"/>
        <v>217.3</v>
      </c>
      <c r="AM11" s="51">
        <v>0.30199999999999999</v>
      </c>
      <c r="AO11" s="116"/>
      <c r="AP11" s="116"/>
      <c r="AQ11" s="116"/>
      <c r="AS11" s="51">
        <f t="shared" si="8"/>
        <v>12.71</v>
      </c>
    </row>
    <row r="12" spans="1:45" ht="15" x14ac:dyDescent="0.2">
      <c r="A12" s="278">
        <v>4</v>
      </c>
      <c r="B12" s="106" t="s">
        <v>105</v>
      </c>
      <c r="C12" s="172">
        <v>2</v>
      </c>
      <c r="D12" s="173">
        <v>8.4730000000000008</v>
      </c>
      <c r="E12" s="171">
        <f t="shared" si="19"/>
        <v>16.95</v>
      </c>
      <c r="F12" s="154">
        <f t="shared" si="9"/>
        <v>203.4</v>
      </c>
      <c r="G12" s="154"/>
      <c r="H12" s="154"/>
      <c r="I12" s="154"/>
      <c r="J12" s="154"/>
      <c r="K12" s="154">
        <f>F12*0.35</f>
        <v>71.2</v>
      </c>
      <c r="L12" s="154">
        <f t="shared" si="10"/>
        <v>69.8</v>
      </c>
      <c r="M12" s="154">
        <f t="shared" si="11"/>
        <v>344.4</v>
      </c>
      <c r="N12" s="171">
        <v>0.41</v>
      </c>
      <c r="O12" s="154">
        <f t="shared" si="12"/>
        <v>141.19999999999999</v>
      </c>
      <c r="P12" s="154">
        <f t="shared" si="13"/>
        <v>485.6</v>
      </c>
      <c r="Q12" s="154">
        <f t="shared" si="14"/>
        <v>388.5</v>
      </c>
      <c r="R12" s="154">
        <f t="shared" si="15"/>
        <v>388.5</v>
      </c>
      <c r="S12" s="154">
        <f t="shared" si="16"/>
        <v>40.4</v>
      </c>
      <c r="T12" s="154">
        <f t="shared" si="17"/>
        <v>1303</v>
      </c>
      <c r="U12" s="2921"/>
      <c r="V12" s="155">
        <f t="shared" si="0"/>
        <v>1303</v>
      </c>
      <c r="W12" s="155">
        <f t="shared" ref="W12:W22" si="20">V12*0.302</f>
        <v>393.5</v>
      </c>
      <c r="X12" s="162">
        <v>2</v>
      </c>
      <c r="Y12" s="163">
        <v>30</v>
      </c>
      <c r="Z12" s="164">
        <f t="shared" si="1"/>
        <v>60</v>
      </c>
      <c r="AA12" s="162"/>
      <c r="AB12" s="163">
        <v>15</v>
      </c>
      <c r="AC12" s="164">
        <f t="shared" si="2"/>
        <v>0</v>
      </c>
      <c r="AD12" s="162"/>
      <c r="AE12" s="163">
        <v>30</v>
      </c>
      <c r="AF12" s="164">
        <f t="shared" si="3"/>
        <v>0</v>
      </c>
      <c r="AG12" s="164">
        <f t="shared" si="4"/>
        <v>18</v>
      </c>
      <c r="AH12" s="164">
        <f t="shared" si="5"/>
        <v>78</v>
      </c>
      <c r="AI12" s="34">
        <f t="shared" si="6"/>
        <v>54291.7</v>
      </c>
      <c r="AJ12" s="34"/>
      <c r="AK12" s="34">
        <f t="shared" si="7"/>
        <v>651.5</v>
      </c>
      <c r="AL12" s="34">
        <f t="shared" si="18"/>
        <v>236.1</v>
      </c>
      <c r="AM12" s="51">
        <v>0.30199999999999999</v>
      </c>
      <c r="AQ12" s="116"/>
      <c r="AS12" s="51">
        <f t="shared" si="8"/>
        <v>12.71</v>
      </c>
    </row>
    <row r="13" spans="1:45" ht="15" x14ac:dyDescent="0.2">
      <c r="A13" s="278">
        <v>5</v>
      </c>
      <c r="B13" s="166" t="s">
        <v>15</v>
      </c>
      <c r="C13" s="174">
        <v>6</v>
      </c>
      <c r="D13" s="175">
        <v>11.061999999999999</v>
      </c>
      <c r="E13" s="171">
        <f t="shared" si="19"/>
        <v>66.37</v>
      </c>
      <c r="F13" s="154">
        <f t="shared" si="9"/>
        <v>796.4</v>
      </c>
      <c r="G13" s="154"/>
      <c r="H13" s="154"/>
      <c r="I13" s="154"/>
      <c r="J13" s="154"/>
      <c r="K13" s="154">
        <f>D13*0.2*12+D13*0.3*12+D13*0.35*12+D13*0.4*3*12</f>
        <v>272.10000000000002</v>
      </c>
      <c r="L13" s="154">
        <f t="shared" si="10"/>
        <v>273.3</v>
      </c>
      <c r="M13" s="154">
        <f t="shared" si="11"/>
        <v>1341.8</v>
      </c>
      <c r="N13" s="171">
        <v>0.43</v>
      </c>
      <c r="O13" s="154">
        <f t="shared" si="12"/>
        <v>577</v>
      </c>
      <c r="P13" s="154">
        <f t="shared" si="13"/>
        <v>1918.8</v>
      </c>
      <c r="Q13" s="154">
        <f t="shared" si="14"/>
        <v>1535</v>
      </c>
      <c r="R13" s="154">
        <f t="shared" si="15"/>
        <v>1535</v>
      </c>
      <c r="S13" s="154">
        <f t="shared" si="16"/>
        <v>159.6</v>
      </c>
      <c r="T13" s="154">
        <f t="shared" si="17"/>
        <v>5148.3999999999996</v>
      </c>
      <c r="U13" s="2921"/>
      <c r="V13" s="155">
        <f t="shared" si="0"/>
        <v>5148.3999999999996</v>
      </c>
      <c r="W13" s="155">
        <f t="shared" si="20"/>
        <v>1554.8</v>
      </c>
      <c r="X13" s="162">
        <v>5</v>
      </c>
      <c r="Y13" s="163">
        <v>30</v>
      </c>
      <c r="Z13" s="164">
        <f t="shared" si="1"/>
        <v>150</v>
      </c>
      <c r="AA13" s="162">
        <v>2</v>
      </c>
      <c r="AB13" s="163">
        <v>15</v>
      </c>
      <c r="AC13" s="164">
        <f t="shared" si="2"/>
        <v>30</v>
      </c>
      <c r="AD13" s="162"/>
      <c r="AE13" s="163">
        <v>30</v>
      </c>
      <c r="AF13" s="164">
        <f t="shared" si="3"/>
        <v>0</v>
      </c>
      <c r="AG13" s="164">
        <f t="shared" si="4"/>
        <v>54</v>
      </c>
      <c r="AH13" s="164">
        <f t="shared" si="5"/>
        <v>234</v>
      </c>
      <c r="AI13" s="34">
        <f t="shared" si="6"/>
        <v>71505.600000000006</v>
      </c>
      <c r="AJ13" s="34"/>
      <c r="AK13" s="34">
        <f t="shared" si="7"/>
        <v>858.1</v>
      </c>
      <c r="AL13" s="34">
        <f t="shared" si="18"/>
        <v>273.7</v>
      </c>
      <c r="AM13" s="51">
        <v>0.30199999999999999</v>
      </c>
      <c r="AO13" s="116"/>
      <c r="AP13" s="116"/>
      <c r="AQ13" s="116"/>
      <c r="AS13" s="51">
        <f t="shared" si="8"/>
        <v>16.593</v>
      </c>
    </row>
    <row r="14" spans="1:45" x14ac:dyDescent="0.2">
      <c r="A14" s="278">
        <v>6</v>
      </c>
      <c r="B14" s="166" t="s">
        <v>16</v>
      </c>
      <c r="C14" s="174">
        <v>17</v>
      </c>
      <c r="D14" s="175">
        <v>11.061999999999999</v>
      </c>
      <c r="E14" s="171">
        <f t="shared" si="19"/>
        <v>188.05</v>
      </c>
      <c r="F14" s="154">
        <f t="shared" si="9"/>
        <v>2256.6</v>
      </c>
      <c r="G14" s="154"/>
      <c r="H14" s="154"/>
      <c r="I14" s="154"/>
      <c r="J14" s="154"/>
      <c r="K14" s="154">
        <f>D14*0.3*12+D14*0.4*12</f>
        <v>92.9</v>
      </c>
      <c r="L14" s="154">
        <f t="shared" si="10"/>
        <v>774.3</v>
      </c>
      <c r="M14" s="154">
        <f t="shared" si="11"/>
        <v>3123.8</v>
      </c>
      <c r="N14" s="171">
        <v>0.43</v>
      </c>
      <c r="O14" s="154">
        <f t="shared" si="12"/>
        <v>1343.2</v>
      </c>
      <c r="P14" s="154">
        <f t="shared" si="13"/>
        <v>4467</v>
      </c>
      <c r="Q14" s="154">
        <f t="shared" si="14"/>
        <v>3573.6</v>
      </c>
      <c r="R14" s="154">
        <f t="shared" si="15"/>
        <v>3573.6</v>
      </c>
      <c r="S14" s="154">
        <f t="shared" si="16"/>
        <v>371.7</v>
      </c>
      <c r="T14" s="154">
        <f t="shared" si="17"/>
        <v>11985.9</v>
      </c>
      <c r="U14" s="2921"/>
      <c r="V14" s="155">
        <f t="shared" si="0"/>
        <v>11985.9</v>
      </c>
      <c r="W14" s="155">
        <f t="shared" si="20"/>
        <v>3619.7</v>
      </c>
      <c r="X14" s="162">
        <v>10</v>
      </c>
      <c r="Y14" s="163">
        <v>30</v>
      </c>
      <c r="Z14" s="164">
        <f t="shared" si="1"/>
        <v>300</v>
      </c>
      <c r="AA14" s="162">
        <v>3</v>
      </c>
      <c r="AB14" s="163">
        <v>15</v>
      </c>
      <c r="AC14" s="164">
        <f t="shared" si="2"/>
        <v>45</v>
      </c>
      <c r="AD14" s="162">
        <v>3</v>
      </c>
      <c r="AE14" s="163">
        <v>30</v>
      </c>
      <c r="AF14" s="164">
        <f t="shared" si="3"/>
        <v>90</v>
      </c>
      <c r="AG14" s="164">
        <f t="shared" si="4"/>
        <v>130.5</v>
      </c>
      <c r="AH14" s="164">
        <f t="shared" si="5"/>
        <v>565.5</v>
      </c>
      <c r="AI14" s="34">
        <f t="shared" si="6"/>
        <v>58754.400000000001</v>
      </c>
      <c r="AJ14" s="34"/>
      <c r="AK14" s="34">
        <f t="shared" si="7"/>
        <v>705.1</v>
      </c>
      <c r="AL14" s="34">
        <f t="shared" si="18"/>
        <v>245.8</v>
      </c>
      <c r="AM14" s="51">
        <v>0.30199999999999999</v>
      </c>
      <c r="AS14" s="51">
        <f t="shared" si="8"/>
        <v>16.593</v>
      </c>
    </row>
    <row r="15" spans="1:45" ht="15" x14ac:dyDescent="0.2">
      <c r="A15" s="278">
        <v>7</v>
      </c>
      <c r="B15" s="176" t="s">
        <v>36</v>
      </c>
      <c r="C15" s="167">
        <f>69.5-0.5</f>
        <v>69</v>
      </c>
      <c r="D15" s="177">
        <v>8.4730000000000008</v>
      </c>
      <c r="E15" s="171">
        <f>C15*D15</f>
        <v>584.64</v>
      </c>
      <c r="F15" s="154">
        <f t="shared" si="9"/>
        <v>7015.7</v>
      </c>
      <c r="G15" s="154"/>
      <c r="H15" s="154"/>
      <c r="I15" s="154"/>
      <c r="J15" s="154">
        <f>D15*5.05*12</f>
        <v>513.5</v>
      </c>
      <c r="K15" s="154">
        <f>D15*0.2*12+D15*0.05*4+D15*0.25*8+D15*0.05*16+D15*0.3*11+D15*0.05*31+D15*0.35*12+D15*0.4*12*12</f>
        <v>610.5</v>
      </c>
      <c r="L15" s="154">
        <f t="shared" si="10"/>
        <v>2407.1999999999998</v>
      </c>
      <c r="M15" s="154">
        <f t="shared" si="11"/>
        <v>10546.9</v>
      </c>
      <c r="N15" s="171">
        <v>0.41</v>
      </c>
      <c r="O15" s="154">
        <f t="shared" si="12"/>
        <v>4324.2</v>
      </c>
      <c r="P15" s="154">
        <f t="shared" si="13"/>
        <v>14871.1</v>
      </c>
      <c r="Q15" s="154">
        <f t="shared" si="14"/>
        <v>11896.9</v>
      </c>
      <c r="R15" s="154">
        <f t="shared" si="15"/>
        <v>11896.9</v>
      </c>
      <c r="S15" s="154">
        <f t="shared" si="16"/>
        <v>1237.3</v>
      </c>
      <c r="T15" s="154">
        <f t="shared" si="17"/>
        <v>39902.199999999997</v>
      </c>
      <c r="U15" s="2921"/>
      <c r="V15" s="155">
        <f>T15*$U$9</f>
        <v>39902.199999999997</v>
      </c>
      <c r="W15" s="155">
        <f t="shared" si="20"/>
        <v>12050.5</v>
      </c>
      <c r="X15" s="278">
        <v>41</v>
      </c>
      <c r="Y15" s="24">
        <v>30</v>
      </c>
      <c r="Z15" s="48">
        <f t="shared" si="1"/>
        <v>1230</v>
      </c>
      <c r="AA15" s="54">
        <v>15</v>
      </c>
      <c r="AB15" s="24">
        <v>15</v>
      </c>
      <c r="AC15" s="48">
        <f t="shared" si="2"/>
        <v>225</v>
      </c>
      <c r="AD15" s="54">
        <v>12</v>
      </c>
      <c r="AE15" s="24">
        <v>30</v>
      </c>
      <c r="AF15" s="48">
        <f t="shared" si="3"/>
        <v>360</v>
      </c>
      <c r="AG15" s="48">
        <f t="shared" si="4"/>
        <v>544.5</v>
      </c>
      <c r="AH15" s="48">
        <f t="shared" si="5"/>
        <v>2359.5</v>
      </c>
      <c r="AI15" s="34">
        <f t="shared" si="6"/>
        <v>48191.1</v>
      </c>
      <c r="AJ15" s="34"/>
      <c r="AK15" s="34">
        <f t="shared" si="7"/>
        <v>578.29999999999995</v>
      </c>
      <c r="AL15" s="34">
        <f t="shared" si="18"/>
        <v>222.7</v>
      </c>
      <c r="AM15" s="51">
        <v>0.30199999999999999</v>
      </c>
      <c r="AO15" s="116"/>
      <c r="AP15" s="116"/>
      <c r="AQ15" s="116"/>
      <c r="AS15" s="51">
        <f t="shared" si="8"/>
        <v>12.71</v>
      </c>
    </row>
    <row r="16" spans="1:45" ht="15" x14ac:dyDescent="0.2">
      <c r="A16" s="278">
        <v>8</v>
      </c>
      <c r="B16" s="176" t="s">
        <v>37</v>
      </c>
      <c r="C16" s="167">
        <v>6</v>
      </c>
      <c r="D16" s="177">
        <v>8.4730000000000008</v>
      </c>
      <c r="E16" s="171">
        <f>C16*D16</f>
        <v>50.84</v>
      </c>
      <c r="F16" s="154">
        <f t="shared" si="9"/>
        <v>610.1</v>
      </c>
      <c r="G16" s="154"/>
      <c r="H16" s="154"/>
      <c r="I16" s="154"/>
      <c r="J16" s="154">
        <f>D16*0.2*12</f>
        <v>20.3</v>
      </c>
      <c r="K16" s="154">
        <f>D16*0.4*12</f>
        <v>40.700000000000003</v>
      </c>
      <c r="L16" s="154">
        <f t="shared" si="10"/>
        <v>209.3</v>
      </c>
      <c r="M16" s="154">
        <f t="shared" si="11"/>
        <v>880.4</v>
      </c>
      <c r="N16" s="171">
        <v>0.41</v>
      </c>
      <c r="O16" s="154">
        <f t="shared" si="12"/>
        <v>361</v>
      </c>
      <c r="P16" s="154">
        <f t="shared" si="13"/>
        <v>1241.4000000000001</v>
      </c>
      <c r="Q16" s="154">
        <f t="shared" si="14"/>
        <v>993.1</v>
      </c>
      <c r="R16" s="154">
        <f t="shared" si="15"/>
        <v>993.1</v>
      </c>
      <c r="S16" s="154">
        <f t="shared" si="16"/>
        <v>103.3</v>
      </c>
      <c r="T16" s="154">
        <f t="shared" si="17"/>
        <v>3330.9</v>
      </c>
      <c r="U16" s="2921"/>
      <c r="V16" s="155">
        <f t="shared" si="0"/>
        <v>3330.9</v>
      </c>
      <c r="W16" s="155">
        <f t="shared" si="20"/>
        <v>1005.9</v>
      </c>
      <c r="X16" s="278"/>
      <c r="Y16" s="24">
        <v>30</v>
      </c>
      <c r="Z16" s="48">
        <f t="shared" si="1"/>
        <v>0</v>
      </c>
      <c r="AA16" s="54"/>
      <c r="AB16" s="24">
        <v>15</v>
      </c>
      <c r="AC16" s="48">
        <f t="shared" si="2"/>
        <v>0</v>
      </c>
      <c r="AD16" s="54"/>
      <c r="AE16" s="24">
        <v>30</v>
      </c>
      <c r="AF16" s="48">
        <f t="shared" si="3"/>
        <v>0</v>
      </c>
      <c r="AG16" s="48">
        <f t="shared" si="4"/>
        <v>0</v>
      </c>
      <c r="AH16" s="48">
        <f t="shared" si="5"/>
        <v>0</v>
      </c>
      <c r="AI16" s="34">
        <f t="shared" si="6"/>
        <v>46262.5</v>
      </c>
      <c r="AJ16" s="34"/>
      <c r="AK16" s="34">
        <f t="shared" si="7"/>
        <v>555.20000000000005</v>
      </c>
      <c r="AL16" s="34">
        <f t="shared" si="18"/>
        <v>218.5</v>
      </c>
      <c r="AM16" s="51">
        <v>0.30199999999999999</v>
      </c>
      <c r="AN16" s="116"/>
      <c r="AO16" s="116"/>
      <c r="AP16" s="116"/>
      <c r="AQ16" s="116"/>
      <c r="AS16" s="51">
        <f t="shared" si="8"/>
        <v>12.71</v>
      </c>
    </row>
    <row r="17" spans="1:45" x14ac:dyDescent="0.2">
      <c r="A17" s="278">
        <v>9</v>
      </c>
      <c r="B17" s="176" t="s">
        <v>19</v>
      </c>
      <c r="C17" s="167">
        <v>5</v>
      </c>
      <c r="D17" s="177">
        <v>8.4730000000000008</v>
      </c>
      <c r="E17" s="171">
        <f>C17*D17</f>
        <v>42.37</v>
      </c>
      <c r="F17" s="154">
        <f t="shared" si="9"/>
        <v>508.4</v>
      </c>
      <c r="G17" s="154"/>
      <c r="H17" s="154"/>
      <c r="I17" s="154"/>
      <c r="J17" s="154">
        <f>D17*1.25*12</f>
        <v>127.1</v>
      </c>
      <c r="K17" s="154">
        <f>D17*0.3*12+D17*0.35*2*12+D17*0.05*11+D17*0.4*2</f>
        <v>113.1</v>
      </c>
      <c r="L17" s="154">
        <f t="shared" si="10"/>
        <v>174.4</v>
      </c>
      <c r="M17" s="154">
        <f t="shared" si="11"/>
        <v>923</v>
      </c>
      <c r="N17" s="171">
        <v>0.41</v>
      </c>
      <c r="O17" s="154">
        <f t="shared" si="12"/>
        <v>378.4</v>
      </c>
      <c r="P17" s="154">
        <f t="shared" si="13"/>
        <v>1301.4000000000001</v>
      </c>
      <c r="Q17" s="154">
        <f t="shared" si="14"/>
        <v>1041.0999999999999</v>
      </c>
      <c r="R17" s="154">
        <f t="shared" si="15"/>
        <v>1041.0999999999999</v>
      </c>
      <c r="S17" s="154">
        <f t="shared" si="16"/>
        <v>108.3</v>
      </c>
      <c r="T17" s="154">
        <f t="shared" si="17"/>
        <v>3491.9</v>
      </c>
      <c r="U17" s="2921"/>
      <c r="V17" s="155">
        <f t="shared" si="0"/>
        <v>3491.9</v>
      </c>
      <c r="W17" s="155">
        <f t="shared" si="20"/>
        <v>1054.5999999999999</v>
      </c>
      <c r="X17" s="278">
        <v>3</v>
      </c>
      <c r="Y17" s="24">
        <v>30</v>
      </c>
      <c r="Z17" s="48">
        <f t="shared" si="1"/>
        <v>90</v>
      </c>
      <c r="AA17" s="54">
        <v>2</v>
      </c>
      <c r="AB17" s="24">
        <v>15</v>
      </c>
      <c r="AC17" s="48">
        <f t="shared" si="2"/>
        <v>30</v>
      </c>
      <c r="AD17" s="54"/>
      <c r="AE17" s="24">
        <v>30</v>
      </c>
      <c r="AF17" s="48">
        <f t="shared" si="3"/>
        <v>0</v>
      </c>
      <c r="AG17" s="48">
        <f t="shared" si="4"/>
        <v>36</v>
      </c>
      <c r="AH17" s="48">
        <f t="shared" si="5"/>
        <v>156</v>
      </c>
      <c r="AI17" s="34">
        <f t="shared" si="6"/>
        <v>58198.3</v>
      </c>
      <c r="AJ17" s="34"/>
      <c r="AK17" s="34">
        <f t="shared" si="7"/>
        <v>698.4</v>
      </c>
      <c r="AL17" s="34">
        <f t="shared" si="18"/>
        <v>244.6</v>
      </c>
      <c r="AM17" s="51">
        <v>0.30199999999999999</v>
      </c>
      <c r="AS17" s="51">
        <f t="shared" si="8"/>
        <v>12.71</v>
      </c>
    </row>
    <row r="18" spans="1:45" ht="25.5" x14ac:dyDescent="0.2">
      <c r="A18" s="278">
        <v>10</v>
      </c>
      <c r="B18" s="44" t="s">
        <v>131</v>
      </c>
      <c r="C18" s="167">
        <v>1</v>
      </c>
      <c r="D18" s="177">
        <v>8.4730000000000008</v>
      </c>
      <c r="E18" s="171">
        <f>C18*D18</f>
        <v>8.4700000000000006</v>
      </c>
      <c r="F18" s="154">
        <f t="shared" si="9"/>
        <v>101.6</v>
      </c>
      <c r="G18" s="154"/>
      <c r="H18" s="154"/>
      <c r="I18" s="154"/>
      <c r="J18" s="154"/>
      <c r="K18" s="154">
        <f>F18*0.4</f>
        <v>40.6</v>
      </c>
      <c r="L18" s="154">
        <f t="shared" si="10"/>
        <v>34.9</v>
      </c>
      <c r="M18" s="154">
        <f t="shared" si="11"/>
        <v>177.1</v>
      </c>
      <c r="N18" s="171">
        <v>0.41</v>
      </c>
      <c r="O18" s="154">
        <f t="shared" si="12"/>
        <v>72.599999999999994</v>
      </c>
      <c r="P18" s="154">
        <f t="shared" si="13"/>
        <v>249.7</v>
      </c>
      <c r="Q18" s="154">
        <f t="shared" si="14"/>
        <v>199.8</v>
      </c>
      <c r="R18" s="154">
        <f t="shared" si="15"/>
        <v>199.8</v>
      </c>
      <c r="S18" s="154">
        <f t="shared" si="16"/>
        <v>20.8</v>
      </c>
      <c r="T18" s="154">
        <f t="shared" si="17"/>
        <v>670.1</v>
      </c>
      <c r="U18" s="2921"/>
      <c r="V18" s="155">
        <f t="shared" si="0"/>
        <v>670.1</v>
      </c>
      <c r="W18" s="155">
        <f t="shared" si="20"/>
        <v>202.4</v>
      </c>
      <c r="X18" s="278">
        <v>1</v>
      </c>
      <c r="Y18" s="24">
        <v>35</v>
      </c>
      <c r="Z18" s="48">
        <f t="shared" si="1"/>
        <v>35</v>
      </c>
      <c r="AA18" s="54"/>
      <c r="AB18" s="24">
        <v>17.5</v>
      </c>
      <c r="AC18" s="48">
        <f t="shared" si="2"/>
        <v>0</v>
      </c>
      <c r="AD18" s="54"/>
      <c r="AE18" s="24">
        <v>35</v>
      </c>
      <c r="AF18" s="48">
        <f t="shared" si="3"/>
        <v>0</v>
      </c>
      <c r="AG18" s="48">
        <f t="shared" si="4"/>
        <v>10.5</v>
      </c>
      <c r="AH18" s="48">
        <f t="shared" si="5"/>
        <v>45.5</v>
      </c>
      <c r="AI18" s="34">
        <f t="shared" si="6"/>
        <v>55841.7</v>
      </c>
      <c r="AJ18" s="34"/>
      <c r="AK18" s="34">
        <f t="shared" si="7"/>
        <v>670.1</v>
      </c>
      <c r="AL18" s="34">
        <f t="shared" si="18"/>
        <v>239.4</v>
      </c>
      <c r="AM18" s="51">
        <v>0.30199999999999999</v>
      </c>
      <c r="AS18" s="51">
        <f t="shared" si="8"/>
        <v>12.71</v>
      </c>
    </row>
    <row r="19" spans="1:45" x14ac:dyDescent="0.2">
      <c r="A19" s="278">
        <v>11</v>
      </c>
      <c r="B19" s="178" t="s">
        <v>104</v>
      </c>
      <c r="C19" s="179">
        <v>1</v>
      </c>
      <c r="D19" s="177">
        <v>8.4730000000000008</v>
      </c>
      <c r="E19" s="171">
        <f t="shared" si="19"/>
        <v>8.4700000000000006</v>
      </c>
      <c r="F19" s="154">
        <f t="shared" si="9"/>
        <v>101.6</v>
      </c>
      <c r="G19" s="154"/>
      <c r="H19" s="154"/>
      <c r="I19" s="154"/>
      <c r="J19" s="154"/>
      <c r="K19" s="154">
        <f>F19*0.4</f>
        <v>40.6</v>
      </c>
      <c r="L19" s="154">
        <f t="shared" si="10"/>
        <v>34.9</v>
      </c>
      <c r="M19" s="154">
        <f t="shared" si="11"/>
        <v>177.1</v>
      </c>
      <c r="N19" s="171">
        <v>0.41</v>
      </c>
      <c r="O19" s="154">
        <f t="shared" si="12"/>
        <v>72.599999999999994</v>
      </c>
      <c r="P19" s="154">
        <f t="shared" si="13"/>
        <v>249.7</v>
      </c>
      <c r="Q19" s="154">
        <f t="shared" si="14"/>
        <v>199.8</v>
      </c>
      <c r="R19" s="154">
        <f t="shared" si="15"/>
        <v>199.8</v>
      </c>
      <c r="S19" s="154">
        <f t="shared" si="16"/>
        <v>20.8</v>
      </c>
      <c r="T19" s="154">
        <f t="shared" si="17"/>
        <v>670.1</v>
      </c>
      <c r="U19" s="2921"/>
      <c r="V19" s="155">
        <f t="shared" si="0"/>
        <v>670.1</v>
      </c>
      <c r="W19" s="155">
        <f t="shared" si="20"/>
        <v>202.4</v>
      </c>
      <c r="X19" s="278">
        <v>1</v>
      </c>
      <c r="Y19" s="24">
        <v>30</v>
      </c>
      <c r="Z19" s="48">
        <f t="shared" si="1"/>
        <v>30</v>
      </c>
      <c r="AA19" s="54"/>
      <c r="AB19" s="24">
        <v>15</v>
      </c>
      <c r="AC19" s="48">
        <f t="shared" si="2"/>
        <v>0</v>
      </c>
      <c r="AD19" s="54"/>
      <c r="AE19" s="24">
        <v>30</v>
      </c>
      <c r="AF19" s="48">
        <f t="shared" si="3"/>
        <v>0</v>
      </c>
      <c r="AG19" s="48">
        <f t="shared" si="4"/>
        <v>9</v>
      </c>
      <c r="AH19" s="48">
        <f t="shared" si="5"/>
        <v>39</v>
      </c>
      <c r="AI19" s="34">
        <f t="shared" si="6"/>
        <v>55841.7</v>
      </c>
      <c r="AJ19" s="34"/>
      <c r="AK19" s="34">
        <f t="shared" si="7"/>
        <v>670.1</v>
      </c>
      <c r="AL19" s="34">
        <f t="shared" si="18"/>
        <v>239.4</v>
      </c>
      <c r="AM19" s="51">
        <v>0.30199999999999999</v>
      </c>
      <c r="AS19" s="51">
        <f t="shared" si="8"/>
        <v>12.71</v>
      </c>
    </row>
    <row r="20" spans="1:45" x14ac:dyDescent="0.2">
      <c r="A20" s="278">
        <v>12</v>
      </c>
      <c r="B20" s="176" t="s">
        <v>20</v>
      </c>
      <c r="C20" s="180">
        <v>2</v>
      </c>
      <c r="D20" s="177">
        <v>8.4730000000000008</v>
      </c>
      <c r="E20" s="171">
        <f t="shared" si="19"/>
        <v>16.95</v>
      </c>
      <c r="F20" s="154">
        <f t="shared" si="9"/>
        <v>203.4</v>
      </c>
      <c r="G20" s="154"/>
      <c r="H20" s="154"/>
      <c r="I20" s="154"/>
      <c r="J20" s="154">
        <f>D20*0.1*12</f>
        <v>10.199999999999999</v>
      </c>
      <c r="K20" s="154">
        <f>D20*0.35*12</f>
        <v>35.6</v>
      </c>
      <c r="L20" s="154">
        <f t="shared" si="10"/>
        <v>69.8</v>
      </c>
      <c r="M20" s="154">
        <f t="shared" si="11"/>
        <v>319</v>
      </c>
      <c r="N20" s="171">
        <v>0.41</v>
      </c>
      <c r="O20" s="154">
        <f t="shared" si="12"/>
        <v>130.80000000000001</v>
      </c>
      <c r="P20" s="154">
        <f t="shared" si="13"/>
        <v>449.8</v>
      </c>
      <c r="Q20" s="154">
        <f t="shared" si="14"/>
        <v>359.8</v>
      </c>
      <c r="R20" s="154">
        <f t="shared" si="15"/>
        <v>359.8</v>
      </c>
      <c r="S20" s="154">
        <f t="shared" si="16"/>
        <v>37.4</v>
      </c>
      <c r="T20" s="154">
        <f t="shared" si="17"/>
        <v>1206.8</v>
      </c>
      <c r="U20" s="2921"/>
      <c r="V20" s="155">
        <f t="shared" si="0"/>
        <v>1206.8</v>
      </c>
      <c r="W20" s="155">
        <f t="shared" si="20"/>
        <v>364.5</v>
      </c>
      <c r="X20" s="278">
        <v>1</v>
      </c>
      <c r="Y20" s="24">
        <v>30</v>
      </c>
      <c r="Z20" s="48">
        <f t="shared" si="1"/>
        <v>30</v>
      </c>
      <c r="AA20" s="278">
        <v>1</v>
      </c>
      <c r="AB20" s="24">
        <v>15</v>
      </c>
      <c r="AC20" s="48">
        <f t="shared" si="2"/>
        <v>15</v>
      </c>
      <c r="AD20" s="278"/>
      <c r="AE20" s="24">
        <v>30</v>
      </c>
      <c r="AF20" s="48">
        <f t="shared" si="3"/>
        <v>0</v>
      </c>
      <c r="AG20" s="48">
        <f t="shared" si="4"/>
        <v>13.5</v>
      </c>
      <c r="AH20" s="48">
        <f t="shared" si="5"/>
        <v>58.5</v>
      </c>
      <c r="AI20" s="34">
        <f t="shared" si="6"/>
        <v>50283.3</v>
      </c>
      <c r="AJ20" s="34"/>
      <c r="AK20" s="34">
        <f t="shared" si="7"/>
        <v>603.4</v>
      </c>
      <c r="AL20" s="34">
        <f t="shared" si="18"/>
        <v>227.3</v>
      </c>
      <c r="AM20" s="51">
        <v>0.30199999999999999</v>
      </c>
      <c r="AS20" s="51">
        <f t="shared" si="8"/>
        <v>12.71</v>
      </c>
    </row>
    <row r="21" spans="1:45" ht="25.5" x14ac:dyDescent="0.2">
      <c r="A21" s="278">
        <v>13</v>
      </c>
      <c r="B21" s="181" t="s">
        <v>106</v>
      </c>
      <c r="C21" s="172">
        <v>12</v>
      </c>
      <c r="D21" s="182">
        <v>8.4730000000000008</v>
      </c>
      <c r="E21" s="171">
        <f t="shared" si="19"/>
        <v>101.68</v>
      </c>
      <c r="F21" s="154">
        <f t="shared" si="9"/>
        <v>1220.2</v>
      </c>
      <c r="G21" s="154"/>
      <c r="H21" s="154"/>
      <c r="I21" s="154"/>
      <c r="J21" s="154"/>
      <c r="K21" s="154">
        <f>D21*0.2*12+D21*0.4*12+D21*0.2*30</f>
        <v>111.8</v>
      </c>
      <c r="L21" s="154">
        <f t="shared" si="10"/>
        <v>418.7</v>
      </c>
      <c r="M21" s="154">
        <f t="shared" si="11"/>
        <v>1750.7</v>
      </c>
      <c r="N21" s="171">
        <v>0.47</v>
      </c>
      <c r="O21" s="154">
        <f t="shared" si="12"/>
        <v>822.8</v>
      </c>
      <c r="P21" s="154">
        <f t="shared" si="13"/>
        <v>2573.5</v>
      </c>
      <c r="Q21" s="154">
        <f t="shared" si="14"/>
        <v>2058.8000000000002</v>
      </c>
      <c r="R21" s="154">
        <f t="shared" si="15"/>
        <v>2058.8000000000002</v>
      </c>
      <c r="S21" s="154">
        <f t="shared" si="16"/>
        <v>214.1</v>
      </c>
      <c r="T21" s="154">
        <f t="shared" si="17"/>
        <v>6905.2</v>
      </c>
      <c r="U21" s="2921"/>
      <c r="V21" s="155">
        <f t="shared" si="0"/>
        <v>6905.2</v>
      </c>
      <c r="W21" s="155">
        <f t="shared" si="20"/>
        <v>2085.4</v>
      </c>
      <c r="X21" s="272">
        <v>10</v>
      </c>
      <c r="Y21" s="163">
        <v>30</v>
      </c>
      <c r="Z21" s="164">
        <f t="shared" si="1"/>
        <v>300</v>
      </c>
      <c r="AA21" s="272">
        <v>6</v>
      </c>
      <c r="AB21" s="163">
        <v>15</v>
      </c>
      <c r="AC21" s="164">
        <f t="shared" si="2"/>
        <v>90</v>
      </c>
      <c r="AD21" s="272"/>
      <c r="AE21" s="163">
        <v>30</v>
      </c>
      <c r="AF21" s="164">
        <f t="shared" si="3"/>
        <v>0</v>
      </c>
      <c r="AG21" s="164">
        <f t="shared" si="4"/>
        <v>117</v>
      </c>
      <c r="AH21" s="164">
        <f t="shared" si="5"/>
        <v>507</v>
      </c>
      <c r="AI21" s="34">
        <f t="shared" si="6"/>
        <v>47952.800000000003</v>
      </c>
      <c r="AJ21" s="34"/>
      <c r="AK21" s="34">
        <f t="shared" si="7"/>
        <v>575.4</v>
      </c>
      <c r="AL21" s="34">
        <f t="shared" si="18"/>
        <v>222.2</v>
      </c>
      <c r="AM21" s="51">
        <v>0.30199999999999999</v>
      </c>
      <c r="AS21" s="51">
        <f t="shared" si="8"/>
        <v>12.71</v>
      </c>
    </row>
    <row r="22" spans="1:45" s="188" customFormat="1" x14ac:dyDescent="0.2">
      <c r="A22" s="278">
        <v>14</v>
      </c>
      <c r="B22" s="106" t="s">
        <v>107</v>
      </c>
      <c r="C22" s="172">
        <f>2-1</f>
        <v>1</v>
      </c>
      <c r="D22" s="183">
        <v>4.3769999999999998</v>
      </c>
      <c r="E22" s="184">
        <f t="shared" si="19"/>
        <v>4.38</v>
      </c>
      <c r="F22" s="185">
        <f t="shared" si="9"/>
        <v>52.6</v>
      </c>
      <c r="G22" s="155"/>
      <c r="H22" s="155"/>
      <c r="I22" s="155"/>
      <c r="J22" s="155"/>
      <c r="K22" s="155"/>
      <c r="L22" s="154">
        <v>38.299999999999997</v>
      </c>
      <c r="M22" s="186">
        <f t="shared" si="11"/>
        <v>90.9</v>
      </c>
      <c r="N22" s="184">
        <v>0.47</v>
      </c>
      <c r="O22" s="186">
        <f t="shared" si="12"/>
        <v>42.7</v>
      </c>
      <c r="P22" s="186">
        <f t="shared" si="13"/>
        <v>133.6</v>
      </c>
      <c r="Q22" s="186">
        <f t="shared" si="14"/>
        <v>106.9</v>
      </c>
      <c r="R22" s="155">
        <f t="shared" si="15"/>
        <v>106.9</v>
      </c>
      <c r="S22" s="186">
        <f t="shared" si="16"/>
        <v>11.1</v>
      </c>
      <c r="T22" s="186">
        <f t="shared" si="17"/>
        <v>358.5</v>
      </c>
      <c r="U22" s="2922"/>
      <c r="V22" s="186">
        <f>T22*$U$9</f>
        <v>358.5</v>
      </c>
      <c r="W22" s="155">
        <f t="shared" si="20"/>
        <v>108.3</v>
      </c>
      <c r="X22" s="278">
        <v>1</v>
      </c>
      <c r="Y22" s="24">
        <v>30</v>
      </c>
      <c r="Z22" s="48">
        <f t="shared" si="1"/>
        <v>30</v>
      </c>
      <c r="AA22" s="278"/>
      <c r="AB22" s="24">
        <v>15</v>
      </c>
      <c r="AC22" s="48">
        <f t="shared" si="2"/>
        <v>0</v>
      </c>
      <c r="AD22" s="278">
        <v>1</v>
      </c>
      <c r="AE22" s="24">
        <v>30</v>
      </c>
      <c r="AF22" s="48">
        <f t="shared" si="3"/>
        <v>30</v>
      </c>
      <c r="AG22" s="48">
        <f t="shared" si="4"/>
        <v>18</v>
      </c>
      <c r="AH22" s="48">
        <f t="shared" si="5"/>
        <v>78</v>
      </c>
      <c r="AI22" s="34">
        <f t="shared" si="6"/>
        <v>29875</v>
      </c>
      <c r="AJ22" s="187"/>
      <c r="AK22" s="34">
        <f t="shared" si="7"/>
        <v>358.5</v>
      </c>
      <c r="AL22" s="34">
        <f t="shared" si="18"/>
        <v>182.7</v>
      </c>
      <c r="AM22" s="51">
        <v>0.30199999999999999</v>
      </c>
      <c r="AN22" s="22"/>
      <c r="AO22" s="22"/>
      <c r="AP22" s="22"/>
      <c r="AQ22" s="22"/>
      <c r="AS22" s="51">
        <f t="shared" si="8"/>
        <v>6.5659999999999998</v>
      </c>
    </row>
    <row r="23" spans="1:45" s="33" customFormat="1" ht="20.25" customHeight="1" x14ac:dyDescent="0.2">
      <c r="A23" s="2923" t="s">
        <v>72</v>
      </c>
      <c r="B23" s="2923"/>
      <c r="C23" s="189">
        <f t="shared" ref="C23:AH23" si="21">SUM(C9:C22)</f>
        <v>126</v>
      </c>
      <c r="D23" s="156">
        <f t="shared" si="21"/>
        <v>141.6</v>
      </c>
      <c r="E23" s="156">
        <f t="shared" si="21"/>
        <v>1152.5999999999999</v>
      </c>
      <c r="F23" s="156">
        <f t="shared" si="21"/>
        <v>13830.6</v>
      </c>
      <c r="G23" s="156">
        <f t="shared" si="21"/>
        <v>0</v>
      </c>
      <c r="H23" s="156">
        <f t="shared" si="21"/>
        <v>0</v>
      </c>
      <c r="I23" s="156">
        <f t="shared" si="21"/>
        <v>48</v>
      </c>
      <c r="J23" s="156">
        <f t="shared" si="21"/>
        <v>671.1</v>
      </c>
      <c r="K23" s="156">
        <f t="shared" si="21"/>
        <v>1675.5</v>
      </c>
      <c r="L23" s="156">
        <f t="shared" si="21"/>
        <v>4765.8999999999996</v>
      </c>
      <c r="M23" s="156">
        <f t="shared" si="21"/>
        <v>20991.1</v>
      </c>
      <c r="N23" s="156"/>
      <c r="O23" s="156">
        <f t="shared" si="21"/>
        <v>8876.2999999999993</v>
      </c>
      <c r="P23" s="156">
        <f t="shared" si="21"/>
        <v>29867.4</v>
      </c>
      <c r="Q23" s="156">
        <f t="shared" si="21"/>
        <v>23893.9</v>
      </c>
      <c r="R23" s="156">
        <f t="shared" si="21"/>
        <v>23893.9</v>
      </c>
      <c r="S23" s="156">
        <f t="shared" si="21"/>
        <v>2485</v>
      </c>
      <c r="T23" s="156">
        <f t="shared" si="21"/>
        <v>80140.2</v>
      </c>
      <c r="U23" s="156">
        <f t="shared" si="21"/>
        <v>1</v>
      </c>
      <c r="V23" s="156">
        <f t="shared" si="21"/>
        <v>80140.2</v>
      </c>
      <c r="W23" s="156">
        <f>SUM(W9:W22)</f>
        <v>24003.599999999999</v>
      </c>
      <c r="X23" s="156">
        <f>SUM(X9:X22)</f>
        <v>75</v>
      </c>
      <c r="Y23" s="156">
        <f t="shared" si="21"/>
        <v>425</v>
      </c>
      <c r="Z23" s="190">
        <f t="shared" si="21"/>
        <v>2255</v>
      </c>
      <c r="AA23" s="156">
        <f t="shared" si="21"/>
        <v>30</v>
      </c>
      <c r="AB23" s="156">
        <f t="shared" si="21"/>
        <v>212.5</v>
      </c>
      <c r="AC23" s="190">
        <f t="shared" si="21"/>
        <v>450</v>
      </c>
      <c r="AD23" s="156">
        <f t="shared" si="21"/>
        <v>16</v>
      </c>
      <c r="AE23" s="156">
        <f t="shared" si="21"/>
        <v>425</v>
      </c>
      <c r="AF23" s="190">
        <f t="shared" si="21"/>
        <v>480</v>
      </c>
      <c r="AG23" s="190">
        <f t="shared" si="21"/>
        <v>955.5</v>
      </c>
      <c r="AH23" s="190">
        <f t="shared" si="21"/>
        <v>4140.5</v>
      </c>
      <c r="AI23" s="34"/>
      <c r="AJ23" s="187"/>
      <c r="AK23" s="34"/>
      <c r="AL23" s="34"/>
      <c r="AM23" s="51"/>
      <c r="AN23" s="22"/>
      <c r="AO23" s="22"/>
      <c r="AP23" s="22"/>
      <c r="AQ23" s="22"/>
      <c r="AS23" s="51"/>
    </row>
    <row r="24" spans="1:45" s="192" customFormat="1" ht="14.25" customHeight="1" x14ac:dyDescent="0.2">
      <c r="A24" s="33"/>
      <c r="B24" s="22"/>
      <c r="C24" s="191"/>
      <c r="D24" s="22"/>
      <c r="E24" s="22"/>
      <c r="F24" s="22"/>
      <c r="G24" s="39"/>
      <c r="H24" s="39"/>
      <c r="I24" s="39"/>
      <c r="J24" s="39"/>
      <c r="K24" s="39"/>
      <c r="L24" s="39"/>
      <c r="M24" s="39"/>
      <c r="N24" s="39"/>
      <c r="O24" s="39"/>
      <c r="P24" s="39"/>
      <c r="Q24" s="39"/>
      <c r="R24" s="39"/>
      <c r="S24" s="39"/>
      <c r="T24" s="39"/>
      <c r="U24" s="22"/>
      <c r="V24" s="34"/>
      <c r="W24" s="66"/>
      <c r="X24" s="39"/>
      <c r="Y24" s="22"/>
      <c r="Z24" s="22"/>
      <c r="AA24" s="39"/>
      <c r="AB24" s="22"/>
      <c r="AC24" s="22"/>
      <c r="AD24" s="39"/>
      <c r="AE24" s="22"/>
      <c r="AF24" s="22"/>
      <c r="AG24" s="39"/>
      <c r="AH24" s="39"/>
      <c r="AI24" s="34"/>
      <c r="AJ24" s="187"/>
      <c r="AK24" s="34"/>
      <c r="AL24" s="34"/>
      <c r="AM24" s="51"/>
      <c r="AN24" s="22"/>
      <c r="AO24" s="22"/>
      <c r="AP24" s="22"/>
      <c r="AQ24" s="22"/>
      <c r="AS24" s="51"/>
    </row>
    <row r="25" spans="1:45" s="192" customFormat="1" ht="14.25" customHeight="1" x14ac:dyDescent="0.2">
      <c r="A25" s="33"/>
      <c r="B25" s="22"/>
      <c r="C25" s="191"/>
      <c r="D25" s="22"/>
      <c r="E25" s="22"/>
      <c r="F25" s="22"/>
      <c r="G25" s="39"/>
      <c r="H25" s="39"/>
      <c r="I25" s="39"/>
      <c r="J25" s="39"/>
      <c r="K25" s="39"/>
      <c r="L25" s="39"/>
      <c r="M25" s="39"/>
      <c r="N25" s="39"/>
      <c r="O25" s="39"/>
      <c r="P25" s="39"/>
      <c r="Q25" s="39"/>
      <c r="R25" s="39"/>
      <c r="S25" s="39"/>
      <c r="T25" s="39"/>
      <c r="U25" s="22"/>
      <c r="V25" s="66"/>
      <c r="W25" s="34"/>
      <c r="X25" s="39"/>
      <c r="Y25" s="22"/>
      <c r="Z25" s="22"/>
      <c r="AA25" s="39"/>
      <c r="AB25" s="22"/>
      <c r="AC25" s="22"/>
      <c r="AD25" s="39"/>
      <c r="AE25" s="22"/>
      <c r="AF25" s="22"/>
      <c r="AG25" s="39"/>
      <c r="AH25" s="39"/>
      <c r="AI25" s="34"/>
      <c r="AJ25" s="187"/>
      <c r="AK25" s="34"/>
      <c r="AL25" s="34"/>
      <c r="AM25" s="51"/>
      <c r="AN25" s="22"/>
      <c r="AO25" s="22"/>
      <c r="AP25" s="22"/>
      <c r="AQ25" s="22"/>
      <c r="AS25" s="51"/>
    </row>
    <row r="26" spans="1:45" s="192" customFormat="1" ht="58.5" customHeight="1" x14ac:dyDescent="0.2">
      <c r="A26" s="33"/>
      <c r="B26" s="22"/>
      <c r="C26" s="191"/>
      <c r="D26" s="22"/>
      <c r="E26" s="22"/>
      <c r="F26" s="22"/>
      <c r="G26" s="2244" t="s">
        <v>140</v>
      </c>
      <c r="H26" s="2244"/>
      <c r="I26" s="2244" t="s">
        <v>143</v>
      </c>
      <c r="J26" s="2244"/>
      <c r="K26" s="2240" t="s">
        <v>135</v>
      </c>
      <c r="L26" s="2241"/>
      <c r="M26" s="2244" t="s">
        <v>128</v>
      </c>
      <c r="N26" s="2244"/>
      <c r="Q26" s="39"/>
      <c r="R26" s="39"/>
      <c r="S26" s="39"/>
      <c r="T26" s="39"/>
      <c r="U26" s="22"/>
      <c r="V26" s="34"/>
      <c r="W26" s="34"/>
      <c r="X26" s="39"/>
      <c r="Y26" s="22"/>
      <c r="Z26" s="22"/>
      <c r="AA26" s="39"/>
      <c r="AB26" s="22"/>
      <c r="AC26" s="22"/>
      <c r="AD26" s="39"/>
      <c r="AE26" s="22"/>
      <c r="AF26" s="22"/>
      <c r="AG26" s="39"/>
      <c r="AH26" s="39"/>
      <c r="AI26" s="34"/>
      <c r="AJ26" s="187"/>
      <c r="AK26" s="34"/>
      <c r="AL26" s="34"/>
      <c r="AM26" s="51"/>
      <c r="AN26" s="22"/>
      <c r="AO26" s="22"/>
      <c r="AP26" s="22"/>
      <c r="AQ26" s="22"/>
      <c r="AS26" s="51"/>
    </row>
    <row r="27" spans="1:45" s="192" customFormat="1" ht="14.25" customHeight="1" x14ac:dyDescent="0.2">
      <c r="A27" s="33"/>
      <c r="B27" s="22"/>
      <c r="C27" s="191"/>
      <c r="D27" s="22"/>
      <c r="E27" s="22"/>
      <c r="F27" s="22"/>
      <c r="G27" s="279">
        <v>991</v>
      </c>
      <c r="H27" s="279">
        <v>992</v>
      </c>
      <c r="I27" s="279">
        <v>991</v>
      </c>
      <c r="J27" s="279">
        <v>992</v>
      </c>
      <c r="K27" s="279">
        <v>991</v>
      </c>
      <c r="L27" s="279">
        <v>992</v>
      </c>
      <c r="M27" s="279">
        <v>991</v>
      </c>
      <c r="N27" s="279">
        <v>992</v>
      </c>
      <c r="Q27" s="39"/>
      <c r="R27" s="39"/>
      <c r="S27" s="39"/>
      <c r="T27" s="39"/>
      <c r="U27" s="22"/>
      <c r="V27" s="34"/>
      <c r="W27" s="34"/>
      <c r="X27" s="39"/>
      <c r="Y27" s="22"/>
      <c r="Z27" s="22"/>
      <c r="AA27" s="39"/>
      <c r="AB27" s="22"/>
      <c r="AC27" s="22"/>
      <c r="AD27" s="39"/>
      <c r="AE27" s="22"/>
      <c r="AF27" s="22"/>
      <c r="AG27" s="39"/>
      <c r="AH27" s="39"/>
      <c r="AI27" s="34"/>
      <c r="AJ27" s="187"/>
      <c r="AK27" s="34"/>
      <c r="AL27" s="34"/>
      <c r="AM27" s="51"/>
      <c r="AN27" s="22"/>
      <c r="AO27" s="22"/>
      <c r="AP27" s="22"/>
      <c r="AQ27" s="22"/>
      <c r="AS27" s="51"/>
    </row>
    <row r="28" spans="1:45" s="192" customFormat="1" ht="14.25" customHeight="1" x14ac:dyDescent="0.2">
      <c r="A28" s="33"/>
      <c r="B28" s="22"/>
      <c r="C28" s="191"/>
      <c r="D28" s="22"/>
      <c r="E28" s="22"/>
      <c r="F28" s="22"/>
      <c r="G28" s="29">
        <f>76536+3092.6+824.1</f>
        <v>80452.7</v>
      </c>
      <c r="H28" s="29">
        <v>24137.9</v>
      </c>
      <c r="I28" s="29">
        <v>312.5</v>
      </c>
      <c r="J28" s="29">
        <v>94.4</v>
      </c>
      <c r="K28" s="29">
        <f>V23</f>
        <v>80140.2</v>
      </c>
      <c r="L28" s="29">
        <f>W23</f>
        <v>24003.599999999999</v>
      </c>
      <c r="M28" s="29">
        <f>G28-I28-K28</f>
        <v>0</v>
      </c>
      <c r="N28" s="29">
        <f>H28-J28-L28</f>
        <v>39.9</v>
      </c>
      <c r="Q28" s="39"/>
      <c r="R28" s="39"/>
      <c r="S28" s="39"/>
      <c r="T28" s="39"/>
      <c r="U28" s="22"/>
      <c r="V28" s="34"/>
      <c r="W28" s="34"/>
      <c r="X28" s="39"/>
      <c r="Y28" s="22"/>
      <c r="Z28" s="22"/>
      <c r="AA28" s="39"/>
      <c r="AB28" s="22"/>
      <c r="AC28" s="22"/>
      <c r="AD28" s="39"/>
      <c r="AE28" s="22"/>
      <c r="AF28" s="22"/>
      <c r="AG28" s="39"/>
      <c r="AH28" s="39"/>
      <c r="AI28" s="34"/>
      <c r="AJ28" s="187"/>
      <c r="AK28" s="34"/>
      <c r="AL28" s="34"/>
      <c r="AM28" s="51"/>
      <c r="AN28" s="22"/>
      <c r="AO28" s="22"/>
      <c r="AP28" s="22"/>
      <c r="AQ28" s="22"/>
      <c r="AS28" s="51"/>
    </row>
    <row r="29" spans="1:45" s="192" customFormat="1" ht="14.25" customHeight="1" x14ac:dyDescent="0.2">
      <c r="A29" s="33"/>
      <c r="B29" s="22"/>
      <c r="C29" s="191"/>
      <c r="D29" s="22"/>
      <c r="E29" s="22"/>
      <c r="F29" s="22"/>
      <c r="G29" s="39"/>
      <c r="H29" s="39"/>
      <c r="I29" s="157"/>
      <c r="J29" s="157"/>
      <c r="K29" s="157"/>
      <c r="L29" s="157"/>
      <c r="M29" s="39"/>
      <c r="N29" s="39"/>
      <c r="O29" s="39"/>
      <c r="P29" s="39"/>
      <c r="Q29" s="39"/>
      <c r="R29" s="39"/>
      <c r="S29" s="39"/>
      <c r="T29" s="39"/>
      <c r="U29" s="22"/>
      <c r="V29" s="34"/>
      <c r="W29" s="34"/>
      <c r="X29" s="39"/>
      <c r="Y29" s="22"/>
      <c r="Z29" s="22"/>
      <c r="AA29" s="39"/>
      <c r="AB29" s="22"/>
      <c r="AC29" s="22"/>
      <c r="AD29" s="39"/>
      <c r="AE29" s="22"/>
      <c r="AF29" s="22"/>
      <c r="AG29" s="39"/>
      <c r="AH29" s="39"/>
      <c r="AI29" s="34"/>
      <c r="AJ29" s="187"/>
      <c r="AK29" s="34"/>
      <c r="AL29" s="34"/>
      <c r="AM29" s="51"/>
      <c r="AN29" s="22"/>
      <c r="AO29" s="22"/>
      <c r="AP29" s="22"/>
      <c r="AQ29" s="22"/>
      <c r="AS29" s="51"/>
    </row>
    <row r="30" spans="1:45" s="192" customFormat="1" ht="14.25" customHeight="1" x14ac:dyDescent="0.2">
      <c r="A30" s="33"/>
      <c r="B30" s="22"/>
      <c r="C30" s="191"/>
      <c r="D30" s="22"/>
      <c r="E30" s="22"/>
      <c r="F30" s="22"/>
      <c r="G30" s="39"/>
      <c r="H30" s="39"/>
      <c r="I30" s="157"/>
      <c r="J30" s="157"/>
      <c r="K30" s="157"/>
      <c r="L30" s="157"/>
      <c r="M30" s="39"/>
      <c r="N30" s="39"/>
      <c r="O30" s="39"/>
      <c r="P30" s="39"/>
      <c r="Q30" s="39"/>
      <c r="R30" s="39"/>
      <c r="S30" s="39"/>
      <c r="T30" s="39"/>
      <c r="U30" s="22"/>
      <c r="V30" s="34"/>
      <c r="W30" s="34"/>
      <c r="X30" s="39"/>
      <c r="Y30" s="22"/>
      <c r="Z30" s="22"/>
      <c r="AA30" s="39"/>
      <c r="AB30" s="22"/>
      <c r="AC30" s="22"/>
      <c r="AD30" s="39"/>
      <c r="AE30" s="22"/>
      <c r="AF30" s="22"/>
      <c r="AG30" s="39"/>
      <c r="AH30" s="39"/>
      <c r="AI30" s="34"/>
      <c r="AJ30" s="187"/>
      <c r="AK30" s="34"/>
      <c r="AL30" s="34"/>
      <c r="AM30" s="51"/>
      <c r="AN30" s="22"/>
      <c r="AO30" s="22"/>
      <c r="AP30" s="22"/>
      <c r="AQ30" s="22"/>
      <c r="AS30" s="51"/>
    </row>
    <row r="31" spans="1:45" s="192" customFormat="1" ht="14.25" customHeight="1" x14ac:dyDescent="0.2">
      <c r="A31" s="33"/>
      <c r="B31" s="22"/>
      <c r="C31" s="191"/>
      <c r="D31" s="22"/>
      <c r="E31" s="22"/>
      <c r="F31" s="22"/>
      <c r="G31" s="39"/>
      <c r="H31" s="39"/>
      <c r="I31" s="39"/>
      <c r="J31" s="39"/>
      <c r="K31" s="39"/>
      <c r="L31" s="39"/>
      <c r="M31" s="39"/>
      <c r="N31" s="39"/>
      <c r="O31" s="39"/>
      <c r="P31" s="39"/>
      <c r="Q31" s="39"/>
      <c r="R31" s="39"/>
      <c r="S31" s="39"/>
      <c r="T31" s="39"/>
      <c r="U31" s="22"/>
      <c r="V31" s="34"/>
      <c r="W31" s="34"/>
      <c r="X31" s="39"/>
      <c r="Y31" s="22"/>
      <c r="Z31" s="22"/>
      <c r="AA31" s="39"/>
      <c r="AB31" s="22"/>
      <c r="AC31" s="22"/>
      <c r="AD31" s="39"/>
      <c r="AE31" s="22"/>
      <c r="AF31" s="22"/>
      <c r="AG31" s="39"/>
      <c r="AH31" s="39"/>
      <c r="AI31" s="34"/>
      <c r="AJ31" s="187"/>
      <c r="AK31" s="34"/>
      <c r="AL31" s="34"/>
      <c r="AM31" s="51"/>
      <c r="AN31" s="22"/>
      <c r="AO31" s="22"/>
      <c r="AP31" s="22"/>
      <c r="AQ31" s="22"/>
      <c r="AS31" s="51"/>
    </row>
    <row r="32" spans="1:45" s="192" customFormat="1" ht="14.25" customHeight="1" x14ac:dyDescent="0.2">
      <c r="A32" s="33"/>
      <c r="B32" s="22"/>
      <c r="C32" s="191"/>
      <c r="D32" s="22"/>
      <c r="E32" s="22"/>
      <c r="F32" s="22"/>
      <c r="G32" s="39"/>
      <c r="H32" s="39"/>
      <c r="I32" s="39"/>
      <c r="J32" s="39"/>
      <c r="K32" s="39"/>
      <c r="L32" s="39"/>
      <c r="M32" s="39"/>
      <c r="N32" s="39"/>
      <c r="O32" s="39"/>
      <c r="P32" s="39"/>
      <c r="Q32" s="39"/>
      <c r="R32" s="39"/>
      <c r="S32" s="39"/>
      <c r="T32" s="39"/>
      <c r="U32" s="22"/>
      <c r="V32" s="39"/>
      <c r="W32" s="39"/>
      <c r="X32" s="39"/>
      <c r="Y32" s="22"/>
      <c r="Z32" s="22"/>
      <c r="AA32" s="39"/>
      <c r="AB32" s="22"/>
      <c r="AC32" s="22"/>
      <c r="AD32" s="39"/>
      <c r="AE32" s="22"/>
      <c r="AF32" s="22"/>
      <c r="AG32" s="39"/>
      <c r="AH32" s="39"/>
      <c r="AI32" s="34"/>
      <c r="AJ32" s="187"/>
      <c r="AK32" s="34"/>
      <c r="AL32" s="34"/>
      <c r="AM32" s="51"/>
      <c r="AN32" s="22"/>
      <c r="AO32" s="22"/>
      <c r="AP32" s="22"/>
      <c r="AQ32" s="22"/>
    </row>
    <row r="33" spans="1:43" s="195" customFormat="1" ht="14.25" x14ac:dyDescent="0.2">
      <c r="A33" s="165"/>
      <c r="B33" s="193"/>
      <c r="C33" s="194"/>
      <c r="D33" s="194"/>
      <c r="E33" s="158"/>
      <c r="F33" s="158"/>
      <c r="G33" s="158"/>
      <c r="H33" s="158"/>
      <c r="I33" s="158"/>
      <c r="J33" s="158"/>
      <c r="K33" s="158"/>
      <c r="L33" s="158"/>
      <c r="M33" s="157"/>
      <c r="N33" s="157"/>
      <c r="O33" s="157"/>
      <c r="P33" s="157"/>
      <c r="Q33" s="157"/>
      <c r="R33" s="157"/>
      <c r="S33" s="157"/>
      <c r="T33" s="157"/>
      <c r="V33" s="157"/>
      <c r="W33" s="157"/>
      <c r="Z33" s="157"/>
      <c r="AC33" s="157"/>
      <c r="AF33" s="157"/>
      <c r="AG33" s="157"/>
      <c r="AI33" s="196"/>
      <c r="AN33" s="62"/>
      <c r="AO33" s="62"/>
      <c r="AP33" s="62"/>
      <c r="AQ33" s="62"/>
    </row>
    <row r="34" spans="1:43" s="195" customFormat="1" ht="14.25" x14ac:dyDescent="0.2">
      <c r="A34" s="165"/>
      <c r="B34" s="193"/>
      <c r="C34" s="194"/>
      <c r="D34" s="194"/>
      <c r="E34" s="158"/>
      <c r="F34" s="158"/>
      <c r="G34" s="158"/>
      <c r="H34" s="158"/>
      <c r="I34" s="158"/>
      <c r="J34" s="158"/>
      <c r="K34" s="158"/>
      <c r="L34" s="158"/>
      <c r="M34" s="157"/>
      <c r="N34" s="157"/>
      <c r="O34" s="157"/>
      <c r="P34" s="157"/>
      <c r="Q34" s="157"/>
      <c r="R34" s="157"/>
      <c r="S34" s="157"/>
      <c r="T34" s="157"/>
      <c r="V34" s="157"/>
      <c r="W34" s="157"/>
      <c r="Z34" s="157"/>
      <c r="AC34" s="157"/>
      <c r="AF34" s="157"/>
      <c r="AG34" s="157"/>
      <c r="AI34" s="196"/>
      <c r="AN34" s="62"/>
      <c r="AO34" s="62"/>
      <c r="AP34" s="62"/>
      <c r="AQ34" s="62"/>
    </row>
    <row r="35" spans="1:43" s="282" customFormat="1" ht="20.25" x14ac:dyDescent="0.2">
      <c r="A35" s="81"/>
      <c r="B35" s="82" t="s">
        <v>138</v>
      </c>
      <c r="C35" s="83"/>
      <c r="D35" s="84"/>
      <c r="E35" s="84"/>
      <c r="F35" s="85"/>
      <c r="G35" s="85"/>
      <c r="H35" s="86"/>
      <c r="I35" s="86"/>
      <c r="J35" s="85"/>
      <c r="K35" s="30" t="s">
        <v>166</v>
      </c>
      <c r="L35" s="85"/>
      <c r="M35" s="85"/>
      <c r="N35" s="87"/>
      <c r="O35" s="85"/>
      <c r="P35" s="85"/>
      <c r="Q35" s="85"/>
      <c r="R35" s="85"/>
      <c r="S35" s="85"/>
      <c r="T35" s="85"/>
      <c r="U35" s="85"/>
      <c r="V35" s="85"/>
      <c r="W35" s="85"/>
      <c r="X35" s="85"/>
      <c r="Y35" s="85"/>
      <c r="Z35" s="85"/>
      <c r="AA35" s="85"/>
      <c r="AB35" s="85"/>
      <c r="AC35" s="85"/>
      <c r="AD35" s="85"/>
      <c r="AE35" s="85"/>
      <c r="AF35" s="85"/>
      <c r="AG35" s="85"/>
      <c r="AH35" s="85"/>
      <c r="AI35" s="85"/>
      <c r="AK35" s="88"/>
      <c r="AL35" s="88"/>
      <c r="AM35" s="88"/>
      <c r="AN35" s="88"/>
      <c r="AO35" s="88"/>
    </row>
    <row r="36" spans="1:43" s="205" customFormat="1" ht="15" x14ac:dyDescent="0.2">
      <c r="A36" s="197"/>
      <c r="B36" s="197"/>
      <c r="C36" s="198"/>
      <c r="D36" s="199"/>
      <c r="E36" s="199"/>
      <c r="F36" s="159"/>
      <c r="G36" s="159"/>
      <c r="H36" s="200"/>
      <c r="I36" s="200"/>
      <c r="J36" s="159"/>
      <c r="K36" s="159"/>
      <c r="L36" s="159"/>
      <c r="M36" s="159"/>
      <c r="N36" s="201"/>
      <c r="O36" s="159"/>
      <c r="P36" s="159"/>
      <c r="Q36" s="159"/>
      <c r="R36" s="159"/>
      <c r="S36" s="159"/>
      <c r="T36" s="159"/>
      <c r="U36" s="159"/>
      <c r="V36" s="202"/>
      <c r="W36" s="202"/>
      <c r="X36" s="203"/>
      <c r="Y36" s="159"/>
      <c r="Z36" s="159"/>
      <c r="AA36" s="159"/>
      <c r="AB36" s="159"/>
      <c r="AC36" s="159"/>
      <c r="AD36" s="159"/>
      <c r="AE36" s="159"/>
      <c r="AF36" s="159"/>
      <c r="AG36" s="159"/>
      <c r="AH36" s="204"/>
      <c r="AM36" s="204"/>
      <c r="AN36" s="76"/>
      <c r="AO36" s="76"/>
      <c r="AP36" s="76"/>
      <c r="AQ36" s="76"/>
    </row>
    <row r="37" spans="1:43" s="205" customFormat="1" ht="15.75" x14ac:dyDescent="0.2">
      <c r="A37" s="206" t="s">
        <v>96</v>
      </c>
      <c r="B37" s="206"/>
      <c r="C37" s="160"/>
      <c r="D37" s="160"/>
      <c r="E37" s="160"/>
      <c r="F37" s="160"/>
      <c r="G37" s="160"/>
      <c r="H37" s="160"/>
      <c r="I37" s="160"/>
      <c r="J37" s="160"/>
      <c r="K37" s="160"/>
      <c r="L37" s="207"/>
      <c r="M37" s="207"/>
      <c r="N37" s="208"/>
      <c r="O37" s="207"/>
      <c r="P37" s="207"/>
      <c r="Q37" s="207"/>
      <c r="R37" s="207"/>
      <c r="S37" s="207"/>
      <c r="T37" s="207"/>
      <c r="U37" s="207"/>
      <c r="V37" s="207"/>
      <c r="W37" s="207"/>
      <c r="X37" s="207"/>
      <c r="Y37" s="207"/>
      <c r="Z37" s="207"/>
      <c r="AA37" s="207"/>
      <c r="AB37" s="207"/>
      <c r="AC37" s="207"/>
      <c r="AD37" s="207"/>
      <c r="AE37" s="207"/>
      <c r="AF37" s="207"/>
      <c r="AG37" s="207"/>
      <c r="AH37" s="204"/>
      <c r="AM37" s="204"/>
      <c r="AN37" s="76"/>
      <c r="AO37" s="76"/>
      <c r="AP37" s="76"/>
      <c r="AQ37" s="76"/>
    </row>
    <row r="38" spans="1:43" s="205" customFormat="1" ht="15.75" x14ac:dyDescent="0.2">
      <c r="A38" s="206" t="s">
        <v>139</v>
      </c>
      <c r="B38" s="209"/>
      <c r="C38" s="210"/>
      <c r="D38" s="210"/>
      <c r="E38" s="161"/>
      <c r="F38" s="161"/>
      <c r="G38" s="161"/>
      <c r="H38" s="161"/>
      <c r="I38" s="161"/>
      <c r="J38" s="161"/>
      <c r="K38" s="161"/>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4"/>
      <c r="AM38" s="204"/>
      <c r="AN38" s="76"/>
      <c r="AO38" s="76"/>
      <c r="AP38" s="76"/>
      <c r="AQ38" s="76"/>
    </row>
    <row r="39" spans="1:43" ht="20.25" x14ac:dyDescent="0.2">
      <c r="AN39" s="88"/>
      <c r="AO39" s="88"/>
      <c r="AP39" s="88"/>
      <c r="AQ39" s="88"/>
    </row>
    <row r="40" spans="1:43" x14ac:dyDescent="0.2">
      <c r="E40" s="51"/>
      <c r="F40" s="51"/>
    </row>
    <row r="41" spans="1:43" x14ac:dyDescent="0.2">
      <c r="E41" s="51"/>
      <c r="F41" s="51"/>
    </row>
    <row r="42" spans="1:43" x14ac:dyDescent="0.2">
      <c r="E42" s="51"/>
      <c r="F42" s="51"/>
    </row>
    <row r="43" spans="1:43" x14ac:dyDescent="0.2">
      <c r="E43" s="51"/>
      <c r="F43" s="51"/>
    </row>
    <row r="44" spans="1:43" x14ac:dyDescent="0.2">
      <c r="E44" s="51"/>
      <c r="F44" s="51"/>
    </row>
    <row r="45" spans="1:43" x14ac:dyDescent="0.2">
      <c r="E45" s="51"/>
      <c r="F45" s="51"/>
    </row>
    <row r="46" spans="1:43" x14ac:dyDescent="0.2">
      <c r="E46" s="51"/>
      <c r="F46" s="51"/>
    </row>
    <row r="47" spans="1:43" x14ac:dyDescent="0.2">
      <c r="E47" s="51"/>
      <c r="F47" s="51"/>
    </row>
    <row r="48" spans="1:43" x14ac:dyDescent="0.2">
      <c r="E48" s="51"/>
      <c r="F48" s="51"/>
    </row>
    <row r="49" spans="5:6" x14ac:dyDescent="0.2">
      <c r="E49" s="51"/>
      <c r="F49" s="51"/>
    </row>
    <row r="50" spans="5:6" x14ac:dyDescent="0.2">
      <c r="E50" s="51"/>
      <c r="F50" s="51"/>
    </row>
    <row r="51" spans="5:6" x14ac:dyDescent="0.2">
      <c r="E51" s="51"/>
      <c r="F51" s="51"/>
    </row>
    <row r="52" spans="5:6" x14ac:dyDescent="0.2">
      <c r="E52" s="51"/>
      <c r="F52" s="51"/>
    </row>
    <row r="53" spans="5:6" x14ac:dyDescent="0.2">
      <c r="E53" s="51"/>
    </row>
    <row r="54" spans="5:6" x14ac:dyDescent="0.2">
      <c r="E54" s="51"/>
    </row>
    <row r="55" spans="5:6" x14ac:dyDescent="0.2">
      <c r="E55" s="51"/>
    </row>
    <row r="56" spans="5:6" x14ac:dyDescent="0.2">
      <c r="E56" s="51"/>
    </row>
    <row r="57" spans="5:6" x14ac:dyDescent="0.2">
      <c r="E57" s="51"/>
    </row>
  </sheetData>
  <autoFilter ref="A8:AS24" xr:uid="{00000000-0009-0000-0000-00005F000000}"/>
  <mergeCells count="38">
    <mergeCell ref="AE1:AH1"/>
    <mergeCell ref="A2:AH2"/>
    <mergeCell ref="A3:AH3"/>
    <mergeCell ref="A5:A7"/>
    <mergeCell ref="B5:B7"/>
    <mergeCell ref="C5:C7"/>
    <mergeCell ref="D5:W5"/>
    <mergeCell ref="X5:AH5"/>
    <mergeCell ref="D6:D7"/>
    <mergeCell ref="E6:E7"/>
    <mergeCell ref="F6:F7"/>
    <mergeCell ref="G6:G7"/>
    <mergeCell ref="H6:H7"/>
    <mergeCell ref="I6:I7"/>
    <mergeCell ref="J6:J7"/>
    <mergeCell ref="AD6:AF6"/>
    <mergeCell ref="AG6:AG7"/>
    <mergeCell ref="AH6:AH7"/>
    <mergeCell ref="U9:U22"/>
    <mergeCell ref="A23:B23"/>
    <mergeCell ref="S6:S7"/>
    <mergeCell ref="T6:T7"/>
    <mergeCell ref="U6:U7"/>
    <mergeCell ref="V6:V7"/>
    <mergeCell ref="W6:W7"/>
    <mergeCell ref="X6:Z6"/>
    <mergeCell ref="L6:L7"/>
    <mergeCell ref="M6:M7"/>
    <mergeCell ref="N6:O6"/>
    <mergeCell ref="P6:P7"/>
    <mergeCell ref="Q6:Q7"/>
    <mergeCell ref="G26:H26"/>
    <mergeCell ref="I26:J26"/>
    <mergeCell ref="K26:L26"/>
    <mergeCell ref="M26:N26"/>
    <mergeCell ref="AA6:AC6"/>
    <mergeCell ref="R6:R7"/>
    <mergeCell ref="K6:K7"/>
  </mergeCells>
  <printOptions horizontalCentered="1"/>
  <pageMargins left="0" right="0" top="0" bottom="0" header="0.31496062992125984" footer="0.31496062992125984"/>
  <pageSetup paperSize="9" scale="36" orientation="landscape" r:id="rId1"/>
  <legacyDrawing r:id="rId2"/>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rgb="FF00B050"/>
    <pageSetUpPr fitToPage="1"/>
  </sheetPr>
  <dimension ref="A1:AS105"/>
  <sheetViews>
    <sheetView view="pageBreakPreview" zoomScale="80" zoomScaleNormal="80" zoomScaleSheetLayoutView="80" workbookViewId="0">
      <pane xSplit="3" ySplit="8" topLeftCell="D45" activePane="bottomRight" state="frozen"/>
      <selection activeCell="M26" sqref="M26:N26"/>
      <selection pane="topRight" activeCell="M26" sqref="M26:N26"/>
      <selection pane="bottomLeft" activeCell="M26" sqref="M26:N26"/>
      <selection pane="bottomRight" activeCell="M26" sqref="M26:N26"/>
    </sheetView>
  </sheetViews>
  <sheetFormatPr defaultRowHeight="15" x14ac:dyDescent="0.2"/>
  <cols>
    <col min="1" max="1" width="7.83203125" style="33" customWidth="1"/>
    <col min="2" max="2" width="30.83203125" style="22" customWidth="1"/>
    <col min="3" max="3" width="13.83203125" style="22" customWidth="1"/>
    <col min="4" max="4" width="14" style="22" customWidth="1"/>
    <col min="5" max="5" width="13" style="22" customWidth="1"/>
    <col min="6" max="6" width="14.6640625" style="22" customWidth="1"/>
    <col min="7" max="7" width="12.83203125" style="22" customWidth="1"/>
    <col min="8" max="8" width="15.83203125" style="22" customWidth="1"/>
    <col min="9" max="9" width="13.5" style="22" customWidth="1"/>
    <col min="10" max="10" width="16.83203125" style="22" customWidth="1"/>
    <col min="11" max="11" width="13.5" style="22" customWidth="1"/>
    <col min="12" max="12" width="13.33203125" style="22" customWidth="1"/>
    <col min="13" max="13" width="14" style="22" customWidth="1"/>
    <col min="14" max="14" width="11.5" style="22" customWidth="1"/>
    <col min="15" max="15" width="11.6640625" style="22" customWidth="1"/>
    <col min="16" max="16" width="13.33203125" style="22" customWidth="1"/>
    <col min="17" max="17" width="11.5" style="22" customWidth="1"/>
    <col min="18" max="18" width="13" style="22" customWidth="1"/>
    <col min="19" max="19" width="15.5" style="22" customWidth="1"/>
    <col min="20" max="20" width="12.33203125" style="22" customWidth="1"/>
    <col min="21" max="21" width="11.6640625" style="22" customWidth="1"/>
    <col min="22" max="22" width="14.5" style="22" customWidth="1"/>
    <col min="23" max="23" width="16" style="22" customWidth="1"/>
    <col min="24" max="24" width="14.1640625" style="22" customWidth="1"/>
    <col min="25" max="25" width="11.1640625" style="22" customWidth="1"/>
    <col min="26" max="26" width="9.83203125" style="22" customWidth="1"/>
    <col min="27" max="30" width="8.5" style="22" customWidth="1"/>
    <col min="31" max="31" width="15.1640625" style="22" bestFit="1" customWidth="1"/>
    <col min="32" max="32" width="9.6640625" style="22" customWidth="1"/>
    <col min="33" max="33" width="9.33203125" style="22" customWidth="1"/>
    <col min="34" max="34" width="13.5" style="22" customWidth="1"/>
    <col min="35" max="35" width="14.5" style="34" customWidth="1"/>
    <col min="36" max="36" width="9.33203125" style="22"/>
    <col min="37" max="37" width="12.6640625" style="211" customWidth="1"/>
    <col min="38" max="38" width="11.6640625" style="211" hidden="1" customWidth="1"/>
    <col min="39" max="39" width="13" style="211" hidden="1" customWidth="1"/>
    <col min="40" max="40" width="14.1640625" style="211" bestFit="1" customWidth="1"/>
    <col min="41" max="41" width="9.5" style="211" bestFit="1" customWidth="1"/>
    <col min="42" max="43" width="14.1640625" style="211" bestFit="1" customWidth="1"/>
    <col min="44" max="45" width="9.5" style="22" bestFit="1" customWidth="1"/>
    <col min="46" max="16384" width="9.33203125" style="22"/>
  </cols>
  <sheetData>
    <row r="1" spans="1:45" ht="18" customHeight="1" x14ac:dyDescent="0.2">
      <c r="AE1" s="2252"/>
      <c r="AF1" s="2252"/>
      <c r="AG1" s="2252"/>
      <c r="AH1" s="2252"/>
    </row>
    <row r="2" spans="1:45" ht="24" customHeight="1" x14ac:dyDescent="0.2">
      <c r="A2" s="2253" t="s">
        <v>160</v>
      </c>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36"/>
    </row>
    <row r="3" spans="1:45" ht="24.75" customHeight="1" x14ac:dyDescent="0.2">
      <c r="A3" s="2254"/>
      <c r="B3" s="2254"/>
      <c r="C3" s="2254"/>
      <c r="D3" s="2254"/>
      <c r="E3" s="2254"/>
      <c r="F3" s="2254"/>
      <c r="G3" s="2254"/>
      <c r="H3" s="2254"/>
      <c r="I3" s="2254"/>
      <c r="J3" s="2254"/>
      <c r="K3" s="2254"/>
      <c r="L3" s="2254"/>
      <c r="M3" s="2254"/>
      <c r="N3" s="2254"/>
      <c r="O3" s="2254"/>
      <c r="P3" s="2254"/>
      <c r="Q3" s="2254"/>
      <c r="R3" s="2254"/>
      <c r="S3" s="2254"/>
      <c r="T3" s="2254"/>
      <c r="U3" s="2254"/>
      <c r="V3" s="2254"/>
      <c r="W3" s="2254"/>
      <c r="X3" s="2254"/>
      <c r="Y3" s="2254"/>
      <c r="Z3" s="2254"/>
      <c r="AA3" s="2254"/>
      <c r="AB3" s="2254"/>
      <c r="AC3" s="2254"/>
      <c r="AD3" s="2254"/>
      <c r="AE3" s="2254"/>
      <c r="AF3" s="2254"/>
      <c r="AG3" s="2254"/>
      <c r="AH3" s="2254"/>
      <c r="AI3" s="283"/>
    </row>
    <row r="4" spans="1:45" x14ac:dyDescent="0.2">
      <c r="L4" s="38">
        <v>0.33837499999999998</v>
      </c>
      <c r="V4" s="39"/>
      <c r="W4" s="39"/>
    </row>
    <row r="5" spans="1:45" ht="38.25" customHeight="1" x14ac:dyDescent="0.2">
      <c r="A5" s="2255" t="s">
        <v>78</v>
      </c>
      <c r="B5" s="2255" t="s">
        <v>77</v>
      </c>
      <c r="C5" s="2242" t="s">
        <v>0</v>
      </c>
      <c r="D5" s="2242" t="s">
        <v>3</v>
      </c>
      <c r="E5" s="2242"/>
      <c r="F5" s="2242"/>
      <c r="G5" s="2242"/>
      <c r="H5" s="2242"/>
      <c r="I5" s="2242"/>
      <c r="J5" s="2242"/>
      <c r="K5" s="2242"/>
      <c r="L5" s="2242"/>
      <c r="M5" s="2242"/>
      <c r="N5" s="2242"/>
      <c r="O5" s="2242"/>
      <c r="P5" s="2242"/>
      <c r="Q5" s="2242"/>
      <c r="R5" s="2242"/>
      <c r="S5" s="2242"/>
      <c r="T5" s="2242"/>
      <c r="U5" s="2242"/>
      <c r="V5" s="2242"/>
      <c r="W5" s="2242"/>
      <c r="X5" s="2242" t="s">
        <v>4</v>
      </c>
      <c r="Y5" s="2242"/>
      <c r="Z5" s="2242"/>
      <c r="AA5" s="2242"/>
      <c r="AB5" s="2242"/>
      <c r="AC5" s="2242"/>
      <c r="AD5" s="2242"/>
      <c r="AE5" s="2242"/>
      <c r="AF5" s="2242"/>
      <c r="AG5" s="2242"/>
      <c r="AH5" s="2242"/>
    </row>
    <row r="6" spans="1:45" ht="60" customHeight="1" x14ac:dyDescent="0.2">
      <c r="A6" s="2255"/>
      <c r="B6" s="2255"/>
      <c r="C6" s="2242"/>
      <c r="D6" s="2245" t="s">
        <v>68</v>
      </c>
      <c r="E6" s="2245" t="s">
        <v>69</v>
      </c>
      <c r="F6" s="2245" t="s">
        <v>89</v>
      </c>
      <c r="G6" s="2245" t="s">
        <v>1</v>
      </c>
      <c r="H6" s="2245" t="s">
        <v>2</v>
      </c>
      <c r="I6" s="2245" t="s">
        <v>70</v>
      </c>
      <c r="J6" s="2245" t="s">
        <v>61</v>
      </c>
      <c r="K6" s="2245" t="s">
        <v>27</v>
      </c>
      <c r="L6" s="2250" t="s">
        <v>65</v>
      </c>
      <c r="M6" s="2250" t="s">
        <v>93</v>
      </c>
      <c r="N6" s="2251" t="s">
        <v>91</v>
      </c>
      <c r="O6" s="2251"/>
      <c r="P6" s="2251" t="s">
        <v>88</v>
      </c>
      <c r="Q6" s="2250" t="s">
        <v>82</v>
      </c>
      <c r="R6" s="2245" t="s">
        <v>83</v>
      </c>
      <c r="S6" s="2250" t="s">
        <v>87</v>
      </c>
      <c r="T6" s="2245" t="s">
        <v>84</v>
      </c>
      <c r="U6" s="2245" t="s">
        <v>9</v>
      </c>
      <c r="V6" s="2245" t="s">
        <v>7</v>
      </c>
      <c r="W6" s="2245" t="s">
        <v>85</v>
      </c>
      <c r="X6" s="2242" t="s">
        <v>10</v>
      </c>
      <c r="Y6" s="2242"/>
      <c r="Z6" s="2242"/>
      <c r="AA6" s="2242" t="s">
        <v>11</v>
      </c>
      <c r="AB6" s="2242"/>
      <c r="AC6" s="2242"/>
      <c r="AD6" s="2242" t="s">
        <v>12</v>
      </c>
      <c r="AE6" s="2242"/>
      <c r="AF6" s="2242"/>
      <c r="AG6" s="2242" t="s">
        <v>13</v>
      </c>
      <c r="AH6" s="2242" t="s">
        <v>73</v>
      </c>
    </row>
    <row r="7" spans="1:45" ht="97.5" customHeight="1" x14ac:dyDescent="0.2">
      <c r="A7" s="2255"/>
      <c r="B7" s="2255"/>
      <c r="C7" s="2242"/>
      <c r="D7" s="2245"/>
      <c r="E7" s="2245"/>
      <c r="F7" s="2245"/>
      <c r="G7" s="2245"/>
      <c r="H7" s="2245"/>
      <c r="I7" s="2245"/>
      <c r="J7" s="2245"/>
      <c r="K7" s="2245"/>
      <c r="L7" s="2250" t="s">
        <v>66</v>
      </c>
      <c r="M7" s="2250"/>
      <c r="N7" s="281" t="s">
        <v>80</v>
      </c>
      <c r="O7" s="281" t="s">
        <v>81</v>
      </c>
      <c r="P7" s="2251"/>
      <c r="Q7" s="2250"/>
      <c r="R7" s="2245"/>
      <c r="S7" s="2250" t="s">
        <v>67</v>
      </c>
      <c r="T7" s="2245"/>
      <c r="U7" s="2245"/>
      <c r="V7" s="2245"/>
      <c r="W7" s="2245"/>
      <c r="X7" s="280" t="s">
        <v>5</v>
      </c>
      <c r="Y7" s="280" t="s">
        <v>6</v>
      </c>
      <c r="Z7" s="280" t="s">
        <v>74</v>
      </c>
      <c r="AA7" s="280" t="s">
        <v>5</v>
      </c>
      <c r="AB7" s="280" t="s">
        <v>6</v>
      </c>
      <c r="AC7" s="280" t="s">
        <v>75</v>
      </c>
      <c r="AD7" s="280" t="s">
        <v>5</v>
      </c>
      <c r="AE7" s="280" t="s">
        <v>6</v>
      </c>
      <c r="AF7" s="280" t="s">
        <v>76</v>
      </c>
      <c r="AG7" s="2242"/>
      <c r="AH7" s="2242"/>
      <c r="AK7" s="211" t="s">
        <v>64</v>
      </c>
      <c r="AL7" s="211" t="s">
        <v>62</v>
      </c>
      <c r="AM7" s="70" t="s">
        <v>71</v>
      </c>
    </row>
    <row r="8" spans="1:45" x14ac:dyDescent="0.2">
      <c r="A8" s="278">
        <v>1</v>
      </c>
      <c r="B8" s="278">
        <v>2</v>
      </c>
      <c r="C8" s="278">
        <v>3</v>
      </c>
      <c r="D8" s="278">
        <v>4</v>
      </c>
      <c r="E8" s="278">
        <v>5</v>
      </c>
      <c r="F8" s="278">
        <v>6</v>
      </c>
      <c r="G8" s="278">
        <v>7</v>
      </c>
      <c r="H8" s="278">
        <v>8</v>
      </c>
      <c r="I8" s="278">
        <v>9</v>
      </c>
      <c r="J8" s="278">
        <v>10</v>
      </c>
      <c r="K8" s="278">
        <v>11</v>
      </c>
      <c r="L8" s="278">
        <v>12</v>
      </c>
      <c r="M8" s="278">
        <v>13</v>
      </c>
      <c r="N8" s="278">
        <v>14</v>
      </c>
      <c r="O8" s="278">
        <v>15</v>
      </c>
      <c r="P8" s="278">
        <v>16</v>
      </c>
      <c r="Q8" s="278">
        <v>17</v>
      </c>
      <c r="R8" s="278">
        <v>18</v>
      </c>
      <c r="S8" s="278">
        <v>19</v>
      </c>
      <c r="T8" s="278">
        <v>20</v>
      </c>
      <c r="U8" s="278">
        <v>21</v>
      </c>
      <c r="V8" s="278">
        <v>22</v>
      </c>
      <c r="W8" s="278">
        <v>23</v>
      </c>
      <c r="X8" s="278">
        <v>24</v>
      </c>
      <c r="Y8" s="278">
        <v>25</v>
      </c>
      <c r="Z8" s="278">
        <v>26</v>
      </c>
      <c r="AA8" s="278">
        <v>27</v>
      </c>
      <c r="AB8" s="278">
        <v>28</v>
      </c>
      <c r="AC8" s="278">
        <v>29</v>
      </c>
      <c r="AD8" s="278">
        <v>30</v>
      </c>
      <c r="AE8" s="278">
        <v>31</v>
      </c>
      <c r="AF8" s="278">
        <v>32</v>
      </c>
      <c r="AG8" s="278">
        <v>33</v>
      </c>
      <c r="AH8" s="278">
        <v>34</v>
      </c>
      <c r="AN8" s="212" t="s">
        <v>116</v>
      </c>
      <c r="AO8" s="212" t="s">
        <v>117</v>
      </c>
      <c r="AP8" s="212" t="s">
        <v>118</v>
      </c>
      <c r="AQ8" s="212" t="s">
        <v>119</v>
      </c>
    </row>
    <row r="9" spans="1:45" ht="16.5" customHeight="1" x14ac:dyDescent="0.2">
      <c r="A9" s="278">
        <v>1</v>
      </c>
      <c r="B9" s="44" t="s">
        <v>14</v>
      </c>
      <c r="C9" s="278">
        <v>1</v>
      </c>
      <c r="D9" s="213">
        <v>25.596</v>
      </c>
      <c r="E9" s="214">
        <f>C9*D9</f>
        <v>25.6</v>
      </c>
      <c r="F9" s="215">
        <f>E9*12</f>
        <v>307.2</v>
      </c>
      <c r="G9" s="154"/>
      <c r="H9" s="154"/>
      <c r="I9" s="154"/>
      <c r="J9" s="154"/>
      <c r="K9" s="154">
        <f>F9*0.4</f>
        <v>122.9</v>
      </c>
      <c r="L9" s="154">
        <f>F9*$L$4</f>
        <v>103.9</v>
      </c>
      <c r="M9" s="154">
        <f>F9+G9+H9+I9+J9+K9+L9</f>
        <v>534</v>
      </c>
      <c r="N9" s="171">
        <v>0.98</v>
      </c>
      <c r="O9" s="154">
        <f>M9*N9</f>
        <v>523.29999999999995</v>
      </c>
      <c r="P9" s="154">
        <f>M9+O9</f>
        <v>1057.3</v>
      </c>
      <c r="Q9" s="154">
        <f>P9*0.8</f>
        <v>845.8</v>
      </c>
      <c r="R9" s="154">
        <f>P9*0.8</f>
        <v>845.8</v>
      </c>
      <c r="S9" s="154">
        <f>(P9+Q9+R9)*0.032</f>
        <v>88</v>
      </c>
      <c r="T9" s="154">
        <f>P9+Q9+R9+S9</f>
        <v>2836.9</v>
      </c>
      <c r="U9" s="2246">
        <v>1</v>
      </c>
      <c r="V9" s="154">
        <f>T9*$U$9</f>
        <v>2836.9</v>
      </c>
      <c r="W9" s="154">
        <f>AQ9</f>
        <v>597.20000000000005</v>
      </c>
      <c r="X9" s="278">
        <v>1</v>
      </c>
      <c r="Y9" s="24">
        <v>30</v>
      </c>
      <c r="Z9" s="48">
        <f>X9*Y9</f>
        <v>30</v>
      </c>
      <c r="AA9" s="278"/>
      <c r="AB9" s="24">
        <v>15</v>
      </c>
      <c r="AC9" s="48">
        <f>AA9*AB9</f>
        <v>0</v>
      </c>
      <c r="AD9" s="278"/>
      <c r="AE9" s="24">
        <v>30</v>
      </c>
      <c r="AF9" s="48">
        <f>AD9*AE9</f>
        <v>0</v>
      </c>
      <c r="AG9" s="278">
        <f t="shared" ref="AG9:AG51" si="0">(Z9+AC9+AF9)*1%*30</f>
        <v>9</v>
      </c>
      <c r="AH9" s="48">
        <f t="shared" ref="AH9:AH27" si="1">Z9+AC9+AF9+AG9</f>
        <v>39</v>
      </c>
      <c r="AI9" s="34">
        <f t="shared" ref="AI9:AI36" si="2">V9/12/C9*1000</f>
        <v>236408.3</v>
      </c>
      <c r="AJ9" s="34"/>
      <c r="AK9" s="216">
        <f t="shared" ref="AK9:AK41" si="3">V9/C9</f>
        <v>2836.9</v>
      </c>
      <c r="AL9" s="216">
        <f>((979*0.302)+((AK9-979)*0.182))</f>
        <v>633.79999999999995</v>
      </c>
      <c r="AM9" s="217">
        <f>AL9/AK9</f>
        <v>0.223</v>
      </c>
      <c r="AN9" s="50">
        <f>1150*0.22*C9+(V9-1150*C9)*0.1</f>
        <v>421.7</v>
      </c>
      <c r="AO9" s="50">
        <f>865*0.029</f>
        <v>25.1</v>
      </c>
      <c r="AP9" s="50">
        <f>V9*0.053</f>
        <v>150.4</v>
      </c>
      <c r="AQ9" s="50">
        <f>SUM(AN9:AP9)</f>
        <v>597.20000000000005</v>
      </c>
      <c r="AS9" s="66"/>
    </row>
    <row r="10" spans="1:45" x14ac:dyDescent="0.2">
      <c r="A10" s="278">
        <v>2</v>
      </c>
      <c r="B10" s="44" t="s">
        <v>125</v>
      </c>
      <c r="C10" s="278">
        <v>1</v>
      </c>
      <c r="D10" s="177">
        <v>17.917000000000002</v>
      </c>
      <c r="E10" s="214">
        <f>C10*D10</f>
        <v>17.920000000000002</v>
      </c>
      <c r="F10" s="215">
        <f>E10*12</f>
        <v>215</v>
      </c>
      <c r="G10" s="154"/>
      <c r="H10" s="154">
        <v>8.6999999999999993</v>
      </c>
      <c r="I10" s="154"/>
      <c r="J10" s="154"/>
      <c r="K10" s="154">
        <f>F10*0.4</f>
        <v>86</v>
      </c>
      <c r="L10" s="154">
        <f t="shared" ref="L10:L51" si="4">F10*$L$4</f>
        <v>72.8</v>
      </c>
      <c r="M10" s="154">
        <f>F10+G10+H10+I10+J10+K10+L10</f>
        <v>382.5</v>
      </c>
      <c r="N10" s="171">
        <v>0.47</v>
      </c>
      <c r="O10" s="154">
        <f>M10*N10</f>
        <v>179.8</v>
      </c>
      <c r="P10" s="154">
        <f>M10+O10</f>
        <v>562.29999999999995</v>
      </c>
      <c r="Q10" s="154">
        <f>P10*0.8</f>
        <v>449.8</v>
      </c>
      <c r="R10" s="154">
        <f>P10*0.8</f>
        <v>449.8</v>
      </c>
      <c r="S10" s="154">
        <f>(P10+Q10+R10)*0.032</f>
        <v>46.8</v>
      </c>
      <c r="T10" s="154">
        <f>P10+Q10+R10+S10</f>
        <v>1508.7</v>
      </c>
      <c r="U10" s="2247"/>
      <c r="V10" s="154">
        <f t="shared" ref="V10:V50" si="5">T10*$U$9</f>
        <v>1508.7</v>
      </c>
      <c r="W10" s="154">
        <f t="shared" ref="W10:W11" si="6">AQ10</f>
        <v>394</v>
      </c>
      <c r="X10" s="278"/>
      <c r="Y10" s="24">
        <v>30</v>
      </c>
      <c r="Z10" s="48">
        <f>X10*Y10</f>
        <v>0</v>
      </c>
      <c r="AA10" s="278"/>
      <c r="AB10" s="24">
        <v>15</v>
      </c>
      <c r="AC10" s="48">
        <f>AA10*AB10</f>
        <v>0</v>
      </c>
      <c r="AD10" s="278"/>
      <c r="AE10" s="24">
        <v>30</v>
      </c>
      <c r="AF10" s="48">
        <f>AD10*AE10</f>
        <v>0</v>
      </c>
      <c r="AG10" s="278">
        <f t="shared" si="0"/>
        <v>0</v>
      </c>
      <c r="AH10" s="48">
        <f t="shared" si="1"/>
        <v>0</v>
      </c>
      <c r="AI10" s="34">
        <f t="shared" si="2"/>
        <v>125725</v>
      </c>
      <c r="AJ10" s="34"/>
      <c r="AK10" s="216">
        <f t="shared" si="3"/>
        <v>1508.7</v>
      </c>
      <c r="AL10" s="216">
        <f t="shared" ref="AL10:AL41" si="7">((979*0.302)+((AK10-979)*0.182))</f>
        <v>392.1</v>
      </c>
      <c r="AM10" s="217">
        <f>AL10/AK10</f>
        <v>0.26</v>
      </c>
      <c r="AN10" s="50">
        <f t="shared" ref="AN10:AN12" si="8">1150*0.22*C10+(V10-1150*C10)*0.1</f>
        <v>288.89999999999998</v>
      </c>
      <c r="AO10" s="50">
        <f t="shared" ref="AO10:AO11" si="9">865*0.029</f>
        <v>25.1</v>
      </c>
      <c r="AP10" s="50">
        <f t="shared" ref="AP10:AP11" si="10">V10*0.053</f>
        <v>80</v>
      </c>
      <c r="AQ10" s="50">
        <f t="shared" ref="AQ10:AQ52" si="11">SUM(AN10:AP10)</f>
        <v>394</v>
      </c>
      <c r="AS10" s="66"/>
    </row>
    <row r="11" spans="1:45" x14ac:dyDescent="0.2">
      <c r="A11" s="278">
        <v>3</v>
      </c>
      <c r="B11" s="44" t="s">
        <v>125</v>
      </c>
      <c r="C11" s="278">
        <v>1</v>
      </c>
      <c r="D11" s="177">
        <v>17.917000000000002</v>
      </c>
      <c r="E11" s="214">
        <f>C11*D11</f>
        <v>17.920000000000002</v>
      </c>
      <c r="F11" s="215">
        <f>E11*12</f>
        <v>215</v>
      </c>
      <c r="G11" s="154"/>
      <c r="H11" s="154">
        <v>7.9</v>
      </c>
      <c r="I11" s="154"/>
      <c r="J11" s="154"/>
      <c r="K11" s="154">
        <f>F11*0.25</f>
        <v>53.8</v>
      </c>
      <c r="L11" s="154">
        <f t="shared" si="4"/>
        <v>72.8</v>
      </c>
      <c r="M11" s="154">
        <f>F11+G11+H11+I11+J11+K11+L11</f>
        <v>349.5</v>
      </c>
      <c r="N11" s="171">
        <v>0.47</v>
      </c>
      <c r="O11" s="154">
        <f>M11*N11</f>
        <v>164.3</v>
      </c>
      <c r="P11" s="154">
        <f>M11+O11</f>
        <v>513.79999999999995</v>
      </c>
      <c r="Q11" s="154">
        <f>P11*0.8</f>
        <v>411</v>
      </c>
      <c r="R11" s="154">
        <f>P11*0.8</f>
        <v>411</v>
      </c>
      <c r="S11" s="154">
        <f>(P11+Q11+R11)*0.032</f>
        <v>42.7</v>
      </c>
      <c r="T11" s="154">
        <f>P11+Q11+R11+S11</f>
        <v>1378.5</v>
      </c>
      <c r="U11" s="2247"/>
      <c r="V11" s="154">
        <f t="shared" si="5"/>
        <v>1378.5</v>
      </c>
      <c r="W11" s="154">
        <f t="shared" si="6"/>
        <v>374.1</v>
      </c>
      <c r="X11" s="278">
        <v>1</v>
      </c>
      <c r="Y11" s="24">
        <v>30</v>
      </c>
      <c r="Z11" s="48">
        <f>X11*Y11</f>
        <v>30</v>
      </c>
      <c r="AA11" s="278"/>
      <c r="AB11" s="24">
        <v>15</v>
      </c>
      <c r="AC11" s="48">
        <f>AA11*AB11</f>
        <v>0</v>
      </c>
      <c r="AD11" s="278"/>
      <c r="AE11" s="24">
        <v>30</v>
      </c>
      <c r="AF11" s="48">
        <f>AD11*AE11</f>
        <v>0</v>
      </c>
      <c r="AG11" s="278">
        <f t="shared" si="0"/>
        <v>9</v>
      </c>
      <c r="AH11" s="48">
        <f t="shared" si="1"/>
        <v>39</v>
      </c>
      <c r="AI11" s="34">
        <f t="shared" si="2"/>
        <v>114875</v>
      </c>
      <c r="AJ11" s="34"/>
      <c r="AK11" s="216">
        <f t="shared" si="3"/>
        <v>1378.5</v>
      </c>
      <c r="AL11" s="216">
        <f t="shared" si="7"/>
        <v>368.4</v>
      </c>
      <c r="AM11" s="217">
        <f>AL11/AK11</f>
        <v>0.26700000000000002</v>
      </c>
      <c r="AN11" s="50">
        <f t="shared" si="8"/>
        <v>275.89999999999998</v>
      </c>
      <c r="AO11" s="50">
        <f t="shared" si="9"/>
        <v>25.1</v>
      </c>
      <c r="AP11" s="50">
        <f t="shared" si="10"/>
        <v>73.099999999999994</v>
      </c>
      <c r="AQ11" s="50">
        <f t="shared" si="11"/>
        <v>374.1</v>
      </c>
      <c r="AS11" s="66"/>
    </row>
    <row r="12" spans="1:45" x14ac:dyDescent="0.2">
      <c r="A12" s="278">
        <v>4</v>
      </c>
      <c r="B12" s="44" t="s">
        <v>125</v>
      </c>
      <c r="C12" s="278">
        <v>1</v>
      </c>
      <c r="D12" s="177">
        <v>17.917000000000002</v>
      </c>
      <c r="E12" s="214">
        <f>C12*D12</f>
        <v>17.920000000000002</v>
      </c>
      <c r="F12" s="215">
        <f>E12*12</f>
        <v>215</v>
      </c>
      <c r="G12" s="154"/>
      <c r="H12" s="154"/>
      <c r="I12" s="154"/>
      <c r="J12" s="154"/>
      <c r="K12" s="154"/>
      <c r="L12" s="154">
        <f t="shared" si="4"/>
        <v>72.8</v>
      </c>
      <c r="M12" s="154">
        <f>F12+G12+H12+I12+J12+K12+L12</f>
        <v>287.8</v>
      </c>
      <c r="N12" s="171">
        <v>0.47</v>
      </c>
      <c r="O12" s="154">
        <f>M12*N12</f>
        <v>135.30000000000001</v>
      </c>
      <c r="P12" s="154">
        <f>M12+O12</f>
        <v>423.1</v>
      </c>
      <c r="Q12" s="154">
        <f>P12*0.8</f>
        <v>338.5</v>
      </c>
      <c r="R12" s="154">
        <f>P12*0.8</f>
        <v>338.5</v>
      </c>
      <c r="S12" s="154">
        <f>(P12+Q12+R12)*0.032</f>
        <v>35.200000000000003</v>
      </c>
      <c r="T12" s="154">
        <f>P12+Q12+R12+S12</f>
        <v>1135.3</v>
      </c>
      <c r="U12" s="2247"/>
      <c r="V12" s="154">
        <f t="shared" si="5"/>
        <v>1135.3</v>
      </c>
      <c r="W12" s="154">
        <f>AQ12</f>
        <v>336.8</v>
      </c>
      <c r="X12" s="278">
        <v>1</v>
      </c>
      <c r="Y12" s="24">
        <v>30</v>
      </c>
      <c r="Z12" s="48">
        <f>X12*Y12</f>
        <v>30</v>
      </c>
      <c r="AA12" s="278">
        <v>2</v>
      </c>
      <c r="AB12" s="24">
        <v>15</v>
      </c>
      <c r="AC12" s="48">
        <f>AA12*AB12</f>
        <v>30</v>
      </c>
      <c r="AD12" s="278">
        <v>1</v>
      </c>
      <c r="AE12" s="24">
        <v>30</v>
      </c>
      <c r="AF12" s="48">
        <f>AD12*AE12</f>
        <v>30</v>
      </c>
      <c r="AG12" s="278">
        <f t="shared" si="0"/>
        <v>27</v>
      </c>
      <c r="AH12" s="48">
        <f t="shared" si="1"/>
        <v>117</v>
      </c>
      <c r="AI12" s="34">
        <f t="shared" si="2"/>
        <v>94608.3</v>
      </c>
      <c r="AJ12" s="34"/>
      <c r="AK12" s="216">
        <f t="shared" si="3"/>
        <v>1135.3</v>
      </c>
      <c r="AL12" s="216">
        <f t="shared" si="7"/>
        <v>324.10000000000002</v>
      </c>
      <c r="AM12" s="217">
        <f>AL12/AK12</f>
        <v>0.28499999999999998</v>
      </c>
      <c r="AN12" s="50">
        <f t="shared" si="8"/>
        <v>251.5</v>
      </c>
      <c r="AO12" s="50">
        <f>865*0.029</f>
        <v>25.1</v>
      </c>
      <c r="AP12" s="50">
        <f>AK12*0.053</f>
        <v>60.2</v>
      </c>
      <c r="AQ12" s="50">
        <f t="shared" ref="AQ12" si="12">SUM(AN12:AP12)*C12</f>
        <v>336.8</v>
      </c>
      <c r="AS12" s="66"/>
    </row>
    <row r="13" spans="1:45" ht="14.25" customHeight="1" x14ac:dyDescent="0.2">
      <c r="A13" s="278">
        <v>5</v>
      </c>
      <c r="B13" s="218" t="s">
        <v>16</v>
      </c>
      <c r="C13" s="278">
        <v>7</v>
      </c>
      <c r="D13" s="177">
        <v>11.061999999999999</v>
      </c>
      <c r="E13" s="171">
        <f t="shared" ref="E13:E19" si="13">C13*D13</f>
        <v>77.430000000000007</v>
      </c>
      <c r="F13" s="154">
        <f t="shared" ref="F13:F19" si="14">E13*12</f>
        <v>929.2</v>
      </c>
      <c r="G13" s="154"/>
      <c r="H13" s="154">
        <f>0.539+1.617+0.539+2.696+1.078</f>
        <v>6.5</v>
      </c>
      <c r="I13" s="154"/>
      <c r="J13" s="154"/>
      <c r="K13" s="154">
        <f>D13*0.2*12+D13*0.25*4*12+D13*0.4*2</f>
        <v>168.1</v>
      </c>
      <c r="L13" s="154">
        <f t="shared" si="4"/>
        <v>314.39999999999998</v>
      </c>
      <c r="M13" s="154">
        <f t="shared" ref="M13:M19" si="15">F13+G13+H13+I13+J13+K13+L13</f>
        <v>1418.2</v>
      </c>
      <c r="N13" s="171">
        <v>0.43</v>
      </c>
      <c r="O13" s="154">
        <f t="shared" ref="O13:O19" si="16">M13*N13</f>
        <v>609.79999999999995</v>
      </c>
      <c r="P13" s="154">
        <f t="shared" ref="P13:P19" si="17">M13+O13</f>
        <v>2028</v>
      </c>
      <c r="Q13" s="154">
        <f t="shared" ref="Q13:Q19" si="18">P13*0.8</f>
        <v>1622.4</v>
      </c>
      <c r="R13" s="154">
        <f t="shared" ref="R13:R19" si="19">P13*0.8</f>
        <v>1622.4</v>
      </c>
      <c r="S13" s="154">
        <f t="shared" ref="S13:S19" si="20">(P13+Q13+R13)*0.032</f>
        <v>168.7</v>
      </c>
      <c r="T13" s="154">
        <f t="shared" ref="T13:T19" si="21">P13+Q13+R13+S13</f>
        <v>5441.5</v>
      </c>
      <c r="U13" s="2247"/>
      <c r="V13" s="154">
        <f t="shared" si="5"/>
        <v>5441.5</v>
      </c>
      <c r="W13" s="154">
        <f>V13*0.302</f>
        <v>1643.3</v>
      </c>
      <c r="X13" s="54">
        <v>4</v>
      </c>
      <c r="Y13" s="24">
        <v>30</v>
      </c>
      <c r="Z13" s="48">
        <f t="shared" ref="Z13:Z19" si="22">X13*Y13</f>
        <v>120</v>
      </c>
      <c r="AA13" s="54">
        <v>1</v>
      </c>
      <c r="AB13" s="24">
        <v>15</v>
      </c>
      <c r="AC13" s="48">
        <f t="shared" ref="AC13:AC19" si="23">AA13*AB13</f>
        <v>15</v>
      </c>
      <c r="AD13" s="54"/>
      <c r="AE13" s="24">
        <v>30</v>
      </c>
      <c r="AF13" s="48">
        <f t="shared" ref="AF13:AF19" si="24">AD13*AE13</f>
        <v>0</v>
      </c>
      <c r="AG13" s="278">
        <f t="shared" si="0"/>
        <v>40.5</v>
      </c>
      <c r="AH13" s="48">
        <f t="shared" si="1"/>
        <v>175.5</v>
      </c>
      <c r="AI13" s="34">
        <f t="shared" si="2"/>
        <v>64779.8</v>
      </c>
      <c r="AJ13" s="34"/>
      <c r="AK13" s="216">
        <f t="shared" si="3"/>
        <v>777.4</v>
      </c>
      <c r="AL13" s="216">
        <f t="shared" si="7"/>
        <v>259</v>
      </c>
      <c r="AM13" s="217">
        <v>0.30199999999999999</v>
      </c>
      <c r="AN13" s="50"/>
      <c r="AQ13" s="50">
        <f t="shared" si="11"/>
        <v>0</v>
      </c>
      <c r="AS13" s="66"/>
    </row>
    <row r="14" spans="1:45" x14ac:dyDescent="0.2">
      <c r="A14" s="278">
        <v>6</v>
      </c>
      <c r="B14" s="218" t="s">
        <v>16</v>
      </c>
      <c r="C14" s="278">
        <v>1</v>
      </c>
      <c r="D14" s="177">
        <v>11.061999999999999</v>
      </c>
      <c r="E14" s="171">
        <f>C14*D14</f>
        <v>11.06</v>
      </c>
      <c r="F14" s="154">
        <f t="shared" si="14"/>
        <v>132.69999999999999</v>
      </c>
      <c r="G14" s="154"/>
      <c r="H14" s="34">
        <f>5.4+1.617</f>
        <v>7</v>
      </c>
      <c r="I14" s="154"/>
      <c r="J14" s="154"/>
      <c r="K14" s="154">
        <f>F14*0.4</f>
        <v>53.1</v>
      </c>
      <c r="L14" s="154">
        <f t="shared" si="4"/>
        <v>44.9</v>
      </c>
      <c r="M14" s="154">
        <f t="shared" si="15"/>
        <v>237.7</v>
      </c>
      <c r="N14" s="171">
        <v>0.43</v>
      </c>
      <c r="O14" s="154">
        <f t="shared" si="16"/>
        <v>102.2</v>
      </c>
      <c r="P14" s="154">
        <f t="shared" si="17"/>
        <v>339.9</v>
      </c>
      <c r="Q14" s="154">
        <f t="shared" si="18"/>
        <v>271.89999999999998</v>
      </c>
      <c r="R14" s="154">
        <f t="shared" si="19"/>
        <v>271.89999999999998</v>
      </c>
      <c r="S14" s="154">
        <f t="shared" si="20"/>
        <v>28.3</v>
      </c>
      <c r="T14" s="154">
        <f t="shared" si="21"/>
        <v>912</v>
      </c>
      <c r="U14" s="2247"/>
      <c r="V14" s="154">
        <f t="shared" si="5"/>
        <v>912</v>
      </c>
      <c r="W14" s="154">
        <f>AQ14</f>
        <v>274</v>
      </c>
      <c r="X14" s="54">
        <v>1</v>
      </c>
      <c r="Y14" s="24">
        <v>30</v>
      </c>
      <c r="Z14" s="48">
        <f t="shared" si="22"/>
        <v>30</v>
      </c>
      <c r="AA14" s="54"/>
      <c r="AB14" s="24">
        <v>15</v>
      </c>
      <c r="AC14" s="48">
        <f t="shared" si="23"/>
        <v>0</v>
      </c>
      <c r="AD14" s="54"/>
      <c r="AE14" s="24">
        <v>30</v>
      </c>
      <c r="AF14" s="48">
        <f>AD14*AE14</f>
        <v>0</v>
      </c>
      <c r="AG14" s="278">
        <f t="shared" si="0"/>
        <v>9</v>
      </c>
      <c r="AH14" s="48">
        <f t="shared" si="1"/>
        <v>39</v>
      </c>
      <c r="AI14" s="34">
        <f t="shared" si="2"/>
        <v>76000</v>
      </c>
      <c r="AJ14" s="34"/>
      <c r="AK14" s="216">
        <f t="shared" si="3"/>
        <v>912</v>
      </c>
      <c r="AL14" s="216">
        <f t="shared" si="7"/>
        <v>283.5</v>
      </c>
      <c r="AM14" s="217">
        <f>AL14/AK14</f>
        <v>0.311</v>
      </c>
      <c r="AN14" s="50">
        <f t="shared" ref="AN14:AN16" si="25">AK14*0.22</f>
        <v>200.6</v>
      </c>
      <c r="AO14" s="50">
        <f>865*0.029</f>
        <v>25.1</v>
      </c>
      <c r="AP14" s="50">
        <f>AK14*0.053</f>
        <v>48.3</v>
      </c>
      <c r="AQ14" s="50">
        <f t="shared" ref="AQ14" si="26">SUM(AN14:AP14)*C14</f>
        <v>274</v>
      </c>
      <c r="AS14" s="66"/>
    </row>
    <row r="15" spans="1:45" ht="25.5" x14ac:dyDescent="0.2">
      <c r="A15" s="278">
        <v>8</v>
      </c>
      <c r="B15" s="218" t="s">
        <v>45</v>
      </c>
      <c r="C15" s="278">
        <v>1</v>
      </c>
      <c r="D15" s="177">
        <v>11.061999999999999</v>
      </c>
      <c r="E15" s="171">
        <f t="shared" si="13"/>
        <v>11.06</v>
      </c>
      <c r="F15" s="154">
        <f t="shared" si="14"/>
        <v>132.69999999999999</v>
      </c>
      <c r="G15" s="154"/>
      <c r="H15" s="154">
        <v>2.4</v>
      </c>
      <c r="I15" s="154"/>
      <c r="J15" s="154"/>
      <c r="K15" s="154">
        <f>F15*0.4</f>
        <v>53.1</v>
      </c>
      <c r="L15" s="154">
        <f t="shared" si="4"/>
        <v>44.9</v>
      </c>
      <c r="M15" s="154">
        <f t="shared" si="15"/>
        <v>233.1</v>
      </c>
      <c r="N15" s="171">
        <v>0.43</v>
      </c>
      <c r="O15" s="154">
        <f t="shared" si="16"/>
        <v>100.2</v>
      </c>
      <c r="P15" s="154">
        <f t="shared" si="17"/>
        <v>333.3</v>
      </c>
      <c r="Q15" s="154">
        <f t="shared" si="18"/>
        <v>266.60000000000002</v>
      </c>
      <c r="R15" s="154">
        <f t="shared" si="19"/>
        <v>266.60000000000002</v>
      </c>
      <c r="S15" s="154">
        <f t="shared" si="20"/>
        <v>27.7</v>
      </c>
      <c r="T15" s="154">
        <f t="shared" si="21"/>
        <v>894.2</v>
      </c>
      <c r="U15" s="2247"/>
      <c r="V15" s="154">
        <f t="shared" si="5"/>
        <v>894.2</v>
      </c>
      <c r="W15" s="154">
        <f>AQ15</f>
        <v>269.2</v>
      </c>
      <c r="X15" s="54"/>
      <c r="Y15" s="24">
        <v>30</v>
      </c>
      <c r="Z15" s="48">
        <f t="shared" si="22"/>
        <v>0</v>
      </c>
      <c r="AA15" s="54"/>
      <c r="AB15" s="24">
        <v>15</v>
      </c>
      <c r="AC15" s="48">
        <f t="shared" si="23"/>
        <v>0</v>
      </c>
      <c r="AD15" s="54"/>
      <c r="AE15" s="24">
        <v>30</v>
      </c>
      <c r="AF15" s="48">
        <f t="shared" si="24"/>
        <v>0</v>
      </c>
      <c r="AG15" s="278">
        <f t="shared" si="0"/>
        <v>0</v>
      </c>
      <c r="AH15" s="48">
        <f t="shared" si="1"/>
        <v>0</v>
      </c>
      <c r="AI15" s="34">
        <f t="shared" si="2"/>
        <v>74516.7</v>
      </c>
      <c r="AJ15" s="34"/>
      <c r="AK15" s="216">
        <f t="shared" si="3"/>
        <v>894.2</v>
      </c>
      <c r="AL15" s="216">
        <f t="shared" si="7"/>
        <v>280.2</v>
      </c>
      <c r="AM15" s="217">
        <v>0.30199999999999999</v>
      </c>
      <c r="AN15" s="50">
        <f t="shared" si="25"/>
        <v>196.7</v>
      </c>
      <c r="AO15" s="50">
        <f>865*0.029</f>
        <v>25.1</v>
      </c>
      <c r="AP15" s="50">
        <f>AK15*0.053</f>
        <v>47.4</v>
      </c>
      <c r="AQ15" s="50">
        <f t="shared" si="11"/>
        <v>269.2</v>
      </c>
      <c r="AS15" s="66"/>
    </row>
    <row r="16" spans="1:45" ht="25.5" x14ac:dyDescent="0.2">
      <c r="A16" s="278">
        <v>9</v>
      </c>
      <c r="B16" s="218" t="s">
        <v>46</v>
      </c>
      <c r="C16" s="278">
        <v>1</v>
      </c>
      <c r="D16" s="177">
        <v>11.061999999999999</v>
      </c>
      <c r="E16" s="171">
        <f t="shared" si="13"/>
        <v>11.06</v>
      </c>
      <c r="F16" s="154">
        <f t="shared" si="14"/>
        <v>132.69999999999999</v>
      </c>
      <c r="G16" s="154"/>
      <c r="H16" s="154">
        <v>2.4</v>
      </c>
      <c r="I16" s="154"/>
      <c r="J16" s="154"/>
      <c r="K16" s="154">
        <f>F16*0.4</f>
        <v>53.1</v>
      </c>
      <c r="L16" s="154">
        <f t="shared" si="4"/>
        <v>44.9</v>
      </c>
      <c r="M16" s="154">
        <f t="shared" si="15"/>
        <v>233.1</v>
      </c>
      <c r="N16" s="171">
        <v>0.43</v>
      </c>
      <c r="O16" s="154">
        <f t="shared" si="16"/>
        <v>100.2</v>
      </c>
      <c r="P16" s="154">
        <f t="shared" si="17"/>
        <v>333.3</v>
      </c>
      <c r="Q16" s="154">
        <f t="shared" si="18"/>
        <v>266.60000000000002</v>
      </c>
      <c r="R16" s="154">
        <f t="shared" si="19"/>
        <v>266.60000000000002</v>
      </c>
      <c r="S16" s="154">
        <f t="shared" si="20"/>
        <v>27.7</v>
      </c>
      <c r="T16" s="154">
        <f t="shared" si="21"/>
        <v>894.2</v>
      </c>
      <c r="U16" s="2247"/>
      <c r="V16" s="154">
        <f t="shared" si="5"/>
        <v>894.2</v>
      </c>
      <c r="W16" s="154">
        <f>AQ16</f>
        <v>269.2</v>
      </c>
      <c r="X16" s="54">
        <v>1</v>
      </c>
      <c r="Y16" s="24">
        <v>30</v>
      </c>
      <c r="Z16" s="48">
        <f t="shared" si="22"/>
        <v>30</v>
      </c>
      <c r="AA16" s="54">
        <v>1</v>
      </c>
      <c r="AB16" s="24">
        <v>15</v>
      </c>
      <c r="AC16" s="48">
        <f t="shared" si="23"/>
        <v>15</v>
      </c>
      <c r="AD16" s="54">
        <v>1</v>
      </c>
      <c r="AE16" s="24">
        <v>30</v>
      </c>
      <c r="AF16" s="48">
        <f t="shared" si="24"/>
        <v>30</v>
      </c>
      <c r="AG16" s="278">
        <f t="shared" si="0"/>
        <v>22.5</v>
      </c>
      <c r="AH16" s="48">
        <f t="shared" si="1"/>
        <v>97.5</v>
      </c>
      <c r="AI16" s="34">
        <f t="shared" si="2"/>
        <v>74516.7</v>
      </c>
      <c r="AJ16" s="34"/>
      <c r="AK16" s="216">
        <f t="shared" si="3"/>
        <v>894.2</v>
      </c>
      <c r="AL16" s="216">
        <f t="shared" si="7"/>
        <v>280.2</v>
      </c>
      <c r="AM16" s="217">
        <f>AL16/AK16</f>
        <v>0.313</v>
      </c>
      <c r="AN16" s="50">
        <f t="shared" si="25"/>
        <v>196.7</v>
      </c>
      <c r="AO16" s="50">
        <f>865*0.029</f>
        <v>25.1</v>
      </c>
      <c r="AP16" s="50">
        <f>AK16*0.053</f>
        <v>47.4</v>
      </c>
      <c r="AQ16" s="50">
        <f t="shared" si="11"/>
        <v>269.2</v>
      </c>
      <c r="AS16" s="66"/>
    </row>
    <row r="17" spans="1:45" ht="25.5" x14ac:dyDescent="0.2">
      <c r="A17" s="278">
        <v>10</v>
      </c>
      <c r="B17" s="218" t="s">
        <v>100</v>
      </c>
      <c r="C17" s="278">
        <v>1</v>
      </c>
      <c r="D17" s="177">
        <v>11.061999999999999</v>
      </c>
      <c r="E17" s="171">
        <f>C17*D17</f>
        <v>11.06</v>
      </c>
      <c r="F17" s="154">
        <f>E17*12</f>
        <v>132.69999999999999</v>
      </c>
      <c r="G17" s="154"/>
      <c r="H17" s="154">
        <v>5.4</v>
      </c>
      <c r="I17" s="154"/>
      <c r="J17" s="154"/>
      <c r="K17" s="154"/>
      <c r="L17" s="154">
        <f t="shared" si="4"/>
        <v>44.9</v>
      </c>
      <c r="M17" s="154">
        <f>F17+G17+H17+I17+J17+K17+L17</f>
        <v>183</v>
      </c>
      <c r="N17" s="171">
        <v>0.43</v>
      </c>
      <c r="O17" s="154">
        <f>M17*N17</f>
        <v>78.7</v>
      </c>
      <c r="P17" s="154">
        <f>M17+O17</f>
        <v>261.7</v>
      </c>
      <c r="Q17" s="154">
        <f>P17*0.8</f>
        <v>209.4</v>
      </c>
      <c r="R17" s="154">
        <f>P17*0.8</f>
        <v>209.4</v>
      </c>
      <c r="S17" s="154">
        <f>(P17+Q17+R17)*0.032</f>
        <v>21.8</v>
      </c>
      <c r="T17" s="154">
        <f>P17+Q17+R17+S17</f>
        <v>702.3</v>
      </c>
      <c r="U17" s="2247"/>
      <c r="V17" s="154">
        <f t="shared" si="5"/>
        <v>702.3</v>
      </c>
      <c r="W17" s="154">
        <f t="shared" ref="W17:W19" si="27">V17*0.302</f>
        <v>212.1</v>
      </c>
      <c r="X17" s="54">
        <v>1</v>
      </c>
      <c r="Y17" s="24">
        <v>30</v>
      </c>
      <c r="Z17" s="48">
        <f>X17*Y17</f>
        <v>30</v>
      </c>
      <c r="AA17" s="54"/>
      <c r="AB17" s="24">
        <v>15</v>
      </c>
      <c r="AC17" s="48">
        <f>AA17*AB17</f>
        <v>0</v>
      </c>
      <c r="AD17" s="54"/>
      <c r="AE17" s="24">
        <v>30</v>
      </c>
      <c r="AF17" s="48">
        <f>AD17*AE17</f>
        <v>0</v>
      </c>
      <c r="AG17" s="278">
        <f t="shared" si="0"/>
        <v>9</v>
      </c>
      <c r="AH17" s="48">
        <f t="shared" si="1"/>
        <v>39</v>
      </c>
      <c r="AI17" s="34">
        <f t="shared" si="2"/>
        <v>58525</v>
      </c>
      <c r="AJ17" s="34"/>
      <c r="AK17" s="216">
        <f t="shared" si="3"/>
        <v>702.3</v>
      </c>
      <c r="AL17" s="216">
        <f t="shared" si="7"/>
        <v>245.3</v>
      </c>
      <c r="AM17" s="217">
        <f>AL17/AK17</f>
        <v>0.34899999999999998</v>
      </c>
      <c r="AN17" s="50"/>
      <c r="AO17" s="50"/>
      <c r="AP17" s="50"/>
      <c r="AQ17" s="50">
        <f t="shared" si="11"/>
        <v>0</v>
      </c>
      <c r="AS17" s="66"/>
    </row>
    <row r="18" spans="1:45" x14ac:dyDescent="0.2">
      <c r="A18" s="278">
        <v>11</v>
      </c>
      <c r="B18" s="218" t="s">
        <v>105</v>
      </c>
      <c r="C18" s="278">
        <v>2</v>
      </c>
      <c r="D18" s="177">
        <v>8.4730000000000008</v>
      </c>
      <c r="E18" s="171">
        <f t="shared" si="13"/>
        <v>16.95</v>
      </c>
      <c r="F18" s="154">
        <f t="shared" si="14"/>
        <v>203.4</v>
      </c>
      <c r="G18" s="154"/>
      <c r="H18" s="154">
        <v>2.1</v>
      </c>
      <c r="I18" s="154"/>
      <c r="J18" s="154"/>
      <c r="K18" s="154">
        <f>D18*0.35*12+D18*0.3*12+D18*9.5*0.05</f>
        <v>70.099999999999994</v>
      </c>
      <c r="L18" s="154">
        <f t="shared" si="4"/>
        <v>68.8</v>
      </c>
      <c r="M18" s="154">
        <f t="shared" si="15"/>
        <v>344.4</v>
      </c>
      <c r="N18" s="171">
        <v>0.41</v>
      </c>
      <c r="O18" s="154">
        <f t="shared" si="16"/>
        <v>141.19999999999999</v>
      </c>
      <c r="P18" s="154">
        <f t="shared" si="17"/>
        <v>485.6</v>
      </c>
      <c r="Q18" s="154">
        <f t="shared" si="18"/>
        <v>388.5</v>
      </c>
      <c r="R18" s="154">
        <f t="shared" si="19"/>
        <v>388.5</v>
      </c>
      <c r="S18" s="154">
        <f t="shared" si="20"/>
        <v>40.4</v>
      </c>
      <c r="T18" s="154">
        <f t="shared" si="21"/>
        <v>1303</v>
      </c>
      <c r="U18" s="2247"/>
      <c r="V18" s="154">
        <f t="shared" si="5"/>
        <v>1303</v>
      </c>
      <c r="W18" s="154">
        <f t="shared" si="27"/>
        <v>393.5</v>
      </c>
      <c r="X18" s="54"/>
      <c r="Y18" s="24">
        <v>30</v>
      </c>
      <c r="Z18" s="48">
        <f t="shared" si="22"/>
        <v>0</v>
      </c>
      <c r="AA18" s="54"/>
      <c r="AB18" s="24">
        <v>15</v>
      </c>
      <c r="AC18" s="48">
        <f t="shared" si="23"/>
        <v>0</v>
      </c>
      <c r="AD18" s="54"/>
      <c r="AE18" s="24">
        <v>30</v>
      </c>
      <c r="AF18" s="48">
        <f t="shared" si="24"/>
        <v>0</v>
      </c>
      <c r="AG18" s="278">
        <f t="shared" si="0"/>
        <v>0</v>
      </c>
      <c r="AH18" s="48">
        <f t="shared" si="1"/>
        <v>0</v>
      </c>
      <c r="AI18" s="34">
        <f t="shared" si="2"/>
        <v>54291.7</v>
      </c>
      <c r="AJ18" s="34"/>
      <c r="AK18" s="216">
        <f t="shared" si="3"/>
        <v>651.5</v>
      </c>
      <c r="AL18" s="216">
        <f t="shared" si="7"/>
        <v>236.1</v>
      </c>
      <c r="AM18" s="217">
        <v>0.30199999999999999</v>
      </c>
      <c r="AQ18" s="50">
        <f t="shared" si="11"/>
        <v>0</v>
      </c>
      <c r="AS18" s="66"/>
    </row>
    <row r="19" spans="1:45" x14ac:dyDescent="0.2">
      <c r="A19" s="278">
        <v>12</v>
      </c>
      <c r="B19" s="218" t="s">
        <v>47</v>
      </c>
      <c r="C19" s="219">
        <v>1</v>
      </c>
      <c r="D19" s="177">
        <v>6.2859999999999996</v>
      </c>
      <c r="E19" s="171">
        <f t="shared" si="13"/>
        <v>6.29</v>
      </c>
      <c r="F19" s="154">
        <f t="shared" si="14"/>
        <v>75.5</v>
      </c>
      <c r="G19" s="154"/>
      <c r="H19" s="154">
        <v>2.8</v>
      </c>
      <c r="I19" s="154"/>
      <c r="J19" s="154"/>
      <c r="K19" s="154">
        <f>F19*0.2+D19*0.05*9.5</f>
        <v>18.100000000000001</v>
      </c>
      <c r="L19" s="154">
        <f t="shared" si="4"/>
        <v>25.5</v>
      </c>
      <c r="M19" s="154">
        <f t="shared" si="15"/>
        <v>121.9</v>
      </c>
      <c r="N19" s="171">
        <v>0.45</v>
      </c>
      <c r="O19" s="154">
        <f t="shared" si="16"/>
        <v>54.9</v>
      </c>
      <c r="P19" s="154">
        <f t="shared" si="17"/>
        <v>176.8</v>
      </c>
      <c r="Q19" s="154">
        <f t="shared" si="18"/>
        <v>141.4</v>
      </c>
      <c r="R19" s="154">
        <f t="shared" si="19"/>
        <v>141.4</v>
      </c>
      <c r="S19" s="154">
        <f t="shared" si="20"/>
        <v>14.7</v>
      </c>
      <c r="T19" s="154">
        <f t="shared" si="21"/>
        <v>474.3</v>
      </c>
      <c r="U19" s="2247"/>
      <c r="V19" s="154">
        <f t="shared" si="5"/>
        <v>474.3</v>
      </c>
      <c r="W19" s="154">
        <f t="shared" si="27"/>
        <v>143.19999999999999</v>
      </c>
      <c r="X19" s="54">
        <v>1</v>
      </c>
      <c r="Y19" s="24">
        <v>30</v>
      </c>
      <c r="Z19" s="48">
        <f t="shared" si="22"/>
        <v>30</v>
      </c>
      <c r="AA19" s="54"/>
      <c r="AB19" s="24">
        <v>15</v>
      </c>
      <c r="AC19" s="48">
        <f t="shared" si="23"/>
        <v>0</v>
      </c>
      <c r="AD19" s="54">
        <v>1</v>
      </c>
      <c r="AE19" s="24">
        <v>30</v>
      </c>
      <c r="AF19" s="48">
        <f t="shared" si="24"/>
        <v>30</v>
      </c>
      <c r="AG19" s="278">
        <f t="shared" si="0"/>
        <v>18</v>
      </c>
      <c r="AH19" s="48">
        <f t="shared" si="1"/>
        <v>78</v>
      </c>
      <c r="AI19" s="34">
        <f t="shared" si="2"/>
        <v>39525</v>
      </c>
      <c r="AJ19" s="34"/>
      <c r="AK19" s="216">
        <f t="shared" si="3"/>
        <v>474.3</v>
      </c>
      <c r="AL19" s="216">
        <f t="shared" si="7"/>
        <v>203.8</v>
      </c>
      <c r="AM19" s="217">
        <v>0.30199999999999999</v>
      </c>
      <c r="AQ19" s="50">
        <f t="shared" si="11"/>
        <v>0</v>
      </c>
      <c r="AS19" s="66"/>
    </row>
    <row r="20" spans="1:45" s="33" customFormat="1" x14ac:dyDescent="0.2">
      <c r="A20" s="278">
        <v>13</v>
      </c>
      <c r="B20" s="218" t="s">
        <v>48</v>
      </c>
      <c r="C20" s="278">
        <v>1</v>
      </c>
      <c r="D20" s="177">
        <v>11.061999999999999</v>
      </c>
      <c r="E20" s="171">
        <f>C20*D20</f>
        <v>11.06</v>
      </c>
      <c r="F20" s="154">
        <f>E20*12</f>
        <v>132.69999999999999</v>
      </c>
      <c r="G20" s="154"/>
      <c r="H20" s="154">
        <v>1.8</v>
      </c>
      <c r="I20" s="154"/>
      <c r="J20" s="154"/>
      <c r="K20" s="154">
        <f>F20*0.35</f>
        <v>46.4</v>
      </c>
      <c r="L20" s="154">
        <f t="shared" si="4"/>
        <v>44.9</v>
      </c>
      <c r="M20" s="154">
        <f>F20+G20+H20+I20+J20+K20+L20</f>
        <v>225.8</v>
      </c>
      <c r="N20" s="171">
        <v>0.47</v>
      </c>
      <c r="O20" s="154">
        <f>M20*N20</f>
        <v>106.1</v>
      </c>
      <c r="P20" s="154">
        <f>M20+O20</f>
        <v>331.9</v>
      </c>
      <c r="Q20" s="154">
        <f>P20*0.8</f>
        <v>265.5</v>
      </c>
      <c r="R20" s="154">
        <f>P20*0.8</f>
        <v>265.5</v>
      </c>
      <c r="S20" s="154">
        <f>(P20+Q20+R20)*0.032</f>
        <v>27.6</v>
      </c>
      <c r="T20" s="154">
        <f>P20+Q20+R20+S20</f>
        <v>890.5</v>
      </c>
      <c r="U20" s="2247"/>
      <c r="V20" s="154">
        <f t="shared" si="5"/>
        <v>890.5</v>
      </c>
      <c r="W20" s="154">
        <f>AQ20</f>
        <v>268.2</v>
      </c>
      <c r="X20" s="54">
        <v>1</v>
      </c>
      <c r="Y20" s="24">
        <v>30</v>
      </c>
      <c r="Z20" s="48">
        <f>X20*Y20</f>
        <v>30</v>
      </c>
      <c r="AA20" s="54"/>
      <c r="AB20" s="24">
        <v>15</v>
      </c>
      <c r="AC20" s="48">
        <f>AA20*AB20</f>
        <v>0</v>
      </c>
      <c r="AD20" s="54"/>
      <c r="AE20" s="24">
        <v>30</v>
      </c>
      <c r="AF20" s="48">
        <f>AD20*AE20</f>
        <v>0</v>
      </c>
      <c r="AG20" s="278">
        <f t="shared" si="0"/>
        <v>9</v>
      </c>
      <c r="AH20" s="48">
        <f t="shared" si="1"/>
        <v>39</v>
      </c>
      <c r="AI20" s="34">
        <f t="shared" si="2"/>
        <v>74208.3</v>
      </c>
      <c r="AJ20" s="220"/>
      <c r="AK20" s="216">
        <f t="shared" si="3"/>
        <v>890.5</v>
      </c>
      <c r="AL20" s="216">
        <f t="shared" si="7"/>
        <v>279.60000000000002</v>
      </c>
      <c r="AM20" s="217">
        <f>AL20/AK20</f>
        <v>0.314</v>
      </c>
      <c r="AN20" s="50">
        <f t="shared" ref="AN20:AN21" si="28">AK20*0.22</f>
        <v>195.9</v>
      </c>
      <c r="AO20" s="50">
        <f t="shared" ref="AO20:AO21" si="29">865*0.029</f>
        <v>25.1</v>
      </c>
      <c r="AP20" s="50">
        <f t="shared" ref="AP20:AP21" si="30">AK20*0.053</f>
        <v>47.2</v>
      </c>
      <c r="AQ20" s="50">
        <f t="shared" si="11"/>
        <v>268.2</v>
      </c>
      <c r="AS20" s="66"/>
    </row>
    <row r="21" spans="1:45" s="33" customFormat="1" ht="25.5" x14ac:dyDescent="0.2">
      <c r="A21" s="278">
        <v>14</v>
      </c>
      <c r="B21" s="218" t="s">
        <v>31</v>
      </c>
      <c r="C21" s="278">
        <v>5</v>
      </c>
      <c r="D21" s="177">
        <v>11.061999999999999</v>
      </c>
      <c r="E21" s="171">
        <f>C21*D21</f>
        <v>55.31</v>
      </c>
      <c r="F21" s="154">
        <f>E21*12</f>
        <v>663.7</v>
      </c>
      <c r="G21" s="154"/>
      <c r="H21" s="154">
        <f>40.443+1.617+1.078</f>
        <v>43.1</v>
      </c>
      <c r="I21" s="154"/>
      <c r="J21" s="154"/>
      <c r="K21" s="154">
        <f>D21*0.4*4*12+D21*0.35*12+D21*0.05*3</f>
        <v>260.5</v>
      </c>
      <c r="L21" s="154">
        <f t="shared" si="4"/>
        <v>224.6</v>
      </c>
      <c r="M21" s="154">
        <f>F21+G21+H21+I21+J21+K21+L21</f>
        <v>1191.9000000000001</v>
      </c>
      <c r="N21" s="171">
        <v>0.47</v>
      </c>
      <c r="O21" s="154">
        <f>M21*N21</f>
        <v>560.20000000000005</v>
      </c>
      <c r="P21" s="154">
        <f>M21+O21</f>
        <v>1752.1</v>
      </c>
      <c r="Q21" s="154">
        <f>P21*0.8</f>
        <v>1401.7</v>
      </c>
      <c r="R21" s="154">
        <f>P21*0.8</f>
        <v>1401.7</v>
      </c>
      <c r="S21" s="154">
        <f>(P21+Q21+R21)*0.032</f>
        <v>145.80000000000001</v>
      </c>
      <c r="T21" s="154">
        <f>P21+Q21+R21+S21</f>
        <v>4701.3</v>
      </c>
      <c r="U21" s="2247"/>
      <c r="V21" s="154">
        <f t="shared" si="5"/>
        <v>4701.3</v>
      </c>
      <c r="W21" s="154">
        <f>AQ21*C21</f>
        <v>1409</v>
      </c>
      <c r="X21" s="54">
        <v>4</v>
      </c>
      <c r="Y21" s="24">
        <v>30</v>
      </c>
      <c r="Z21" s="48">
        <f>X21*Y21</f>
        <v>120</v>
      </c>
      <c r="AA21" s="54">
        <v>2</v>
      </c>
      <c r="AB21" s="24">
        <v>15</v>
      </c>
      <c r="AC21" s="48">
        <f>AA21*AB21</f>
        <v>30</v>
      </c>
      <c r="AD21" s="54">
        <v>1</v>
      </c>
      <c r="AE21" s="24">
        <v>30</v>
      </c>
      <c r="AF21" s="48">
        <f>AD21*AE21</f>
        <v>30</v>
      </c>
      <c r="AG21" s="278">
        <f t="shared" si="0"/>
        <v>54</v>
      </c>
      <c r="AH21" s="48">
        <f t="shared" si="1"/>
        <v>234</v>
      </c>
      <c r="AI21" s="34">
        <f t="shared" si="2"/>
        <v>78355</v>
      </c>
      <c r="AJ21" s="220"/>
      <c r="AK21" s="216">
        <f t="shared" si="3"/>
        <v>940.3</v>
      </c>
      <c r="AL21" s="216">
        <f t="shared" si="7"/>
        <v>288.60000000000002</v>
      </c>
      <c r="AM21" s="217">
        <v>0.30199999999999999</v>
      </c>
      <c r="AN21" s="211">
        <f t="shared" si="28"/>
        <v>206.86600000000001</v>
      </c>
      <c r="AO21" s="50">
        <f t="shared" si="29"/>
        <v>25.1</v>
      </c>
      <c r="AP21" s="50">
        <f t="shared" si="30"/>
        <v>49.8</v>
      </c>
      <c r="AQ21" s="50">
        <f>SUM(AN21:AP21)</f>
        <v>281.8</v>
      </c>
      <c r="AS21" s="66"/>
    </row>
    <row r="22" spans="1:45" s="33" customFormat="1" ht="25.5" x14ac:dyDescent="0.2">
      <c r="A22" s="278">
        <v>15</v>
      </c>
      <c r="B22" s="218" t="s">
        <v>110</v>
      </c>
      <c r="C22" s="278">
        <v>1</v>
      </c>
      <c r="D22" s="177">
        <v>6.2859999999999996</v>
      </c>
      <c r="E22" s="171">
        <f>C22*D22</f>
        <v>6.29</v>
      </c>
      <c r="F22" s="154">
        <f>E22*12</f>
        <v>75.5</v>
      </c>
      <c r="G22" s="154"/>
      <c r="H22" s="154"/>
      <c r="I22" s="154"/>
      <c r="J22" s="154"/>
      <c r="K22" s="154">
        <f>F22*0.2</f>
        <v>15.1</v>
      </c>
      <c r="L22" s="154">
        <f t="shared" si="4"/>
        <v>25.5</v>
      </c>
      <c r="M22" s="154">
        <f>F22+G22+H22+I22+J22+K22+L22</f>
        <v>116.1</v>
      </c>
      <c r="N22" s="171">
        <v>0.45</v>
      </c>
      <c r="O22" s="154">
        <f>M22*N22</f>
        <v>52.2</v>
      </c>
      <c r="P22" s="154">
        <f>M22+O22</f>
        <v>168.3</v>
      </c>
      <c r="Q22" s="154">
        <f>P22*0.8</f>
        <v>134.6</v>
      </c>
      <c r="R22" s="154">
        <f>P22*0.8</f>
        <v>134.6</v>
      </c>
      <c r="S22" s="154">
        <f>(P22+Q22+R22)*0.032</f>
        <v>14</v>
      </c>
      <c r="T22" s="154">
        <f>P22+Q22+R22+S22</f>
        <v>451.5</v>
      </c>
      <c r="U22" s="2247"/>
      <c r="V22" s="154">
        <f t="shared" si="5"/>
        <v>451.5</v>
      </c>
      <c r="W22" s="154">
        <f t="shared" ref="W22:W51" si="31">V22*0.302</f>
        <v>136.4</v>
      </c>
      <c r="X22" s="54">
        <v>1</v>
      </c>
      <c r="Y22" s="24">
        <v>30</v>
      </c>
      <c r="Z22" s="48">
        <f>X22*Y22</f>
        <v>30</v>
      </c>
      <c r="AA22" s="54"/>
      <c r="AB22" s="24">
        <v>15</v>
      </c>
      <c r="AC22" s="48">
        <f>AA22*AB22</f>
        <v>0</v>
      </c>
      <c r="AD22" s="54"/>
      <c r="AE22" s="24">
        <v>30</v>
      </c>
      <c r="AF22" s="48">
        <f>AD22*AE22</f>
        <v>0</v>
      </c>
      <c r="AG22" s="278">
        <f t="shared" si="0"/>
        <v>9</v>
      </c>
      <c r="AH22" s="48">
        <f t="shared" si="1"/>
        <v>39</v>
      </c>
      <c r="AI22" s="34">
        <f t="shared" si="2"/>
        <v>37625</v>
      </c>
      <c r="AJ22" s="220"/>
      <c r="AK22" s="216">
        <f t="shared" si="3"/>
        <v>451.5</v>
      </c>
      <c r="AL22" s="216">
        <f t="shared" si="7"/>
        <v>199.7</v>
      </c>
      <c r="AM22" s="217">
        <v>0.30199999999999999</v>
      </c>
      <c r="AN22" s="211"/>
      <c r="AO22" s="211"/>
      <c r="AP22" s="211"/>
      <c r="AQ22" s="50">
        <f t="shared" si="11"/>
        <v>0</v>
      </c>
      <c r="AS22" s="66"/>
    </row>
    <row r="23" spans="1:45" x14ac:dyDescent="0.2">
      <c r="A23" s="278">
        <v>16</v>
      </c>
      <c r="B23" s="218" t="s">
        <v>49</v>
      </c>
      <c r="C23" s="54">
        <v>1</v>
      </c>
      <c r="D23" s="177">
        <v>8.4730000000000008</v>
      </c>
      <c r="E23" s="171">
        <f>C23*D23</f>
        <v>8.4700000000000006</v>
      </c>
      <c r="F23" s="154">
        <f t="shared" ref="F23:F41" si="32">E23*12</f>
        <v>101.6</v>
      </c>
      <c r="G23" s="154"/>
      <c r="H23" s="154">
        <v>3.7</v>
      </c>
      <c r="I23" s="154"/>
      <c r="J23" s="154">
        <f>F23*0.1</f>
        <v>10.199999999999999</v>
      </c>
      <c r="K23" s="154">
        <f>F23*0.3</f>
        <v>30.5</v>
      </c>
      <c r="L23" s="154">
        <f t="shared" si="4"/>
        <v>34.4</v>
      </c>
      <c r="M23" s="154">
        <f t="shared" ref="M23:M41" si="33">F23+G23+H23+I23+J23+K23+L23</f>
        <v>180.4</v>
      </c>
      <c r="N23" s="171">
        <v>0.41</v>
      </c>
      <c r="O23" s="154">
        <f t="shared" ref="O23:O41" si="34">M23*N23</f>
        <v>74</v>
      </c>
      <c r="P23" s="154">
        <f t="shared" ref="P23:P41" si="35">M23+O23</f>
        <v>254.4</v>
      </c>
      <c r="Q23" s="154">
        <f t="shared" ref="Q23:Q41" si="36">P23*0.8</f>
        <v>203.5</v>
      </c>
      <c r="R23" s="154">
        <f t="shared" ref="R23:R41" si="37">P23*0.8</f>
        <v>203.5</v>
      </c>
      <c r="S23" s="154">
        <f t="shared" ref="S23:S41" si="38">(P23+Q23+R23)*0.032</f>
        <v>21.2</v>
      </c>
      <c r="T23" s="154">
        <f t="shared" ref="T23:T41" si="39">P23+Q23+R23+S23</f>
        <v>682.6</v>
      </c>
      <c r="U23" s="2247"/>
      <c r="V23" s="154">
        <f t="shared" si="5"/>
        <v>682.6</v>
      </c>
      <c r="W23" s="154">
        <f t="shared" si="31"/>
        <v>206.1</v>
      </c>
      <c r="X23" s="278">
        <v>1</v>
      </c>
      <c r="Y23" s="24">
        <v>30</v>
      </c>
      <c r="Z23" s="48">
        <f>X23*Y23</f>
        <v>30</v>
      </c>
      <c r="AA23" s="54">
        <v>1</v>
      </c>
      <c r="AB23" s="24">
        <v>15</v>
      </c>
      <c r="AC23" s="48">
        <f>AA23*AB23</f>
        <v>15</v>
      </c>
      <c r="AD23" s="54"/>
      <c r="AE23" s="24">
        <v>30</v>
      </c>
      <c r="AF23" s="48">
        <f>AD23*AE23</f>
        <v>0</v>
      </c>
      <c r="AG23" s="278">
        <f t="shared" si="0"/>
        <v>13.5</v>
      </c>
      <c r="AH23" s="48">
        <f t="shared" si="1"/>
        <v>58.5</v>
      </c>
      <c r="AI23" s="34">
        <f t="shared" si="2"/>
        <v>56883.3</v>
      </c>
      <c r="AJ23" s="34"/>
      <c r="AK23" s="216">
        <f t="shared" si="3"/>
        <v>682.6</v>
      </c>
      <c r="AL23" s="216">
        <f t="shared" si="7"/>
        <v>241.7</v>
      </c>
      <c r="AM23" s="217">
        <v>0.30199999999999999</v>
      </c>
      <c r="AQ23" s="50">
        <f t="shared" si="11"/>
        <v>0</v>
      </c>
      <c r="AS23" s="66"/>
    </row>
    <row r="24" spans="1:45" x14ac:dyDescent="0.2">
      <c r="A24" s="278">
        <v>17</v>
      </c>
      <c r="B24" s="218" t="s">
        <v>50</v>
      </c>
      <c r="C24" s="54">
        <v>1</v>
      </c>
      <c r="D24" s="177">
        <v>8.4730000000000008</v>
      </c>
      <c r="E24" s="171">
        <f>C24*D24</f>
        <v>8.4700000000000006</v>
      </c>
      <c r="F24" s="154">
        <f t="shared" si="32"/>
        <v>101.6</v>
      </c>
      <c r="G24" s="154"/>
      <c r="H24" s="154">
        <v>0.4</v>
      </c>
      <c r="I24" s="154"/>
      <c r="J24" s="154">
        <f>F24*0.1</f>
        <v>10.199999999999999</v>
      </c>
      <c r="K24" s="154">
        <f>F24*0.4</f>
        <v>40.6</v>
      </c>
      <c r="L24" s="154">
        <f t="shared" si="4"/>
        <v>34.4</v>
      </c>
      <c r="M24" s="154">
        <f t="shared" si="33"/>
        <v>187.2</v>
      </c>
      <c r="N24" s="171">
        <v>0.41</v>
      </c>
      <c r="O24" s="154">
        <f t="shared" si="34"/>
        <v>76.8</v>
      </c>
      <c r="P24" s="154">
        <f t="shared" si="35"/>
        <v>264</v>
      </c>
      <c r="Q24" s="154">
        <f t="shared" si="36"/>
        <v>211.2</v>
      </c>
      <c r="R24" s="154">
        <f t="shared" si="37"/>
        <v>211.2</v>
      </c>
      <c r="S24" s="154">
        <f t="shared" si="38"/>
        <v>22</v>
      </c>
      <c r="T24" s="154">
        <f t="shared" si="39"/>
        <v>708.4</v>
      </c>
      <c r="U24" s="2247"/>
      <c r="V24" s="154">
        <f t="shared" si="5"/>
        <v>708.4</v>
      </c>
      <c r="W24" s="154">
        <f t="shared" si="31"/>
        <v>213.9</v>
      </c>
      <c r="X24" s="278"/>
      <c r="Y24" s="24">
        <v>30</v>
      </c>
      <c r="Z24" s="48">
        <f>X24*Y24</f>
        <v>0</v>
      </c>
      <c r="AA24" s="54"/>
      <c r="AB24" s="24">
        <v>15</v>
      </c>
      <c r="AC24" s="48">
        <f>AA24*AB24</f>
        <v>0</v>
      </c>
      <c r="AD24" s="54"/>
      <c r="AE24" s="24">
        <v>30</v>
      </c>
      <c r="AF24" s="48">
        <f>AD24*AE24</f>
        <v>0</v>
      </c>
      <c r="AG24" s="278">
        <f t="shared" si="0"/>
        <v>0</v>
      </c>
      <c r="AH24" s="48">
        <f t="shared" si="1"/>
        <v>0</v>
      </c>
      <c r="AI24" s="34">
        <f t="shared" si="2"/>
        <v>59033.3</v>
      </c>
      <c r="AJ24" s="34"/>
      <c r="AK24" s="216">
        <f t="shared" si="3"/>
        <v>708.4</v>
      </c>
      <c r="AL24" s="216">
        <f t="shared" si="7"/>
        <v>246.4</v>
      </c>
      <c r="AM24" s="217">
        <v>0.30199999999999999</v>
      </c>
      <c r="AQ24" s="50">
        <f t="shared" si="11"/>
        <v>0</v>
      </c>
      <c r="AS24" s="66"/>
    </row>
    <row r="25" spans="1:45" ht="25.5" x14ac:dyDescent="0.2">
      <c r="A25" s="278">
        <v>18</v>
      </c>
      <c r="B25" s="218" t="s">
        <v>51</v>
      </c>
      <c r="C25" s="54">
        <v>1</v>
      </c>
      <c r="D25" s="177">
        <v>8.4730000000000008</v>
      </c>
      <c r="E25" s="171">
        <f t="shared" ref="E25:E40" si="40">C25*D25</f>
        <v>8.4700000000000006</v>
      </c>
      <c r="F25" s="154">
        <f t="shared" si="32"/>
        <v>101.6</v>
      </c>
      <c r="G25" s="154"/>
      <c r="H25" s="154">
        <v>2.1</v>
      </c>
      <c r="I25" s="154"/>
      <c r="J25" s="154">
        <f>F25*0.1</f>
        <v>10.199999999999999</v>
      </c>
      <c r="K25" s="154">
        <f>F25*0.4</f>
        <v>40.6</v>
      </c>
      <c r="L25" s="154">
        <f t="shared" si="4"/>
        <v>34.4</v>
      </c>
      <c r="M25" s="154">
        <f t="shared" si="33"/>
        <v>188.9</v>
      </c>
      <c r="N25" s="171">
        <v>0.41</v>
      </c>
      <c r="O25" s="154">
        <f t="shared" si="34"/>
        <v>77.400000000000006</v>
      </c>
      <c r="P25" s="154">
        <f t="shared" si="35"/>
        <v>266.3</v>
      </c>
      <c r="Q25" s="154">
        <f t="shared" si="36"/>
        <v>213</v>
      </c>
      <c r="R25" s="154">
        <f t="shared" si="37"/>
        <v>213</v>
      </c>
      <c r="S25" s="154">
        <f t="shared" si="38"/>
        <v>22.2</v>
      </c>
      <c r="T25" s="154">
        <f t="shared" si="39"/>
        <v>714.5</v>
      </c>
      <c r="U25" s="2247"/>
      <c r="V25" s="154">
        <f t="shared" si="5"/>
        <v>714.5</v>
      </c>
      <c r="W25" s="154">
        <f t="shared" si="31"/>
        <v>215.8</v>
      </c>
      <c r="X25" s="278">
        <v>1</v>
      </c>
      <c r="Y25" s="24">
        <v>30</v>
      </c>
      <c r="Z25" s="48">
        <f t="shared" ref="Z25:Z38" si="41">X25*Y25</f>
        <v>30</v>
      </c>
      <c r="AA25" s="54"/>
      <c r="AB25" s="24">
        <v>15</v>
      </c>
      <c r="AC25" s="48">
        <f t="shared" ref="AC25:AC38" si="42">AA25*AB25</f>
        <v>0</v>
      </c>
      <c r="AD25" s="54"/>
      <c r="AE25" s="24">
        <v>30</v>
      </c>
      <c r="AF25" s="48">
        <f t="shared" ref="AF25:AF41" si="43">AD25*AE25</f>
        <v>0</v>
      </c>
      <c r="AG25" s="278">
        <f t="shared" si="0"/>
        <v>9</v>
      </c>
      <c r="AH25" s="48">
        <f t="shared" si="1"/>
        <v>39</v>
      </c>
      <c r="AI25" s="34">
        <f t="shared" si="2"/>
        <v>59541.7</v>
      </c>
      <c r="AJ25" s="34"/>
      <c r="AK25" s="216">
        <f t="shared" si="3"/>
        <v>714.5</v>
      </c>
      <c r="AL25" s="216">
        <f t="shared" si="7"/>
        <v>247.5</v>
      </c>
      <c r="AM25" s="217">
        <v>0.30199999999999999</v>
      </c>
      <c r="AQ25" s="50">
        <f t="shared" si="11"/>
        <v>0</v>
      </c>
      <c r="AS25" s="66"/>
    </row>
    <row r="26" spans="1:45" x14ac:dyDescent="0.2">
      <c r="A26" s="278">
        <v>19</v>
      </c>
      <c r="B26" s="218" t="s">
        <v>52</v>
      </c>
      <c r="C26" s="54">
        <v>1</v>
      </c>
      <c r="D26" s="177">
        <v>8.4730000000000008</v>
      </c>
      <c r="E26" s="171">
        <f t="shared" si="40"/>
        <v>8.4700000000000006</v>
      </c>
      <c r="F26" s="154">
        <f t="shared" si="32"/>
        <v>101.6</v>
      </c>
      <c r="G26" s="154"/>
      <c r="H26" s="154">
        <v>1.4</v>
      </c>
      <c r="I26" s="154"/>
      <c r="J26" s="154"/>
      <c r="K26" s="154">
        <f>D26*0.25*7.7+D26*0.3*4.3</f>
        <v>27.2</v>
      </c>
      <c r="L26" s="154">
        <f t="shared" si="4"/>
        <v>34.4</v>
      </c>
      <c r="M26" s="154">
        <f t="shared" si="33"/>
        <v>164.6</v>
      </c>
      <c r="N26" s="171">
        <v>0.41</v>
      </c>
      <c r="O26" s="154">
        <f t="shared" si="34"/>
        <v>67.5</v>
      </c>
      <c r="P26" s="154">
        <f t="shared" si="35"/>
        <v>232.1</v>
      </c>
      <c r="Q26" s="154">
        <f t="shared" si="36"/>
        <v>185.7</v>
      </c>
      <c r="R26" s="154">
        <f t="shared" si="37"/>
        <v>185.7</v>
      </c>
      <c r="S26" s="154">
        <f t="shared" si="38"/>
        <v>19.3</v>
      </c>
      <c r="T26" s="154">
        <f t="shared" si="39"/>
        <v>622.79999999999995</v>
      </c>
      <c r="U26" s="2247"/>
      <c r="V26" s="154">
        <f t="shared" si="5"/>
        <v>622.79999999999995</v>
      </c>
      <c r="W26" s="154">
        <f t="shared" si="31"/>
        <v>188.1</v>
      </c>
      <c r="X26" s="278">
        <v>1</v>
      </c>
      <c r="Y26" s="24">
        <v>30</v>
      </c>
      <c r="Z26" s="48">
        <f t="shared" si="41"/>
        <v>30</v>
      </c>
      <c r="AA26" s="54"/>
      <c r="AB26" s="24">
        <v>15</v>
      </c>
      <c r="AC26" s="48">
        <f t="shared" si="42"/>
        <v>0</v>
      </c>
      <c r="AD26" s="54"/>
      <c r="AE26" s="24">
        <v>30</v>
      </c>
      <c r="AF26" s="48">
        <f t="shared" si="43"/>
        <v>0</v>
      </c>
      <c r="AG26" s="278">
        <f t="shared" si="0"/>
        <v>9</v>
      </c>
      <c r="AH26" s="48">
        <f t="shared" si="1"/>
        <v>39</v>
      </c>
      <c r="AI26" s="34">
        <f t="shared" si="2"/>
        <v>51900</v>
      </c>
      <c r="AJ26" s="34"/>
      <c r="AK26" s="216">
        <f t="shared" si="3"/>
        <v>622.79999999999995</v>
      </c>
      <c r="AL26" s="216">
        <f t="shared" si="7"/>
        <v>230.8</v>
      </c>
      <c r="AM26" s="217">
        <v>0.30199999999999999</v>
      </c>
      <c r="AQ26" s="50">
        <f t="shared" si="11"/>
        <v>0</v>
      </c>
      <c r="AS26" s="66"/>
    </row>
    <row r="27" spans="1:45" ht="26.25" customHeight="1" x14ac:dyDescent="0.2">
      <c r="A27" s="278">
        <v>20</v>
      </c>
      <c r="B27" s="218" t="s">
        <v>53</v>
      </c>
      <c r="C27" s="49">
        <f>1-0.5</f>
        <v>0.5</v>
      </c>
      <c r="D27" s="177">
        <v>8.4730000000000008</v>
      </c>
      <c r="E27" s="171">
        <f t="shared" si="40"/>
        <v>4.24</v>
      </c>
      <c r="F27" s="154">
        <f t="shared" si="32"/>
        <v>50.9</v>
      </c>
      <c r="G27" s="154"/>
      <c r="H27" s="154"/>
      <c r="I27" s="154"/>
      <c r="J27" s="154"/>
      <c r="K27" s="154"/>
      <c r="L27" s="154">
        <f t="shared" si="4"/>
        <v>17.2</v>
      </c>
      <c r="M27" s="154">
        <f t="shared" si="33"/>
        <v>68.099999999999994</v>
      </c>
      <c r="N27" s="171">
        <v>0.41</v>
      </c>
      <c r="O27" s="154">
        <f t="shared" si="34"/>
        <v>27.9</v>
      </c>
      <c r="P27" s="154">
        <f t="shared" si="35"/>
        <v>96</v>
      </c>
      <c r="Q27" s="154">
        <f t="shared" si="36"/>
        <v>76.8</v>
      </c>
      <c r="R27" s="154">
        <f t="shared" si="37"/>
        <v>76.8</v>
      </c>
      <c r="S27" s="154">
        <f t="shared" si="38"/>
        <v>8</v>
      </c>
      <c r="T27" s="154">
        <f t="shared" si="39"/>
        <v>257.60000000000002</v>
      </c>
      <c r="U27" s="2247"/>
      <c r="V27" s="154">
        <f t="shared" si="5"/>
        <v>257.60000000000002</v>
      </c>
      <c r="W27" s="154">
        <f t="shared" si="31"/>
        <v>77.8</v>
      </c>
      <c r="X27" s="278"/>
      <c r="Y27" s="24">
        <v>30</v>
      </c>
      <c r="Z27" s="48">
        <f t="shared" si="41"/>
        <v>0</v>
      </c>
      <c r="AA27" s="54"/>
      <c r="AB27" s="24">
        <v>15</v>
      </c>
      <c r="AC27" s="48">
        <f t="shared" si="42"/>
        <v>0</v>
      </c>
      <c r="AD27" s="54"/>
      <c r="AE27" s="24">
        <v>30</v>
      </c>
      <c r="AF27" s="48">
        <f t="shared" si="43"/>
        <v>0</v>
      </c>
      <c r="AG27" s="278">
        <f t="shared" si="0"/>
        <v>0</v>
      </c>
      <c r="AH27" s="48">
        <f t="shared" si="1"/>
        <v>0</v>
      </c>
      <c r="AI27" s="34">
        <f t="shared" si="2"/>
        <v>42933.3</v>
      </c>
      <c r="AJ27" s="34"/>
      <c r="AK27" s="216">
        <f t="shared" si="3"/>
        <v>515.20000000000005</v>
      </c>
      <c r="AL27" s="216">
        <f t="shared" si="7"/>
        <v>211.2</v>
      </c>
      <c r="AM27" s="217">
        <v>0.30199999999999999</v>
      </c>
      <c r="AQ27" s="50">
        <f t="shared" si="11"/>
        <v>0</v>
      </c>
      <c r="AS27" s="66"/>
    </row>
    <row r="28" spans="1:45" x14ac:dyDescent="0.2">
      <c r="A28" s="278">
        <v>21</v>
      </c>
      <c r="B28" s="218" t="s">
        <v>54</v>
      </c>
      <c r="C28" s="54">
        <v>1</v>
      </c>
      <c r="D28" s="177">
        <v>11.061999999999999</v>
      </c>
      <c r="E28" s="171">
        <f t="shared" si="40"/>
        <v>11.06</v>
      </c>
      <c r="F28" s="154">
        <f t="shared" si="32"/>
        <v>132.69999999999999</v>
      </c>
      <c r="G28" s="154"/>
      <c r="H28" s="154">
        <v>3.2</v>
      </c>
      <c r="I28" s="154"/>
      <c r="J28" s="154">
        <f>F28*0.1</f>
        <v>13.3</v>
      </c>
      <c r="K28" s="154">
        <f>F28*0.3</f>
        <v>39.799999999999997</v>
      </c>
      <c r="L28" s="154">
        <f t="shared" si="4"/>
        <v>44.9</v>
      </c>
      <c r="M28" s="154">
        <f t="shared" si="33"/>
        <v>233.9</v>
      </c>
      <c r="N28" s="171">
        <v>0.43</v>
      </c>
      <c r="O28" s="154">
        <f t="shared" si="34"/>
        <v>100.6</v>
      </c>
      <c r="P28" s="154">
        <f t="shared" si="35"/>
        <v>334.5</v>
      </c>
      <c r="Q28" s="154">
        <f t="shared" si="36"/>
        <v>267.60000000000002</v>
      </c>
      <c r="R28" s="154">
        <f t="shared" si="37"/>
        <v>267.60000000000002</v>
      </c>
      <c r="S28" s="154">
        <f t="shared" si="38"/>
        <v>27.8</v>
      </c>
      <c r="T28" s="154">
        <f t="shared" si="39"/>
        <v>897.5</v>
      </c>
      <c r="U28" s="2247"/>
      <c r="V28" s="154">
        <f t="shared" si="5"/>
        <v>897.5</v>
      </c>
      <c r="W28" s="154">
        <f>AQ28</f>
        <v>270.2</v>
      </c>
      <c r="X28" s="278"/>
      <c r="Y28" s="24">
        <v>30</v>
      </c>
      <c r="Z28" s="48">
        <f t="shared" si="41"/>
        <v>0</v>
      </c>
      <c r="AA28" s="54"/>
      <c r="AB28" s="24">
        <v>15</v>
      </c>
      <c r="AC28" s="48">
        <f t="shared" si="42"/>
        <v>0</v>
      </c>
      <c r="AD28" s="54"/>
      <c r="AE28" s="24">
        <v>30</v>
      </c>
      <c r="AF28" s="48">
        <f t="shared" si="43"/>
        <v>0</v>
      </c>
      <c r="AG28" s="278">
        <f t="shared" si="0"/>
        <v>0</v>
      </c>
      <c r="AH28" s="48">
        <f>Z28+AC28+AF28+AG28</f>
        <v>0</v>
      </c>
      <c r="AI28" s="34">
        <f t="shared" si="2"/>
        <v>74791.7</v>
      </c>
      <c r="AJ28" s="34"/>
      <c r="AK28" s="216">
        <f t="shared" si="3"/>
        <v>897.5</v>
      </c>
      <c r="AL28" s="216">
        <f t="shared" si="7"/>
        <v>280.8</v>
      </c>
      <c r="AM28" s="217">
        <v>0.30199999999999999</v>
      </c>
      <c r="AN28" s="221">
        <f t="shared" ref="AN28:AN29" si="44">AK28*0.22</f>
        <v>197.5</v>
      </c>
      <c r="AO28" s="50">
        <f t="shared" ref="AO28:AO29" si="45">865*0.029</f>
        <v>25.1</v>
      </c>
      <c r="AP28" s="50">
        <f t="shared" ref="AP28:AP29" si="46">AK28*0.053</f>
        <v>47.6</v>
      </c>
      <c r="AQ28" s="50">
        <f t="shared" si="11"/>
        <v>270.2</v>
      </c>
      <c r="AS28" s="66"/>
    </row>
    <row r="29" spans="1:45" x14ac:dyDescent="0.2">
      <c r="A29" s="278">
        <v>22</v>
      </c>
      <c r="B29" s="218" t="s">
        <v>40</v>
      </c>
      <c r="C29" s="54">
        <v>2</v>
      </c>
      <c r="D29" s="177">
        <v>11.061999999999999</v>
      </c>
      <c r="E29" s="171">
        <f t="shared" si="40"/>
        <v>22.12</v>
      </c>
      <c r="F29" s="154">
        <f t="shared" si="32"/>
        <v>265.39999999999998</v>
      </c>
      <c r="G29" s="154"/>
      <c r="H29" s="154">
        <v>3.2</v>
      </c>
      <c r="I29" s="154"/>
      <c r="J29" s="154"/>
      <c r="K29" s="154">
        <f>D29*0.4*12+D29*0.35*12</f>
        <v>99.6</v>
      </c>
      <c r="L29" s="154">
        <f t="shared" si="4"/>
        <v>89.8</v>
      </c>
      <c r="M29" s="154">
        <f t="shared" si="33"/>
        <v>458</v>
      </c>
      <c r="N29" s="171">
        <v>0.43</v>
      </c>
      <c r="O29" s="154">
        <f t="shared" si="34"/>
        <v>196.9</v>
      </c>
      <c r="P29" s="154">
        <f t="shared" si="35"/>
        <v>654.9</v>
      </c>
      <c r="Q29" s="154">
        <f t="shared" si="36"/>
        <v>523.9</v>
      </c>
      <c r="R29" s="154">
        <f t="shared" si="37"/>
        <v>523.9</v>
      </c>
      <c r="S29" s="154">
        <f t="shared" si="38"/>
        <v>54.5</v>
      </c>
      <c r="T29" s="154">
        <f t="shared" si="39"/>
        <v>1757.2</v>
      </c>
      <c r="U29" s="2247"/>
      <c r="V29" s="154">
        <f t="shared" si="5"/>
        <v>1757.2</v>
      </c>
      <c r="W29" s="154">
        <f>AQ29*C29</f>
        <v>530</v>
      </c>
      <c r="X29" s="278">
        <v>1</v>
      </c>
      <c r="Y29" s="24">
        <v>30</v>
      </c>
      <c r="Z29" s="48">
        <f t="shared" si="41"/>
        <v>30</v>
      </c>
      <c r="AA29" s="54">
        <v>2</v>
      </c>
      <c r="AB29" s="24">
        <v>15</v>
      </c>
      <c r="AC29" s="48">
        <f t="shared" si="42"/>
        <v>30</v>
      </c>
      <c r="AD29" s="54"/>
      <c r="AE29" s="24">
        <v>30</v>
      </c>
      <c r="AF29" s="48">
        <f t="shared" si="43"/>
        <v>0</v>
      </c>
      <c r="AG29" s="278">
        <f t="shared" si="0"/>
        <v>18</v>
      </c>
      <c r="AH29" s="48">
        <f t="shared" ref="AH29:AH41" si="47">Z29+AC29+AF29+AG29</f>
        <v>78</v>
      </c>
      <c r="AI29" s="34">
        <f t="shared" si="2"/>
        <v>73216.7</v>
      </c>
      <c r="AJ29" s="34"/>
      <c r="AK29" s="216">
        <f t="shared" si="3"/>
        <v>878.6</v>
      </c>
      <c r="AL29" s="216">
        <f t="shared" si="7"/>
        <v>277.39999999999998</v>
      </c>
      <c r="AM29" s="217">
        <v>0.30199999999999999</v>
      </c>
      <c r="AN29" s="221">
        <f t="shared" si="44"/>
        <v>193.3</v>
      </c>
      <c r="AO29" s="50">
        <f t="shared" si="45"/>
        <v>25.1</v>
      </c>
      <c r="AP29" s="50">
        <f t="shared" si="46"/>
        <v>46.6</v>
      </c>
      <c r="AQ29" s="50">
        <f t="shared" si="11"/>
        <v>265</v>
      </c>
      <c r="AS29" s="66"/>
    </row>
    <row r="30" spans="1:45" x14ac:dyDescent="0.2">
      <c r="A30" s="278">
        <v>23</v>
      </c>
      <c r="B30" s="218" t="s">
        <v>55</v>
      </c>
      <c r="C30" s="54">
        <v>1</v>
      </c>
      <c r="D30" s="213">
        <v>8.4730000000000008</v>
      </c>
      <c r="E30" s="171">
        <f t="shared" si="40"/>
        <v>8.4700000000000006</v>
      </c>
      <c r="F30" s="154">
        <f t="shared" si="32"/>
        <v>101.6</v>
      </c>
      <c r="G30" s="154"/>
      <c r="H30" s="154">
        <v>2.1</v>
      </c>
      <c r="I30" s="154"/>
      <c r="J30" s="154">
        <f>F30*0.1</f>
        <v>10.199999999999999</v>
      </c>
      <c r="K30" s="154">
        <f>D30*0.3*12</f>
        <v>30.5</v>
      </c>
      <c r="L30" s="154">
        <f t="shared" si="4"/>
        <v>34.4</v>
      </c>
      <c r="M30" s="154">
        <f t="shared" si="33"/>
        <v>178.8</v>
      </c>
      <c r="N30" s="171">
        <v>0.41</v>
      </c>
      <c r="O30" s="154">
        <f t="shared" si="34"/>
        <v>73.3</v>
      </c>
      <c r="P30" s="154">
        <f t="shared" si="35"/>
        <v>252.1</v>
      </c>
      <c r="Q30" s="154">
        <f t="shared" si="36"/>
        <v>201.7</v>
      </c>
      <c r="R30" s="154">
        <f t="shared" si="37"/>
        <v>201.7</v>
      </c>
      <c r="S30" s="154">
        <f t="shared" si="38"/>
        <v>21</v>
      </c>
      <c r="T30" s="154">
        <f t="shared" si="39"/>
        <v>676.5</v>
      </c>
      <c r="U30" s="2247"/>
      <c r="V30" s="154">
        <f t="shared" si="5"/>
        <v>676.5</v>
      </c>
      <c r="W30" s="154">
        <f t="shared" si="31"/>
        <v>204.3</v>
      </c>
      <c r="X30" s="278">
        <v>1</v>
      </c>
      <c r="Y30" s="24">
        <v>30</v>
      </c>
      <c r="Z30" s="48">
        <f t="shared" si="41"/>
        <v>30</v>
      </c>
      <c r="AA30" s="54">
        <v>1</v>
      </c>
      <c r="AB30" s="24">
        <v>15</v>
      </c>
      <c r="AC30" s="48">
        <f t="shared" si="42"/>
        <v>15</v>
      </c>
      <c r="AD30" s="54">
        <v>1</v>
      </c>
      <c r="AE30" s="24">
        <v>30</v>
      </c>
      <c r="AF30" s="48">
        <f t="shared" si="43"/>
        <v>30</v>
      </c>
      <c r="AG30" s="278">
        <f t="shared" si="0"/>
        <v>22.5</v>
      </c>
      <c r="AH30" s="48">
        <f t="shared" si="47"/>
        <v>97.5</v>
      </c>
      <c r="AI30" s="34">
        <f t="shared" si="2"/>
        <v>56375</v>
      </c>
      <c r="AJ30" s="34"/>
      <c r="AK30" s="216">
        <f t="shared" si="3"/>
        <v>676.5</v>
      </c>
      <c r="AL30" s="216">
        <f t="shared" si="7"/>
        <v>240.6</v>
      </c>
      <c r="AM30" s="217">
        <f>AL30/AK30</f>
        <v>0.35599999999999998</v>
      </c>
      <c r="AN30" s="222"/>
      <c r="AO30" s="50"/>
      <c r="AP30" s="50"/>
      <c r="AQ30" s="50">
        <f t="shared" si="11"/>
        <v>0</v>
      </c>
      <c r="AS30" s="66"/>
    </row>
    <row r="31" spans="1:45" x14ac:dyDescent="0.2">
      <c r="A31" s="278">
        <v>24</v>
      </c>
      <c r="B31" s="218" t="s">
        <v>29</v>
      </c>
      <c r="C31" s="54">
        <v>3</v>
      </c>
      <c r="D31" s="213">
        <v>8.4730000000000008</v>
      </c>
      <c r="E31" s="171">
        <f t="shared" si="40"/>
        <v>25.42</v>
      </c>
      <c r="F31" s="154">
        <f t="shared" si="32"/>
        <v>305</v>
      </c>
      <c r="G31" s="154"/>
      <c r="H31" s="154">
        <v>61.7</v>
      </c>
      <c r="I31" s="154"/>
      <c r="J31" s="154"/>
      <c r="K31" s="154">
        <f>D31*0.3*12+D31*0.05*2</f>
        <v>31.4</v>
      </c>
      <c r="L31" s="154">
        <f t="shared" si="4"/>
        <v>103.2</v>
      </c>
      <c r="M31" s="154">
        <f t="shared" si="33"/>
        <v>501.3</v>
      </c>
      <c r="N31" s="171">
        <v>0.41</v>
      </c>
      <c r="O31" s="154">
        <f t="shared" si="34"/>
        <v>205.5</v>
      </c>
      <c r="P31" s="154">
        <f t="shared" si="35"/>
        <v>706.8</v>
      </c>
      <c r="Q31" s="154">
        <f t="shared" si="36"/>
        <v>565.4</v>
      </c>
      <c r="R31" s="154">
        <f t="shared" si="37"/>
        <v>565.4</v>
      </c>
      <c r="S31" s="154">
        <f t="shared" si="38"/>
        <v>58.8</v>
      </c>
      <c r="T31" s="154">
        <f t="shared" si="39"/>
        <v>1896.4</v>
      </c>
      <c r="U31" s="2247"/>
      <c r="V31" s="154">
        <f t="shared" si="5"/>
        <v>1896.4</v>
      </c>
      <c r="W31" s="154">
        <f t="shared" si="31"/>
        <v>572.70000000000005</v>
      </c>
      <c r="X31" s="278">
        <v>1</v>
      </c>
      <c r="Y31" s="24">
        <v>30</v>
      </c>
      <c r="Z31" s="48">
        <f t="shared" si="41"/>
        <v>30</v>
      </c>
      <c r="AA31" s="54">
        <v>3</v>
      </c>
      <c r="AB31" s="24">
        <v>15</v>
      </c>
      <c r="AC31" s="48">
        <f t="shared" si="42"/>
        <v>45</v>
      </c>
      <c r="AD31" s="54"/>
      <c r="AE31" s="24">
        <v>30</v>
      </c>
      <c r="AF31" s="48">
        <f t="shared" si="43"/>
        <v>0</v>
      </c>
      <c r="AG31" s="278">
        <f t="shared" si="0"/>
        <v>22.5</v>
      </c>
      <c r="AH31" s="48">
        <f t="shared" si="47"/>
        <v>97.5</v>
      </c>
      <c r="AI31" s="34">
        <f t="shared" si="2"/>
        <v>52677.8</v>
      </c>
      <c r="AJ31" s="34"/>
      <c r="AK31" s="216">
        <f t="shared" si="3"/>
        <v>632.1</v>
      </c>
      <c r="AL31" s="216">
        <f t="shared" si="7"/>
        <v>232.5</v>
      </c>
      <c r="AM31" s="217">
        <v>0.30199999999999999</v>
      </c>
      <c r="AN31" s="223"/>
      <c r="AO31" s="62"/>
      <c r="AP31" s="62"/>
      <c r="AQ31" s="50">
        <f t="shared" si="11"/>
        <v>0</v>
      </c>
      <c r="AS31" s="66"/>
    </row>
    <row r="32" spans="1:45" ht="13.5" customHeight="1" x14ac:dyDescent="0.2">
      <c r="A32" s="278">
        <v>25</v>
      </c>
      <c r="B32" s="218" t="s">
        <v>42</v>
      </c>
      <c r="C32" s="54">
        <v>1</v>
      </c>
      <c r="D32" s="177">
        <v>11.061999999999999</v>
      </c>
      <c r="E32" s="171">
        <f t="shared" si="40"/>
        <v>11.06</v>
      </c>
      <c r="F32" s="154">
        <f t="shared" si="32"/>
        <v>132.69999999999999</v>
      </c>
      <c r="G32" s="154"/>
      <c r="H32" s="154">
        <v>4.8</v>
      </c>
      <c r="I32" s="154"/>
      <c r="J32" s="154">
        <f>F32*0.1</f>
        <v>13.3</v>
      </c>
      <c r="K32" s="154">
        <f>D32*0.25*12</f>
        <v>33.200000000000003</v>
      </c>
      <c r="L32" s="154">
        <f t="shared" si="4"/>
        <v>44.9</v>
      </c>
      <c r="M32" s="154">
        <f t="shared" si="33"/>
        <v>228.9</v>
      </c>
      <c r="N32" s="171">
        <v>0.43</v>
      </c>
      <c r="O32" s="154">
        <f t="shared" si="34"/>
        <v>98.4</v>
      </c>
      <c r="P32" s="154">
        <f t="shared" si="35"/>
        <v>327.3</v>
      </c>
      <c r="Q32" s="154">
        <f t="shared" si="36"/>
        <v>261.8</v>
      </c>
      <c r="R32" s="154">
        <f t="shared" si="37"/>
        <v>261.8</v>
      </c>
      <c r="S32" s="154">
        <f t="shared" si="38"/>
        <v>27.2</v>
      </c>
      <c r="T32" s="154">
        <f t="shared" si="39"/>
        <v>878.1</v>
      </c>
      <c r="U32" s="2247"/>
      <c r="V32" s="154">
        <f t="shared" si="5"/>
        <v>878.1</v>
      </c>
      <c r="W32" s="154">
        <f>AQ32</f>
        <v>264.8</v>
      </c>
      <c r="X32" s="278"/>
      <c r="Y32" s="24">
        <v>30</v>
      </c>
      <c r="Z32" s="48">
        <f t="shared" si="41"/>
        <v>0</v>
      </c>
      <c r="AA32" s="54"/>
      <c r="AB32" s="24">
        <v>15</v>
      </c>
      <c r="AC32" s="48">
        <f t="shared" si="42"/>
        <v>0</v>
      </c>
      <c r="AD32" s="54"/>
      <c r="AE32" s="24">
        <v>30</v>
      </c>
      <c r="AF32" s="48">
        <f t="shared" si="43"/>
        <v>0</v>
      </c>
      <c r="AG32" s="278">
        <f t="shared" si="0"/>
        <v>0</v>
      </c>
      <c r="AH32" s="48">
        <f t="shared" si="47"/>
        <v>0</v>
      </c>
      <c r="AI32" s="34">
        <f t="shared" si="2"/>
        <v>73175</v>
      </c>
      <c r="AJ32" s="34"/>
      <c r="AK32" s="216">
        <f t="shared" si="3"/>
        <v>878.1</v>
      </c>
      <c r="AL32" s="216">
        <f t="shared" si="7"/>
        <v>277.3</v>
      </c>
      <c r="AM32" s="217">
        <v>0.30199999999999999</v>
      </c>
      <c r="AN32" s="221">
        <f t="shared" ref="AN32" si="48">AK32*0.22</f>
        <v>193.2</v>
      </c>
      <c r="AO32" s="50">
        <f t="shared" ref="AO32" si="49">865*0.029</f>
        <v>25.1</v>
      </c>
      <c r="AP32" s="50">
        <f t="shared" ref="AP32" si="50">AK32*0.053</f>
        <v>46.5</v>
      </c>
      <c r="AQ32" s="50">
        <f t="shared" ref="AQ32" si="51">SUM(AN32:AP32)</f>
        <v>264.8</v>
      </c>
      <c r="AS32" s="66"/>
    </row>
    <row r="33" spans="1:45" ht="25.5" x14ac:dyDescent="0.2">
      <c r="A33" s="278">
        <v>26</v>
      </c>
      <c r="B33" s="218" t="s">
        <v>108</v>
      </c>
      <c r="C33" s="54">
        <v>4</v>
      </c>
      <c r="D33" s="177">
        <v>8.4730000000000008</v>
      </c>
      <c r="E33" s="171">
        <f t="shared" si="40"/>
        <v>33.89</v>
      </c>
      <c r="F33" s="154">
        <f t="shared" si="32"/>
        <v>406.7</v>
      </c>
      <c r="G33" s="154"/>
      <c r="H33" s="154">
        <v>1.2</v>
      </c>
      <c r="I33" s="154"/>
      <c r="J33" s="154"/>
      <c r="K33" s="154">
        <f>D33*0.4*12+D33*0.35*12</f>
        <v>76.3</v>
      </c>
      <c r="L33" s="154">
        <f t="shared" si="4"/>
        <v>137.6</v>
      </c>
      <c r="M33" s="154">
        <f t="shared" si="33"/>
        <v>621.79999999999995</v>
      </c>
      <c r="N33" s="171">
        <v>0.47</v>
      </c>
      <c r="O33" s="154">
        <f t="shared" si="34"/>
        <v>292.2</v>
      </c>
      <c r="P33" s="154">
        <f t="shared" si="35"/>
        <v>914</v>
      </c>
      <c r="Q33" s="154">
        <f t="shared" si="36"/>
        <v>731.2</v>
      </c>
      <c r="R33" s="154">
        <f t="shared" si="37"/>
        <v>731.2</v>
      </c>
      <c r="S33" s="154">
        <f t="shared" si="38"/>
        <v>76</v>
      </c>
      <c r="T33" s="154">
        <f t="shared" si="39"/>
        <v>2452.4</v>
      </c>
      <c r="U33" s="2247"/>
      <c r="V33" s="154">
        <f t="shared" si="5"/>
        <v>2452.4</v>
      </c>
      <c r="W33" s="154">
        <f t="shared" si="31"/>
        <v>740.6</v>
      </c>
      <c r="X33" s="278">
        <v>1</v>
      </c>
      <c r="Y33" s="24">
        <v>30</v>
      </c>
      <c r="Z33" s="48">
        <f t="shared" si="41"/>
        <v>30</v>
      </c>
      <c r="AA33" s="54">
        <v>1</v>
      </c>
      <c r="AB33" s="24">
        <v>15</v>
      </c>
      <c r="AC33" s="48">
        <f t="shared" si="42"/>
        <v>15</v>
      </c>
      <c r="AD33" s="54"/>
      <c r="AE33" s="24">
        <v>30</v>
      </c>
      <c r="AF33" s="48">
        <f t="shared" si="43"/>
        <v>0</v>
      </c>
      <c r="AG33" s="278">
        <f t="shared" si="0"/>
        <v>13.5</v>
      </c>
      <c r="AH33" s="48">
        <f t="shared" si="47"/>
        <v>58.5</v>
      </c>
      <c r="AI33" s="34">
        <f t="shared" si="2"/>
        <v>51091.7</v>
      </c>
      <c r="AJ33" s="34"/>
      <c r="AK33" s="216">
        <f t="shared" si="3"/>
        <v>613.1</v>
      </c>
      <c r="AL33" s="216">
        <f t="shared" si="7"/>
        <v>229.1</v>
      </c>
      <c r="AM33" s="217">
        <v>0.30199999999999999</v>
      </c>
      <c r="AN33" s="223"/>
      <c r="AO33" s="62"/>
      <c r="AP33" s="62"/>
      <c r="AQ33" s="50">
        <f t="shared" si="11"/>
        <v>0</v>
      </c>
      <c r="AS33" s="66"/>
    </row>
    <row r="34" spans="1:45" ht="13.5" customHeight="1" x14ac:dyDescent="0.2">
      <c r="A34" s="278">
        <v>27</v>
      </c>
      <c r="B34" s="218" t="s">
        <v>56</v>
      </c>
      <c r="C34" s="57">
        <v>2</v>
      </c>
      <c r="D34" s="177">
        <v>11.061999999999999</v>
      </c>
      <c r="E34" s="171">
        <f t="shared" si="40"/>
        <v>22.12</v>
      </c>
      <c r="F34" s="154">
        <f t="shared" si="32"/>
        <v>265.39999999999998</v>
      </c>
      <c r="G34" s="154"/>
      <c r="H34" s="154">
        <v>1.1000000000000001</v>
      </c>
      <c r="I34" s="154"/>
      <c r="J34" s="154">
        <f>D34*0.1*2*12</f>
        <v>26.5</v>
      </c>
      <c r="K34" s="154">
        <f>D34*0.4*12+D34*0.25*12</f>
        <v>86.3</v>
      </c>
      <c r="L34" s="154">
        <f t="shared" si="4"/>
        <v>89.8</v>
      </c>
      <c r="M34" s="154">
        <f t="shared" si="33"/>
        <v>469.1</v>
      </c>
      <c r="N34" s="171">
        <v>0.43</v>
      </c>
      <c r="O34" s="154">
        <f t="shared" si="34"/>
        <v>201.7</v>
      </c>
      <c r="P34" s="154">
        <f t="shared" si="35"/>
        <v>670.8</v>
      </c>
      <c r="Q34" s="154">
        <f t="shared" si="36"/>
        <v>536.6</v>
      </c>
      <c r="R34" s="154">
        <f t="shared" si="37"/>
        <v>536.6</v>
      </c>
      <c r="S34" s="154">
        <f t="shared" si="38"/>
        <v>55.8</v>
      </c>
      <c r="T34" s="154">
        <f t="shared" si="39"/>
        <v>1799.8</v>
      </c>
      <c r="U34" s="2247"/>
      <c r="V34" s="154">
        <f t="shared" si="5"/>
        <v>1799.8</v>
      </c>
      <c r="W34" s="154">
        <f>AQ34*C34</f>
        <v>541.6</v>
      </c>
      <c r="X34" s="278">
        <v>2</v>
      </c>
      <c r="Y34" s="24">
        <v>30</v>
      </c>
      <c r="Z34" s="48">
        <f t="shared" si="41"/>
        <v>60</v>
      </c>
      <c r="AA34" s="54">
        <v>2</v>
      </c>
      <c r="AB34" s="24">
        <v>15</v>
      </c>
      <c r="AC34" s="48">
        <f t="shared" si="42"/>
        <v>30</v>
      </c>
      <c r="AD34" s="54"/>
      <c r="AE34" s="24">
        <v>30</v>
      </c>
      <c r="AF34" s="48">
        <f t="shared" si="43"/>
        <v>0</v>
      </c>
      <c r="AG34" s="278">
        <f t="shared" si="0"/>
        <v>27</v>
      </c>
      <c r="AH34" s="48">
        <f t="shared" si="47"/>
        <v>117</v>
      </c>
      <c r="AI34" s="34">
        <f t="shared" si="2"/>
        <v>74991.7</v>
      </c>
      <c r="AJ34" s="34"/>
      <c r="AK34" s="216">
        <f t="shared" si="3"/>
        <v>899.9</v>
      </c>
      <c r="AL34" s="216">
        <f t="shared" si="7"/>
        <v>281.3</v>
      </c>
      <c r="AM34" s="217">
        <v>0.30199999999999999</v>
      </c>
      <c r="AN34" s="221">
        <f t="shared" ref="AN34" si="52">AK34*0.22</f>
        <v>198</v>
      </c>
      <c r="AO34" s="50">
        <f t="shared" ref="AO34" si="53">865*0.029</f>
        <v>25.1</v>
      </c>
      <c r="AP34" s="50">
        <f t="shared" ref="AP34" si="54">AK34*0.053</f>
        <v>47.7</v>
      </c>
      <c r="AQ34" s="50">
        <f t="shared" ref="AQ34" si="55">SUM(AN34:AP34)</f>
        <v>270.8</v>
      </c>
      <c r="AS34" s="66"/>
    </row>
    <row r="35" spans="1:45" ht="25.5" x14ac:dyDescent="0.2">
      <c r="A35" s="278">
        <v>28</v>
      </c>
      <c r="B35" s="218" t="s">
        <v>101</v>
      </c>
      <c r="C35" s="57">
        <v>1</v>
      </c>
      <c r="D35" s="177">
        <v>11.061999999999999</v>
      </c>
      <c r="E35" s="171">
        <f>C35*D35</f>
        <v>11.06</v>
      </c>
      <c r="F35" s="154">
        <f t="shared" si="32"/>
        <v>132.69999999999999</v>
      </c>
      <c r="G35" s="154"/>
      <c r="H35" s="154">
        <v>4.8</v>
      </c>
      <c r="I35" s="154"/>
      <c r="J35" s="154"/>
      <c r="K35" s="154">
        <f>D35*0.25*12</f>
        <v>33.200000000000003</v>
      </c>
      <c r="L35" s="154">
        <f t="shared" si="4"/>
        <v>44.9</v>
      </c>
      <c r="M35" s="154">
        <f t="shared" si="33"/>
        <v>215.6</v>
      </c>
      <c r="N35" s="171">
        <v>0.43</v>
      </c>
      <c r="O35" s="154">
        <f t="shared" si="34"/>
        <v>92.7</v>
      </c>
      <c r="P35" s="154">
        <f t="shared" si="35"/>
        <v>308.3</v>
      </c>
      <c r="Q35" s="154">
        <f t="shared" si="36"/>
        <v>246.6</v>
      </c>
      <c r="R35" s="154">
        <f t="shared" si="37"/>
        <v>246.6</v>
      </c>
      <c r="S35" s="154">
        <f t="shared" si="38"/>
        <v>25.6</v>
      </c>
      <c r="T35" s="154">
        <f t="shared" si="39"/>
        <v>827.1</v>
      </c>
      <c r="U35" s="2247"/>
      <c r="V35" s="154">
        <f t="shared" si="5"/>
        <v>827.1</v>
      </c>
      <c r="W35" s="154">
        <f t="shared" si="31"/>
        <v>249.8</v>
      </c>
      <c r="X35" s="278">
        <v>1</v>
      </c>
      <c r="Y35" s="24">
        <v>30</v>
      </c>
      <c r="Z35" s="48">
        <f t="shared" si="41"/>
        <v>30</v>
      </c>
      <c r="AA35" s="54"/>
      <c r="AB35" s="24">
        <v>15</v>
      </c>
      <c r="AC35" s="48">
        <f t="shared" si="42"/>
        <v>0</v>
      </c>
      <c r="AD35" s="54"/>
      <c r="AE35" s="24">
        <v>30</v>
      </c>
      <c r="AF35" s="48">
        <f t="shared" si="43"/>
        <v>0</v>
      </c>
      <c r="AG35" s="278">
        <f t="shared" si="0"/>
        <v>9</v>
      </c>
      <c r="AH35" s="48">
        <f t="shared" si="47"/>
        <v>39</v>
      </c>
      <c r="AI35" s="34">
        <f t="shared" si="2"/>
        <v>68925</v>
      </c>
      <c r="AJ35" s="34"/>
      <c r="AK35" s="216">
        <f t="shared" si="3"/>
        <v>827.1</v>
      </c>
      <c r="AL35" s="216">
        <f t="shared" si="7"/>
        <v>268</v>
      </c>
      <c r="AM35" s="217">
        <v>0.30199999999999999</v>
      </c>
      <c r="AN35" s="62"/>
      <c r="AO35" s="62"/>
      <c r="AP35" s="62"/>
      <c r="AQ35" s="50">
        <f t="shared" si="11"/>
        <v>0</v>
      </c>
      <c r="AS35" s="66"/>
    </row>
    <row r="36" spans="1:45" x14ac:dyDescent="0.2">
      <c r="A36" s="278">
        <v>29</v>
      </c>
      <c r="B36" s="218" t="s">
        <v>33</v>
      </c>
      <c r="C36" s="57">
        <v>1</v>
      </c>
      <c r="D36" s="177">
        <v>8.4730000000000008</v>
      </c>
      <c r="E36" s="171">
        <f>C36*D36</f>
        <v>8.4700000000000006</v>
      </c>
      <c r="F36" s="154">
        <f t="shared" si="32"/>
        <v>101.6</v>
      </c>
      <c r="G36" s="154"/>
      <c r="H36" s="154">
        <v>2.9</v>
      </c>
      <c r="I36" s="154"/>
      <c r="J36" s="154"/>
      <c r="K36" s="154"/>
      <c r="L36" s="154">
        <f t="shared" si="4"/>
        <v>34.4</v>
      </c>
      <c r="M36" s="154">
        <f t="shared" si="33"/>
        <v>138.9</v>
      </c>
      <c r="N36" s="171">
        <v>0.41</v>
      </c>
      <c r="O36" s="154">
        <f t="shared" si="34"/>
        <v>56.9</v>
      </c>
      <c r="P36" s="154">
        <f t="shared" si="35"/>
        <v>195.8</v>
      </c>
      <c r="Q36" s="154">
        <f t="shared" si="36"/>
        <v>156.6</v>
      </c>
      <c r="R36" s="154">
        <f t="shared" si="37"/>
        <v>156.6</v>
      </c>
      <c r="S36" s="154">
        <f t="shared" si="38"/>
        <v>16.3</v>
      </c>
      <c r="T36" s="154">
        <f t="shared" si="39"/>
        <v>525.29999999999995</v>
      </c>
      <c r="U36" s="2247"/>
      <c r="V36" s="154">
        <f t="shared" si="5"/>
        <v>525.29999999999995</v>
      </c>
      <c r="W36" s="154">
        <f t="shared" si="31"/>
        <v>158.6</v>
      </c>
      <c r="X36" s="278"/>
      <c r="Y36" s="24">
        <v>30</v>
      </c>
      <c r="Z36" s="48">
        <f t="shared" si="41"/>
        <v>0</v>
      </c>
      <c r="AA36" s="54"/>
      <c r="AB36" s="24">
        <v>15</v>
      </c>
      <c r="AC36" s="48">
        <f t="shared" si="42"/>
        <v>0</v>
      </c>
      <c r="AD36" s="54"/>
      <c r="AE36" s="24">
        <v>30</v>
      </c>
      <c r="AF36" s="48">
        <f t="shared" si="43"/>
        <v>0</v>
      </c>
      <c r="AG36" s="278">
        <f t="shared" si="0"/>
        <v>0</v>
      </c>
      <c r="AH36" s="48">
        <f t="shared" si="47"/>
        <v>0</v>
      </c>
      <c r="AI36" s="34">
        <f t="shared" si="2"/>
        <v>43775</v>
      </c>
      <c r="AJ36" s="34"/>
      <c r="AK36" s="216">
        <f t="shared" si="3"/>
        <v>525.29999999999995</v>
      </c>
      <c r="AL36" s="216">
        <f t="shared" si="7"/>
        <v>213.1</v>
      </c>
      <c r="AM36" s="217">
        <v>0.30199999999999999</v>
      </c>
      <c r="AN36" s="76"/>
      <c r="AO36" s="76"/>
      <c r="AP36" s="76"/>
      <c r="AQ36" s="50">
        <f t="shared" si="11"/>
        <v>0</v>
      </c>
      <c r="AS36" s="66"/>
    </row>
    <row r="37" spans="1:45" ht="25.5" x14ac:dyDescent="0.2">
      <c r="A37" s="278">
        <v>30</v>
      </c>
      <c r="B37" s="218" t="s">
        <v>130</v>
      </c>
      <c r="C37" s="57">
        <v>1</v>
      </c>
      <c r="D37" s="177">
        <v>8.4730000000000008</v>
      </c>
      <c r="E37" s="171">
        <f t="shared" ref="E37" si="56">C37*D37</f>
        <v>8.4700000000000006</v>
      </c>
      <c r="F37" s="154">
        <f>E37*12</f>
        <v>101.6</v>
      </c>
      <c r="G37" s="154"/>
      <c r="H37" s="154"/>
      <c r="I37" s="154"/>
      <c r="J37" s="154"/>
      <c r="K37" s="154"/>
      <c r="L37" s="154">
        <f t="shared" si="4"/>
        <v>34.4</v>
      </c>
      <c r="M37" s="154">
        <f t="shared" si="33"/>
        <v>136</v>
      </c>
      <c r="N37" s="171">
        <v>0.47</v>
      </c>
      <c r="O37" s="154">
        <f t="shared" si="34"/>
        <v>63.9</v>
      </c>
      <c r="P37" s="154">
        <f t="shared" si="35"/>
        <v>199.9</v>
      </c>
      <c r="Q37" s="154">
        <f t="shared" si="36"/>
        <v>159.9</v>
      </c>
      <c r="R37" s="154">
        <f t="shared" si="37"/>
        <v>159.9</v>
      </c>
      <c r="S37" s="154">
        <f t="shared" si="38"/>
        <v>16.600000000000001</v>
      </c>
      <c r="T37" s="154">
        <f t="shared" si="39"/>
        <v>536.29999999999995</v>
      </c>
      <c r="U37" s="2247"/>
      <c r="V37" s="154">
        <f t="shared" si="5"/>
        <v>536.29999999999995</v>
      </c>
      <c r="W37" s="154">
        <f t="shared" si="31"/>
        <v>162</v>
      </c>
      <c r="X37" s="278"/>
      <c r="Y37" s="24">
        <v>30</v>
      </c>
      <c r="Z37" s="48">
        <f t="shared" si="41"/>
        <v>0</v>
      </c>
      <c r="AA37" s="54"/>
      <c r="AB37" s="24">
        <v>15</v>
      </c>
      <c r="AC37" s="48">
        <f t="shared" si="42"/>
        <v>0</v>
      </c>
      <c r="AD37" s="54"/>
      <c r="AE37" s="24">
        <v>30</v>
      </c>
      <c r="AF37" s="48">
        <f t="shared" si="43"/>
        <v>0</v>
      </c>
      <c r="AG37" s="278">
        <f t="shared" si="0"/>
        <v>0</v>
      </c>
      <c r="AH37" s="48">
        <f t="shared" si="47"/>
        <v>0</v>
      </c>
      <c r="AI37" s="34">
        <f>V37/11/C37*1000</f>
        <v>48754.5</v>
      </c>
      <c r="AJ37" s="34"/>
      <c r="AK37" s="216">
        <f t="shared" si="3"/>
        <v>536.29999999999995</v>
      </c>
      <c r="AL37" s="216">
        <f t="shared" si="7"/>
        <v>215.1</v>
      </c>
      <c r="AM37" s="217">
        <v>0.30199999999999999</v>
      </c>
      <c r="AN37" s="62"/>
      <c r="AO37" s="62"/>
      <c r="AP37" s="62"/>
      <c r="AQ37" s="50">
        <f t="shared" si="11"/>
        <v>0</v>
      </c>
      <c r="AS37" s="66"/>
    </row>
    <row r="38" spans="1:45" ht="25.5" x14ac:dyDescent="0.2">
      <c r="A38" s="278">
        <v>31</v>
      </c>
      <c r="B38" s="218" t="s">
        <v>109</v>
      </c>
      <c r="C38" s="57">
        <v>1</v>
      </c>
      <c r="D38" s="177">
        <v>4.4569999999999999</v>
      </c>
      <c r="E38" s="171">
        <f t="shared" si="40"/>
        <v>4.46</v>
      </c>
      <c r="F38" s="154">
        <f t="shared" si="32"/>
        <v>53.5</v>
      </c>
      <c r="G38" s="154"/>
      <c r="H38" s="154">
        <v>1.7</v>
      </c>
      <c r="I38" s="154"/>
      <c r="J38" s="154"/>
      <c r="K38" s="154"/>
      <c r="L38" s="154">
        <v>26</v>
      </c>
      <c r="M38" s="154">
        <f t="shared" si="33"/>
        <v>81.2</v>
      </c>
      <c r="N38" s="171">
        <v>0.61</v>
      </c>
      <c r="O38" s="154">
        <f t="shared" si="34"/>
        <v>49.5</v>
      </c>
      <c r="P38" s="154">
        <f t="shared" si="35"/>
        <v>130.69999999999999</v>
      </c>
      <c r="Q38" s="154">
        <f t="shared" si="36"/>
        <v>104.6</v>
      </c>
      <c r="R38" s="154">
        <f t="shared" si="37"/>
        <v>104.6</v>
      </c>
      <c r="S38" s="154">
        <f t="shared" si="38"/>
        <v>10.9</v>
      </c>
      <c r="T38" s="154">
        <f t="shared" si="39"/>
        <v>350.8</v>
      </c>
      <c r="U38" s="2247"/>
      <c r="V38" s="154">
        <f t="shared" si="5"/>
        <v>350.8</v>
      </c>
      <c r="W38" s="154">
        <f t="shared" si="31"/>
        <v>105.9</v>
      </c>
      <c r="X38" s="278">
        <v>1</v>
      </c>
      <c r="Y38" s="24">
        <v>30</v>
      </c>
      <c r="Z38" s="48">
        <f t="shared" si="41"/>
        <v>30</v>
      </c>
      <c r="AA38" s="278">
        <v>1</v>
      </c>
      <c r="AB38" s="24">
        <v>15</v>
      </c>
      <c r="AC38" s="48">
        <f t="shared" si="42"/>
        <v>15</v>
      </c>
      <c r="AD38" s="278"/>
      <c r="AE38" s="24">
        <v>30</v>
      </c>
      <c r="AF38" s="48">
        <f t="shared" si="43"/>
        <v>0</v>
      </c>
      <c r="AG38" s="278">
        <f t="shared" si="0"/>
        <v>13.5</v>
      </c>
      <c r="AH38" s="48">
        <f t="shared" si="47"/>
        <v>58.5</v>
      </c>
      <c r="AI38" s="34">
        <f>V38/12/C38*1000</f>
        <v>29233.3</v>
      </c>
      <c r="AJ38" s="34"/>
      <c r="AK38" s="216">
        <f t="shared" si="3"/>
        <v>350.8</v>
      </c>
      <c r="AL38" s="216">
        <f t="shared" si="7"/>
        <v>181.3</v>
      </c>
      <c r="AM38" s="217">
        <v>0.30199999999999999</v>
      </c>
      <c r="AN38" s="76"/>
      <c r="AO38" s="76"/>
      <c r="AP38" s="76"/>
      <c r="AQ38" s="50">
        <f t="shared" si="11"/>
        <v>0</v>
      </c>
      <c r="AS38" s="66"/>
    </row>
    <row r="39" spans="1:45" ht="15.75" customHeight="1" x14ac:dyDescent="0.2">
      <c r="A39" s="278">
        <v>32</v>
      </c>
      <c r="B39" s="218" t="s">
        <v>57</v>
      </c>
      <c r="C39" s="49">
        <f>2-0.5</f>
        <v>1.5</v>
      </c>
      <c r="D39" s="177">
        <v>4.3769999999999998</v>
      </c>
      <c r="E39" s="171">
        <f t="shared" si="40"/>
        <v>6.57</v>
      </c>
      <c r="F39" s="215">
        <f t="shared" si="32"/>
        <v>78.8</v>
      </c>
      <c r="G39" s="154"/>
      <c r="H39" s="154">
        <v>1.4</v>
      </c>
      <c r="I39" s="154"/>
      <c r="J39" s="154"/>
      <c r="K39" s="154"/>
      <c r="L39" s="154">
        <v>70</v>
      </c>
      <c r="M39" s="154">
        <f t="shared" si="33"/>
        <v>150.19999999999999</v>
      </c>
      <c r="N39" s="171">
        <v>0.49</v>
      </c>
      <c r="O39" s="154">
        <f t="shared" si="34"/>
        <v>73.599999999999994</v>
      </c>
      <c r="P39" s="154">
        <f t="shared" si="35"/>
        <v>223.8</v>
      </c>
      <c r="Q39" s="154">
        <f t="shared" si="36"/>
        <v>179</v>
      </c>
      <c r="R39" s="154">
        <f t="shared" si="37"/>
        <v>179</v>
      </c>
      <c r="S39" s="154">
        <f t="shared" si="38"/>
        <v>18.600000000000001</v>
      </c>
      <c r="T39" s="154">
        <f t="shared" si="39"/>
        <v>600.4</v>
      </c>
      <c r="U39" s="2247"/>
      <c r="V39" s="154">
        <f t="shared" si="5"/>
        <v>600.4</v>
      </c>
      <c r="W39" s="154">
        <f t="shared" si="31"/>
        <v>181.3</v>
      </c>
      <c r="X39" s="278"/>
      <c r="Y39" s="24">
        <v>30</v>
      </c>
      <c r="Z39" s="48">
        <f>X39*Y39</f>
        <v>0</v>
      </c>
      <c r="AA39" s="278"/>
      <c r="AB39" s="24">
        <v>15</v>
      </c>
      <c r="AC39" s="48">
        <f>AA39*AB39</f>
        <v>0</v>
      </c>
      <c r="AD39" s="278"/>
      <c r="AE39" s="24">
        <v>30</v>
      </c>
      <c r="AF39" s="48">
        <f t="shared" si="43"/>
        <v>0</v>
      </c>
      <c r="AG39" s="278">
        <f t="shared" si="0"/>
        <v>0</v>
      </c>
      <c r="AH39" s="48">
        <f t="shared" si="47"/>
        <v>0</v>
      </c>
      <c r="AI39" s="34">
        <f>V39/12/C39*1000</f>
        <v>33355.599999999999</v>
      </c>
      <c r="AJ39" s="34"/>
      <c r="AK39" s="216">
        <f t="shared" si="3"/>
        <v>400.3</v>
      </c>
      <c r="AL39" s="216">
        <f t="shared" si="7"/>
        <v>190.3</v>
      </c>
      <c r="AM39" s="217">
        <v>0.30199999999999999</v>
      </c>
      <c r="AN39" s="76"/>
      <c r="AO39" s="76"/>
      <c r="AP39" s="76"/>
      <c r="AQ39" s="50">
        <f t="shared" si="11"/>
        <v>0</v>
      </c>
      <c r="AS39" s="66"/>
    </row>
    <row r="40" spans="1:45" x14ac:dyDescent="0.2">
      <c r="A40" s="278">
        <v>33</v>
      </c>
      <c r="B40" s="218" t="s">
        <v>92</v>
      </c>
      <c r="C40" s="224">
        <v>1</v>
      </c>
      <c r="D40" s="177">
        <v>4.3769999999999998</v>
      </c>
      <c r="E40" s="171">
        <f t="shared" si="40"/>
        <v>4.38</v>
      </c>
      <c r="F40" s="154">
        <f t="shared" si="32"/>
        <v>52.6</v>
      </c>
      <c r="G40" s="154"/>
      <c r="H40" s="154">
        <f>2773.8/1000</f>
        <v>2.8</v>
      </c>
      <c r="I40" s="154"/>
      <c r="J40" s="154"/>
      <c r="K40" s="154"/>
      <c r="L40" s="154">
        <v>38.1</v>
      </c>
      <c r="M40" s="154">
        <f t="shared" si="33"/>
        <v>93.5</v>
      </c>
      <c r="N40" s="171">
        <v>0.47</v>
      </c>
      <c r="O40" s="154">
        <f t="shared" si="34"/>
        <v>43.9</v>
      </c>
      <c r="P40" s="154">
        <f t="shared" si="35"/>
        <v>137.4</v>
      </c>
      <c r="Q40" s="154">
        <f t="shared" si="36"/>
        <v>109.9</v>
      </c>
      <c r="R40" s="154">
        <f t="shared" si="37"/>
        <v>109.9</v>
      </c>
      <c r="S40" s="154">
        <f t="shared" si="38"/>
        <v>11.4</v>
      </c>
      <c r="T40" s="154">
        <f t="shared" si="39"/>
        <v>368.6</v>
      </c>
      <c r="U40" s="2247"/>
      <c r="V40" s="154">
        <f t="shared" si="5"/>
        <v>368.6</v>
      </c>
      <c r="W40" s="154">
        <f t="shared" si="31"/>
        <v>111.3</v>
      </c>
      <c r="X40" s="278">
        <v>1</v>
      </c>
      <c r="Y40" s="24">
        <v>30</v>
      </c>
      <c r="Z40" s="48">
        <f>X40*Y40</f>
        <v>30</v>
      </c>
      <c r="AA40" s="278"/>
      <c r="AB40" s="24">
        <v>15</v>
      </c>
      <c r="AC40" s="48">
        <f>AA40*AB40</f>
        <v>0</v>
      </c>
      <c r="AD40" s="278"/>
      <c r="AE40" s="24">
        <v>30</v>
      </c>
      <c r="AF40" s="48">
        <f t="shared" si="43"/>
        <v>0</v>
      </c>
      <c r="AG40" s="278">
        <f t="shared" si="0"/>
        <v>9</v>
      </c>
      <c r="AH40" s="48">
        <f t="shared" si="47"/>
        <v>39</v>
      </c>
      <c r="AI40" s="34">
        <f>V40/12/C40*1000</f>
        <v>30716.7</v>
      </c>
      <c r="AJ40" s="34"/>
      <c r="AK40" s="216">
        <f t="shared" si="3"/>
        <v>368.6</v>
      </c>
      <c r="AL40" s="216">
        <f t="shared" si="7"/>
        <v>184.6</v>
      </c>
      <c r="AM40" s="217">
        <v>0.30199999999999999</v>
      </c>
      <c r="AN40" s="76"/>
      <c r="AO40" s="76"/>
      <c r="AP40" s="76"/>
      <c r="AQ40" s="50">
        <f t="shared" si="11"/>
        <v>0</v>
      </c>
      <c r="AS40" s="66"/>
    </row>
    <row r="41" spans="1:45" ht="25.5" x14ac:dyDescent="0.2">
      <c r="A41" s="278">
        <v>34</v>
      </c>
      <c r="B41" s="218" t="s">
        <v>102</v>
      </c>
      <c r="C41" s="58">
        <v>2</v>
      </c>
      <c r="D41" s="177">
        <v>4.3769999999999998</v>
      </c>
      <c r="E41" s="171">
        <f>C41*D41</f>
        <v>8.75</v>
      </c>
      <c r="F41" s="215">
        <f t="shared" si="32"/>
        <v>105</v>
      </c>
      <c r="G41" s="154"/>
      <c r="H41" s="154">
        <v>3.3</v>
      </c>
      <c r="I41" s="154"/>
      <c r="J41" s="154"/>
      <c r="K41" s="154"/>
      <c r="L41" s="154">
        <v>70</v>
      </c>
      <c r="M41" s="154">
        <f t="shared" si="33"/>
        <v>178.3</v>
      </c>
      <c r="N41" s="171">
        <v>0.49</v>
      </c>
      <c r="O41" s="154">
        <f t="shared" si="34"/>
        <v>87.4</v>
      </c>
      <c r="P41" s="154">
        <f t="shared" si="35"/>
        <v>265.7</v>
      </c>
      <c r="Q41" s="154">
        <f t="shared" si="36"/>
        <v>212.6</v>
      </c>
      <c r="R41" s="154">
        <f t="shared" si="37"/>
        <v>212.6</v>
      </c>
      <c r="S41" s="154">
        <f t="shared" si="38"/>
        <v>22.1</v>
      </c>
      <c r="T41" s="154">
        <f t="shared" si="39"/>
        <v>713</v>
      </c>
      <c r="U41" s="2247"/>
      <c r="V41" s="154">
        <f t="shared" si="5"/>
        <v>713</v>
      </c>
      <c r="W41" s="154">
        <f t="shared" si="31"/>
        <v>215.3</v>
      </c>
      <c r="X41" s="278">
        <v>1</v>
      </c>
      <c r="Y41" s="24">
        <v>30</v>
      </c>
      <c r="Z41" s="48">
        <f>X41*Y41</f>
        <v>30</v>
      </c>
      <c r="AA41" s="278"/>
      <c r="AB41" s="24">
        <v>15</v>
      </c>
      <c r="AC41" s="48">
        <f>AA41*AB41</f>
        <v>0</v>
      </c>
      <c r="AD41" s="278"/>
      <c r="AE41" s="24">
        <v>30</v>
      </c>
      <c r="AF41" s="48">
        <f t="shared" si="43"/>
        <v>0</v>
      </c>
      <c r="AG41" s="278">
        <f t="shared" si="0"/>
        <v>9</v>
      </c>
      <c r="AH41" s="48">
        <f t="shared" si="47"/>
        <v>39</v>
      </c>
      <c r="AI41" s="34">
        <f>V41/12/C41*1000</f>
        <v>29708.3</v>
      </c>
      <c r="AJ41" s="34"/>
      <c r="AK41" s="216">
        <f t="shared" si="3"/>
        <v>356.5</v>
      </c>
      <c r="AL41" s="216">
        <f t="shared" si="7"/>
        <v>182.4</v>
      </c>
      <c r="AM41" s="217">
        <v>0.30199999999999999</v>
      </c>
      <c r="AN41" s="76"/>
      <c r="AO41" s="76"/>
      <c r="AP41" s="76"/>
      <c r="AQ41" s="50">
        <f t="shared" si="11"/>
        <v>0</v>
      </c>
      <c r="AS41" s="66"/>
    </row>
    <row r="42" spans="1:45" x14ac:dyDescent="0.2">
      <c r="A42" s="225" t="s">
        <v>126</v>
      </c>
      <c r="B42" s="218"/>
      <c r="C42" s="58"/>
      <c r="D42" s="177"/>
      <c r="E42" s="171"/>
      <c r="F42" s="215"/>
      <c r="G42" s="154"/>
      <c r="H42" s="154"/>
      <c r="I42" s="154"/>
      <c r="J42" s="154"/>
      <c r="K42" s="154"/>
      <c r="L42" s="154"/>
      <c r="M42" s="154"/>
      <c r="N42" s="171"/>
      <c r="O42" s="154"/>
      <c r="P42" s="154"/>
      <c r="Q42" s="154"/>
      <c r="R42" s="154"/>
      <c r="S42" s="154"/>
      <c r="T42" s="154"/>
      <c r="U42" s="2247"/>
      <c r="V42" s="154"/>
      <c r="W42" s="154">
        <f t="shared" si="31"/>
        <v>0</v>
      </c>
      <c r="X42" s="278"/>
      <c r="Y42" s="24"/>
      <c r="Z42" s="48"/>
      <c r="AA42" s="278"/>
      <c r="AB42" s="24"/>
      <c r="AC42" s="48"/>
      <c r="AD42" s="278"/>
      <c r="AE42" s="24"/>
      <c r="AF42" s="48"/>
      <c r="AG42" s="278">
        <f t="shared" si="0"/>
        <v>0</v>
      </c>
      <c r="AH42" s="48"/>
      <c r="AJ42" s="34"/>
      <c r="AK42" s="216"/>
      <c r="AL42" s="216"/>
      <c r="AM42" s="217"/>
      <c r="AN42" s="76"/>
      <c r="AO42" s="76"/>
      <c r="AP42" s="76"/>
      <c r="AQ42" s="50">
        <f t="shared" si="11"/>
        <v>0</v>
      </c>
      <c r="AS42" s="66"/>
    </row>
    <row r="43" spans="1:45" x14ac:dyDescent="0.2">
      <c r="A43" s="278">
        <v>35</v>
      </c>
      <c r="B43" s="52" t="s">
        <v>17</v>
      </c>
      <c r="C43" s="278">
        <v>1</v>
      </c>
      <c r="D43" s="177">
        <v>12.335000000000001</v>
      </c>
      <c r="E43" s="226">
        <f>C43*D43</f>
        <v>12.34</v>
      </c>
      <c r="F43" s="227">
        <f>E43*12</f>
        <v>148.1</v>
      </c>
      <c r="G43" s="154"/>
      <c r="H43" s="154">
        <v>1.3</v>
      </c>
      <c r="I43" s="154"/>
      <c r="J43" s="154"/>
      <c r="K43" s="154">
        <f>F43*0.4</f>
        <v>59.2</v>
      </c>
      <c r="L43" s="154">
        <f t="shared" si="4"/>
        <v>50.1</v>
      </c>
      <c r="M43" s="154">
        <f>F43+G43+H43+I43+J43+K43+L43</f>
        <v>258.7</v>
      </c>
      <c r="N43" s="171">
        <v>0.47</v>
      </c>
      <c r="O43" s="154">
        <f>M43*N43</f>
        <v>121.6</v>
      </c>
      <c r="P43" s="154">
        <f>M43+O43</f>
        <v>380.3</v>
      </c>
      <c r="Q43" s="154">
        <f>P43*0.8</f>
        <v>304.2</v>
      </c>
      <c r="R43" s="154">
        <f>P43*0.8</f>
        <v>304.2</v>
      </c>
      <c r="S43" s="154">
        <f>(P43+Q43+R43)*0.032</f>
        <v>31.6</v>
      </c>
      <c r="T43" s="154">
        <f>P43+Q43+R43+S43</f>
        <v>1020.3</v>
      </c>
      <c r="U43" s="2247"/>
      <c r="V43" s="154">
        <f t="shared" si="5"/>
        <v>1020.3</v>
      </c>
      <c r="W43" s="154">
        <f>AQ43</f>
        <v>303.7</v>
      </c>
      <c r="X43" s="278">
        <v>1</v>
      </c>
      <c r="Y43" s="24">
        <v>35</v>
      </c>
      <c r="Z43" s="48">
        <f>X43*Y43</f>
        <v>35</v>
      </c>
      <c r="AA43" s="278"/>
      <c r="AB43" s="24">
        <v>17.5</v>
      </c>
      <c r="AC43" s="48">
        <f>AA43*AB43</f>
        <v>0</v>
      </c>
      <c r="AD43" s="278"/>
      <c r="AE43" s="24">
        <v>35</v>
      </c>
      <c r="AF43" s="48">
        <f>AD43*AE43</f>
        <v>0</v>
      </c>
      <c r="AG43" s="278">
        <f t="shared" si="0"/>
        <v>10.5</v>
      </c>
      <c r="AH43" s="48">
        <f>Z43+AC43+AF43+AG43</f>
        <v>45.5</v>
      </c>
      <c r="AI43" s="39">
        <f t="shared" ref="AI43:AI51" si="57">V43/12/C43*1000</f>
        <v>85025</v>
      </c>
      <c r="AJ43" s="34"/>
      <c r="AK43" s="34">
        <f t="shared" ref="AK43:AK51" si="58">V43/C43</f>
        <v>1020.3</v>
      </c>
      <c r="AL43" s="34">
        <f>((979*0.302)+((AK43-979)*0.182))</f>
        <v>303.2</v>
      </c>
      <c r="AM43" s="51">
        <f>AL43/AK43</f>
        <v>0.29699999999999999</v>
      </c>
      <c r="AN43" s="50">
        <f t="shared" ref="AN43" si="59">AK43*0.22</f>
        <v>224.5</v>
      </c>
      <c r="AO43" s="50">
        <f t="shared" ref="AO43" si="60">865*0.029</f>
        <v>25.1</v>
      </c>
      <c r="AP43" s="50">
        <f t="shared" ref="AP43" si="61">AK43*0.053</f>
        <v>54.1</v>
      </c>
      <c r="AQ43" s="50">
        <f t="shared" si="11"/>
        <v>303.7</v>
      </c>
      <c r="AR43" s="51"/>
    </row>
    <row r="44" spans="1:45" x14ac:dyDescent="0.2">
      <c r="A44" s="278">
        <v>36</v>
      </c>
      <c r="B44" s="52" t="s">
        <v>38</v>
      </c>
      <c r="C44" s="167">
        <f>2-0.25</f>
        <v>1.75</v>
      </c>
      <c r="D44" s="177">
        <v>6.2859999999999996</v>
      </c>
      <c r="E44" s="171">
        <f t="shared" ref="E44:E51" si="62">C44*D44</f>
        <v>11</v>
      </c>
      <c r="F44" s="154">
        <f t="shared" ref="F44:F51" si="63">E44*12</f>
        <v>132</v>
      </c>
      <c r="G44" s="154">
        <f>74.5/1000</f>
        <v>0.1</v>
      </c>
      <c r="H44" s="154">
        <v>2</v>
      </c>
      <c r="I44" s="154"/>
      <c r="J44" s="154"/>
      <c r="K44" s="154"/>
      <c r="L44" s="154">
        <f t="shared" si="4"/>
        <v>44.7</v>
      </c>
      <c r="M44" s="154">
        <f t="shared" ref="M44:M51" si="64">F44+G44+H44+I44+J44+K44+L44</f>
        <v>178.8</v>
      </c>
      <c r="N44" s="171">
        <v>0.45</v>
      </c>
      <c r="O44" s="154">
        <f t="shared" ref="O44:O51" si="65">M44*N44</f>
        <v>80.5</v>
      </c>
      <c r="P44" s="154">
        <f t="shared" ref="P44:P51" si="66">M44+O44</f>
        <v>259.3</v>
      </c>
      <c r="Q44" s="154">
        <f t="shared" ref="Q44:Q51" si="67">P44*0.8</f>
        <v>207.4</v>
      </c>
      <c r="R44" s="154">
        <f t="shared" ref="R44:R51" si="68">P44*0.8</f>
        <v>207.4</v>
      </c>
      <c r="S44" s="154">
        <f t="shared" ref="S44:S51" si="69">(P44+Q44+R44)*0.032</f>
        <v>21.6</v>
      </c>
      <c r="T44" s="154">
        <f t="shared" ref="T44:T51" si="70">P44+Q44+R44+S44</f>
        <v>695.7</v>
      </c>
      <c r="U44" s="2247"/>
      <c r="V44" s="154">
        <f t="shared" si="5"/>
        <v>695.7</v>
      </c>
      <c r="W44" s="154">
        <f t="shared" si="31"/>
        <v>210.1</v>
      </c>
      <c r="X44" s="278">
        <v>1</v>
      </c>
      <c r="Y44" s="24">
        <v>35</v>
      </c>
      <c r="Z44" s="48">
        <f t="shared" ref="Z44:Z51" si="71">X44*Y44</f>
        <v>35</v>
      </c>
      <c r="AA44" s="54"/>
      <c r="AB44" s="24">
        <v>17.5</v>
      </c>
      <c r="AC44" s="48">
        <f t="shared" ref="AC44:AC51" si="72">AA44*AB44</f>
        <v>0</v>
      </c>
      <c r="AD44" s="54"/>
      <c r="AE44" s="24">
        <v>35</v>
      </c>
      <c r="AF44" s="48">
        <f t="shared" ref="AF44:AF51" si="73">AD44*AE44</f>
        <v>0</v>
      </c>
      <c r="AG44" s="278">
        <f t="shared" si="0"/>
        <v>10.5</v>
      </c>
      <c r="AH44" s="48">
        <f t="shared" ref="AH44:AH51" si="74">Z44+AC44+AF44+AG44</f>
        <v>45.5</v>
      </c>
      <c r="AI44" s="39">
        <f t="shared" si="57"/>
        <v>33128.57</v>
      </c>
      <c r="AJ44" s="34"/>
      <c r="AK44" s="34">
        <f t="shared" si="58"/>
        <v>397.5</v>
      </c>
      <c r="AL44" s="34">
        <f t="shared" ref="AL44:AL51" si="75">((979*0.302)+((AK44-979)*0.182))</f>
        <v>189.8</v>
      </c>
      <c r="AM44" s="51">
        <v>0.30199999999999999</v>
      </c>
      <c r="AN44" s="50"/>
      <c r="AO44" s="50"/>
      <c r="AP44" s="50"/>
      <c r="AQ44" s="50">
        <f t="shared" si="11"/>
        <v>0</v>
      </c>
      <c r="AR44" s="51"/>
    </row>
    <row r="45" spans="1:45" ht="12" customHeight="1" x14ac:dyDescent="0.2">
      <c r="A45" s="278">
        <v>37</v>
      </c>
      <c r="B45" s="44" t="s">
        <v>104</v>
      </c>
      <c r="C45" s="54">
        <v>1</v>
      </c>
      <c r="D45" s="177">
        <v>8.4730000000000008</v>
      </c>
      <c r="E45" s="171">
        <f t="shared" si="62"/>
        <v>8.4700000000000006</v>
      </c>
      <c r="F45" s="154">
        <f t="shared" si="63"/>
        <v>101.6</v>
      </c>
      <c r="G45" s="154"/>
      <c r="H45" s="154"/>
      <c r="I45" s="154"/>
      <c r="J45" s="154"/>
      <c r="K45" s="154"/>
      <c r="L45" s="154">
        <f t="shared" si="4"/>
        <v>34.4</v>
      </c>
      <c r="M45" s="154">
        <f t="shared" si="64"/>
        <v>136</v>
      </c>
      <c r="N45" s="171">
        <v>0.41</v>
      </c>
      <c r="O45" s="154">
        <f t="shared" si="65"/>
        <v>55.8</v>
      </c>
      <c r="P45" s="154">
        <f t="shared" si="66"/>
        <v>191.8</v>
      </c>
      <c r="Q45" s="154">
        <f t="shared" si="67"/>
        <v>153.4</v>
      </c>
      <c r="R45" s="154">
        <f t="shared" si="68"/>
        <v>153.4</v>
      </c>
      <c r="S45" s="154">
        <f t="shared" si="69"/>
        <v>16</v>
      </c>
      <c r="T45" s="154">
        <f t="shared" si="70"/>
        <v>514.6</v>
      </c>
      <c r="U45" s="2247"/>
      <c r="V45" s="154">
        <f t="shared" si="5"/>
        <v>514.6</v>
      </c>
      <c r="W45" s="154">
        <f t="shared" si="31"/>
        <v>155.4</v>
      </c>
      <c r="X45" s="278">
        <v>1</v>
      </c>
      <c r="Y45" s="24">
        <v>35</v>
      </c>
      <c r="Z45" s="48">
        <f t="shared" si="71"/>
        <v>35</v>
      </c>
      <c r="AA45" s="54"/>
      <c r="AB45" s="24">
        <v>17.5</v>
      </c>
      <c r="AC45" s="48">
        <f t="shared" si="72"/>
        <v>0</v>
      </c>
      <c r="AD45" s="54">
        <v>1</v>
      </c>
      <c r="AE45" s="24">
        <v>35</v>
      </c>
      <c r="AF45" s="48">
        <f t="shared" si="73"/>
        <v>35</v>
      </c>
      <c r="AG45" s="278">
        <f t="shared" si="0"/>
        <v>21</v>
      </c>
      <c r="AH45" s="48">
        <f t="shared" si="74"/>
        <v>91</v>
      </c>
      <c r="AI45" s="39">
        <f t="shared" si="57"/>
        <v>42883.33</v>
      </c>
      <c r="AJ45" s="34"/>
      <c r="AK45" s="34">
        <f t="shared" si="58"/>
        <v>514.6</v>
      </c>
      <c r="AL45" s="34">
        <f t="shared" si="75"/>
        <v>211.1</v>
      </c>
      <c r="AM45" s="51">
        <v>0.30199999999999999</v>
      </c>
      <c r="AN45" s="50"/>
      <c r="AO45" s="50"/>
      <c r="AP45" s="50"/>
      <c r="AQ45" s="50">
        <f t="shared" si="11"/>
        <v>0</v>
      </c>
      <c r="AR45" s="51"/>
    </row>
    <row r="46" spans="1:45" x14ac:dyDescent="0.2">
      <c r="A46" s="278">
        <v>38</v>
      </c>
      <c r="B46" s="52" t="s">
        <v>39</v>
      </c>
      <c r="C46" s="24">
        <v>0.5</v>
      </c>
      <c r="D46" s="177">
        <v>6.2859999999999996</v>
      </c>
      <c r="E46" s="171">
        <f t="shared" si="62"/>
        <v>3.14</v>
      </c>
      <c r="F46" s="154">
        <f t="shared" si="63"/>
        <v>37.700000000000003</v>
      </c>
      <c r="G46" s="154"/>
      <c r="H46" s="154">
        <f>1106.5/1000</f>
        <v>1.1000000000000001</v>
      </c>
      <c r="I46" s="154"/>
      <c r="J46" s="154"/>
      <c r="K46" s="154"/>
      <c r="L46" s="154">
        <f>F46*$L$4</f>
        <v>12.8</v>
      </c>
      <c r="M46" s="154">
        <f t="shared" si="64"/>
        <v>51.6</v>
      </c>
      <c r="N46" s="171">
        <v>0.45</v>
      </c>
      <c r="O46" s="154">
        <f t="shared" si="65"/>
        <v>23.2</v>
      </c>
      <c r="P46" s="154">
        <f t="shared" si="66"/>
        <v>74.8</v>
      </c>
      <c r="Q46" s="154">
        <f t="shared" si="67"/>
        <v>59.8</v>
      </c>
      <c r="R46" s="154">
        <f t="shared" si="68"/>
        <v>59.8</v>
      </c>
      <c r="S46" s="154">
        <f t="shared" si="69"/>
        <v>6.2</v>
      </c>
      <c r="T46" s="154">
        <f t="shared" si="70"/>
        <v>200.6</v>
      </c>
      <c r="U46" s="2247"/>
      <c r="V46" s="154">
        <f t="shared" si="5"/>
        <v>200.6</v>
      </c>
      <c r="W46" s="154">
        <f t="shared" si="31"/>
        <v>60.6</v>
      </c>
      <c r="X46" s="278"/>
      <c r="Y46" s="24">
        <v>35</v>
      </c>
      <c r="Z46" s="48">
        <f t="shared" si="71"/>
        <v>0</v>
      </c>
      <c r="AA46" s="54"/>
      <c r="AB46" s="24">
        <v>17.5</v>
      </c>
      <c r="AC46" s="48">
        <f t="shared" si="72"/>
        <v>0</v>
      </c>
      <c r="AD46" s="54"/>
      <c r="AE46" s="24">
        <v>35</v>
      </c>
      <c r="AF46" s="48">
        <f t="shared" si="73"/>
        <v>0</v>
      </c>
      <c r="AG46" s="278">
        <f t="shared" si="0"/>
        <v>0</v>
      </c>
      <c r="AH46" s="48">
        <f t="shared" si="74"/>
        <v>0</v>
      </c>
      <c r="AI46" s="39">
        <f t="shared" si="57"/>
        <v>33433.33</v>
      </c>
      <c r="AJ46" s="34"/>
      <c r="AK46" s="34">
        <f t="shared" si="58"/>
        <v>401.2</v>
      </c>
      <c r="AL46" s="34">
        <f t="shared" si="75"/>
        <v>190.5</v>
      </c>
      <c r="AM46" s="51">
        <v>0.30199999999999999</v>
      </c>
      <c r="AQ46" s="50">
        <f t="shared" si="11"/>
        <v>0</v>
      </c>
      <c r="AR46" s="51"/>
    </row>
    <row r="47" spans="1:45" x14ac:dyDescent="0.2">
      <c r="A47" s="278">
        <v>39</v>
      </c>
      <c r="B47" s="218" t="s">
        <v>40</v>
      </c>
      <c r="C47" s="54">
        <v>1</v>
      </c>
      <c r="D47" s="177">
        <v>11.061999999999999</v>
      </c>
      <c r="E47" s="171">
        <f t="shared" si="62"/>
        <v>11.06</v>
      </c>
      <c r="F47" s="154">
        <f t="shared" si="63"/>
        <v>132.69999999999999</v>
      </c>
      <c r="G47" s="228">
        <f>131.07/1000</f>
        <v>0.13</v>
      </c>
      <c r="H47" s="154">
        <v>2.1</v>
      </c>
      <c r="I47" s="154"/>
      <c r="J47" s="154"/>
      <c r="K47" s="154">
        <f>D47*2*0.2</f>
        <v>4.4000000000000004</v>
      </c>
      <c r="L47" s="154">
        <f t="shared" si="4"/>
        <v>44.9</v>
      </c>
      <c r="M47" s="154">
        <f t="shared" si="64"/>
        <v>184.2</v>
      </c>
      <c r="N47" s="171">
        <v>0.43</v>
      </c>
      <c r="O47" s="154">
        <f t="shared" si="65"/>
        <v>79.2</v>
      </c>
      <c r="P47" s="154">
        <f t="shared" si="66"/>
        <v>263.39999999999998</v>
      </c>
      <c r="Q47" s="154">
        <f t="shared" si="67"/>
        <v>210.7</v>
      </c>
      <c r="R47" s="154">
        <f t="shared" si="68"/>
        <v>210.7</v>
      </c>
      <c r="S47" s="154">
        <f t="shared" si="69"/>
        <v>21.9</v>
      </c>
      <c r="T47" s="154">
        <f t="shared" si="70"/>
        <v>706.7</v>
      </c>
      <c r="U47" s="2247"/>
      <c r="V47" s="154">
        <f t="shared" si="5"/>
        <v>706.7</v>
      </c>
      <c r="W47" s="154">
        <f t="shared" si="31"/>
        <v>213.4</v>
      </c>
      <c r="X47" s="278"/>
      <c r="Y47" s="24">
        <v>35</v>
      </c>
      <c r="Z47" s="48">
        <f t="shared" si="71"/>
        <v>0</v>
      </c>
      <c r="AA47" s="54"/>
      <c r="AB47" s="24">
        <v>17.5</v>
      </c>
      <c r="AC47" s="48">
        <f t="shared" si="72"/>
        <v>0</v>
      </c>
      <c r="AD47" s="54"/>
      <c r="AE47" s="24">
        <v>35</v>
      </c>
      <c r="AF47" s="48">
        <f t="shared" si="73"/>
        <v>0</v>
      </c>
      <c r="AG47" s="278">
        <f t="shared" si="0"/>
        <v>0</v>
      </c>
      <c r="AH47" s="48">
        <f t="shared" si="74"/>
        <v>0</v>
      </c>
      <c r="AI47" s="39">
        <f t="shared" si="57"/>
        <v>58891.67</v>
      </c>
      <c r="AJ47" s="34"/>
      <c r="AK47" s="34">
        <f t="shared" si="58"/>
        <v>706.7</v>
      </c>
      <c r="AL47" s="34">
        <f t="shared" si="75"/>
        <v>246.1</v>
      </c>
      <c r="AM47" s="51">
        <v>0.30199999999999999</v>
      </c>
      <c r="AN47" s="50"/>
      <c r="AO47" s="50"/>
      <c r="AP47" s="50"/>
      <c r="AQ47" s="50">
        <f t="shared" si="11"/>
        <v>0</v>
      </c>
      <c r="AR47" s="51"/>
    </row>
    <row r="48" spans="1:45" x14ac:dyDescent="0.2">
      <c r="A48" s="278">
        <v>40</v>
      </c>
      <c r="B48" s="218" t="s">
        <v>41</v>
      </c>
      <c r="C48" s="54">
        <v>1</v>
      </c>
      <c r="D48" s="177">
        <v>8.4730000000000008</v>
      </c>
      <c r="E48" s="171">
        <f t="shared" si="62"/>
        <v>8.4700000000000006</v>
      </c>
      <c r="F48" s="154">
        <f t="shared" si="63"/>
        <v>101.6</v>
      </c>
      <c r="G48" s="154">
        <f>100.4/1000</f>
        <v>0.1</v>
      </c>
      <c r="H48" s="154">
        <v>0.5</v>
      </c>
      <c r="I48" s="154"/>
      <c r="J48" s="154"/>
      <c r="K48" s="154">
        <f>D48*8.5*0.2</f>
        <v>14.4</v>
      </c>
      <c r="L48" s="154">
        <f t="shared" si="4"/>
        <v>34.4</v>
      </c>
      <c r="M48" s="154">
        <f t="shared" si="64"/>
        <v>151</v>
      </c>
      <c r="N48" s="171">
        <v>0.41</v>
      </c>
      <c r="O48" s="154">
        <f t="shared" si="65"/>
        <v>61.9</v>
      </c>
      <c r="P48" s="154">
        <f t="shared" si="66"/>
        <v>212.9</v>
      </c>
      <c r="Q48" s="154">
        <f t="shared" si="67"/>
        <v>170.3</v>
      </c>
      <c r="R48" s="154">
        <f t="shared" si="68"/>
        <v>170.3</v>
      </c>
      <c r="S48" s="154">
        <f t="shared" si="69"/>
        <v>17.7</v>
      </c>
      <c r="T48" s="154">
        <f t="shared" si="70"/>
        <v>571.20000000000005</v>
      </c>
      <c r="U48" s="2247"/>
      <c r="V48" s="154">
        <f t="shared" si="5"/>
        <v>571.20000000000005</v>
      </c>
      <c r="W48" s="154">
        <f t="shared" si="31"/>
        <v>172.5</v>
      </c>
      <c r="X48" s="278">
        <v>1</v>
      </c>
      <c r="Y48" s="24">
        <v>35</v>
      </c>
      <c r="Z48" s="48">
        <f t="shared" si="71"/>
        <v>35</v>
      </c>
      <c r="AA48" s="54"/>
      <c r="AB48" s="24">
        <v>17.5</v>
      </c>
      <c r="AC48" s="48">
        <f>AA48*AB48</f>
        <v>0</v>
      </c>
      <c r="AD48" s="54"/>
      <c r="AE48" s="24">
        <v>35</v>
      </c>
      <c r="AF48" s="48">
        <f t="shared" si="73"/>
        <v>0</v>
      </c>
      <c r="AG48" s="278">
        <f t="shared" si="0"/>
        <v>10.5</v>
      </c>
      <c r="AH48" s="48">
        <f t="shared" si="74"/>
        <v>45.5</v>
      </c>
      <c r="AI48" s="39">
        <f t="shared" si="57"/>
        <v>47600</v>
      </c>
      <c r="AJ48" s="34"/>
      <c r="AK48" s="34">
        <f t="shared" si="58"/>
        <v>571.20000000000005</v>
      </c>
      <c r="AL48" s="34">
        <f t="shared" si="75"/>
        <v>221.4</v>
      </c>
      <c r="AM48" s="51">
        <v>0.30199999999999999</v>
      </c>
      <c r="AN48" s="50"/>
      <c r="AO48" s="50"/>
      <c r="AP48" s="50"/>
      <c r="AQ48" s="50">
        <f t="shared" si="11"/>
        <v>0</v>
      </c>
      <c r="AR48" s="51"/>
    </row>
    <row r="49" spans="1:44" x14ac:dyDescent="0.2">
      <c r="A49" s="278">
        <v>41</v>
      </c>
      <c r="B49" s="218" t="s">
        <v>42</v>
      </c>
      <c r="C49" s="24">
        <v>0.5</v>
      </c>
      <c r="D49" s="213">
        <v>11.061999999999999</v>
      </c>
      <c r="E49" s="171">
        <f t="shared" si="62"/>
        <v>5.53</v>
      </c>
      <c r="F49" s="154">
        <f t="shared" si="63"/>
        <v>66.400000000000006</v>
      </c>
      <c r="G49" s="154">
        <f>65.5/1000</f>
        <v>0.1</v>
      </c>
      <c r="H49" s="154">
        <v>3</v>
      </c>
      <c r="I49" s="154"/>
      <c r="J49" s="154"/>
      <c r="K49" s="154"/>
      <c r="L49" s="154">
        <f t="shared" si="4"/>
        <v>22.5</v>
      </c>
      <c r="M49" s="154">
        <f t="shared" si="64"/>
        <v>92</v>
      </c>
      <c r="N49" s="171">
        <v>0.43</v>
      </c>
      <c r="O49" s="154">
        <f t="shared" si="65"/>
        <v>39.6</v>
      </c>
      <c r="P49" s="154">
        <f t="shared" si="66"/>
        <v>131.6</v>
      </c>
      <c r="Q49" s="154">
        <f t="shared" si="67"/>
        <v>105.3</v>
      </c>
      <c r="R49" s="154">
        <f t="shared" si="68"/>
        <v>105.3</v>
      </c>
      <c r="S49" s="154">
        <f t="shared" si="69"/>
        <v>11</v>
      </c>
      <c r="T49" s="154">
        <f t="shared" si="70"/>
        <v>353.2</v>
      </c>
      <c r="U49" s="2247"/>
      <c r="V49" s="154">
        <f t="shared" si="5"/>
        <v>353.2</v>
      </c>
      <c r="W49" s="154">
        <f t="shared" si="31"/>
        <v>106.7</v>
      </c>
      <c r="X49" s="278"/>
      <c r="Y49" s="24">
        <v>35</v>
      </c>
      <c r="Z49" s="48">
        <f t="shared" si="71"/>
        <v>0</v>
      </c>
      <c r="AA49" s="54"/>
      <c r="AB49" s="24">
        <v>17.5</v>
      </c>
      <c r="AC49" s="48">
        <f t="shared" si="72"/>
        <v>0</v>
      </c>
      <c r="AD49" s="54"/>
      <c r="AE49" s="24">
        <v>35</v>
      </c>
      <c r="AF49" s="48">
        <f t="shared" si="73"/>
        <v>0</v>
      </c>
      <c r="AG49" s="278">
        <f t="shared" si="0"/>
        <v>0</v>
      </c>
      <c r="AH49" s="48">
        <f t="shared" si="74"/>
        <v>0</v>
      </c>
      <c r="AI49" s="39">
        <f t="shared" si="57"/>
        <v>58866.67</v>
      </c>
      <c r="AJ49" s="34"/>
      <c r="AK49" s="34">
        <f t="shared" si="58"/>
        <v>706.4</v>
      </c>
      <c r="AL49" s="34">
        <f t="shared" si="75"/>
        <v>246</v>
      </c>
      <c r="AM49" s="51">
        <v>0.30199999999999999</v>
      </c>
      <c r="AO49" s="50"/>
      <c r="AP49" s="50"/>
      <c r="AQ49" s="50">
        <f t="shared" si="11"/>
        <v>0</v>
      </c>
      <c r="AR49" s="51"/>
    </row>
    <row r="50" spans="1:44" x14ac:dyDescent="0.2">
      <c r="A50" s="278">
        <v>42</v>
      </c>
      <c r="B50" s="52" t="s">
        <v>43</v>
      </c>
      <c r="C50" s="167">
        <v>0.25</v>
      </c>
      <c r="D50" s="177">
        <v>8.4730000000000008</v>
      </c>
      <c r="E50" s="171">
        <f t="shared" si="62"/>
        <v>2.12</v>
      </c>
      <c r="F50" s="154">
        <f t="shared" si="63"/>
        <v>25.4</v>
      </c>
      <c r="G50" s="154"/>
      <c r="H50" s="154"/>
      <c r="I50" s="154"/>
      <c r="J50" s="154"/>
      <c r="K50" s="154"/>
      <c r="L50" s="154">
        <f t="shared" si="4"/>
        <v>8.6</v>
      </c>
      <c r="M50" s="154">
        <f t="shared" si="64"/>
        <v>34</v>
      </c>
      <c r="N50" s="171">
        <v>0.41</v>
      </c>
      <c r="O50" s="154">
        <f t="shared" si="65"/>
        <v>13.9</v>
      </c>
      <c r="P50" s="154">
        <f t="shared" si="66"/>
        <v>47.9</v>
      </c>
      <c r="Q50" s="154">
        <f t="shared" si="67"/>
        <v>38.299999999999997</v>
      </c>
      <c r="R50" s="154">
        <f t="shared" si="68"/>
        <v>38.299999999999997</v>
      </c>
      <c r="S50" s="154">
        <f t="shared" si="69"/>
        <v>4</v>
      </c>
      <c r="T50" s="154">
        <f t="shared" si="70"/>
        <v>128.5</v>
      </c>
      <c r="U50" s="2247"/>
      <c r="V50" s="154">
        <f t="shared" si="5"/>
        <v>128.5</v>
      </c>
      <c r="W50" s="154">
        <f t="shared" si="31"/>
        <v>38.799999999999997</v>
      </c>
      <c r="X50" s="278"/>
      <c r="Y50" s="24">
        <v>35</v>
      </c>
      <c r="Z50" s="48">
        <f t="shared" si="71"/>
        <v>0</v>
      </c>
      <c r="AA50" s="54"/>
      <c r="AB50" s="24">
        <v>17.5</v>
      </c>
      <c r="AC50" s="48">
        <f t="shared" si="72"/>
        <v>0</v>
      </c>
      <c r="AD50" s="54"/>
      <c r="AE50" s="24">
        <v>35</v>
      </c>
      <c r="AF50" s="48">
        <f t="shared" si="73"/>
        <v>0</v>
      </c>
      <c r="AG50" s="278">
        <f t="shared" si="0"/>
        <v>0</v>
      </c>
      <c r="AH50" s="48">
        <f t="shared" si="74"/>
        <v>0</v>
      </c>
      <c r="AI50" s="39">
        <f t="shared" si="57"/>
        <v>42833.33</v>
      </c>
      <c r="AJ50" s="34"/>
      <c r="AK50" s="34">
        <f t="shared" si="58"/>
        <v>514</v>
      </c>
      <c r="AL50" s="34">
        <f t="shared" si="75"/>
        <v>211</v>
      </c>
      <c r="AM50" s="51">
        <v>0.30199999999999999</v>
      </c>
      <c r="AN50" s="50"/>
      <c r="AO50" s="50"/>
      <c r="AP50" s="50"/>
      <c r="AQ50" s="50">
        <f t="shared" si="11"/>
        <v>0</v>
      </c>
      <c r="AR50" s="51"/>
    </row>
    <row r="51" spans="1:44" x14ac:dyDescent="0.2">
      <c r="A51" s="278">
        <v>43</v>
      </c>
      <c r="B51" s="229" t="s">
        <v>44</v>
      </c>
      <c r="C51" s="179">
        <f>1-0.25</f>
        <v>0.75</v>
      </c>
      <c r="D51" s="213">
        <v>11.061999999999999</v>
      </c>
      <c r="E51" s="171">
        <f t="shared" si="62"/>
        <v>8.3000000000000007</v>
      </c>
      <c r="F51" s="154">
        <f t="shared" si="63"/>
        <v>99.6</v>
      </c>
      <c r="G51" s="154"/>
      <c r="H51" s="154">
        <v>2.4</v>
      </c>
      <c r="I51" s="154"/>
      <c r="J51" s="154"/>
      <c r="K51" s="154"/>
      <c r="L51" s="154">
        <f t="shared" si="4"/>
        <v>33.700000000000003</v>
      </c>
      <c r="M51" s="154">
        <f t="shared" si="64"/>
        <v>135.69999999999999</v>
      </c>
      <c r="N51" s="171">
        <v>0.43</v>
      </c>
      <c r="O51" s="154">
        <f t="shared" si="65"/>
        <v>58.4</v>
      </c>
      <c r="P51" s="154">
        <f t="shared" si="66"/>
        <v>194.1</v>
      </c>
      <c r="Q51" s="154">
        <f t="shared" si="67"/>
        <v>155.30000000000001</v>
      </c>
      <c r="R51" s="154">
        <f t="shared" si="68"/>
        <v>155.30000000000001</v>
      </c>
      <c r="S51" s="154">
        <f t="shared" si="69"/>
        <v>16.2</v>
      </c>
      <c r="T51" s="154">
        <f t="shared" si="70"/>
        <v>520.9</v>
      </c>
      <c r="U51" s="2247"/>
      <c r="V51" s="154">
        <f>T51*$U$9-0.3</f>
        <v>520.6</v>
      </c>
      <c r="W51" s="154">
        <f t="shared" si="31"/>
        <v>157.19999999999999</v>
      </c>
      <c r="X51" s="278"/>
      <c r="Y51" s="24">
        <v>35</v>
      </c>
      <c r="Z51" s="48">
        <f t="shared" si="71"/>
        <v>0</v>
      </c>
      <c r="AA51" s="54"/>
      <c r="AB51" s="24">
        <v>17.5</v>
      </c>
      <c r="AC51" s="48">
        <f t="shared" si="72"/>
        <v>0</v>
      </c>
      <c r="AD51" s="54"/>
      <c r="AE51" s="24">
        <v>35</v>
      </c>
      <c r="AF51" s="48">
        <f t="shared" si="73"/>
        <v>0</v>
      </c>
      <c r="AG51" s="278">
        <f t="shared" si="0"/>
        <v>0</v>
      </c>
      <c r="AH51" s="48">
        <f t="shared" si="74"/>
        <v>0</v>
      </c>
      <c r="AI51" s="39">
        <f t="shared" si="57"/>
        <v>57844.44</v>
      </c>
      <c r="AJ51" s="34"/>
      <c r="AK51" s="34">
        <f t="shared" si="58"/>
        <v>694.1</v>
      </c>
      <c r="AL51" s="34">
        <f t="shared" si="75"/>
        <v>243.8</v>
      </c>
      <c r="AM51" s="51">
        <v>0.30199999999999999</v>
      </c>
      <c r="AN51" s="50"/>
      <c r="AO51" s="50"/>
      <c r="AP51" s="50"/>
      <c r="AQ51" s="50">
        <f t="shared" si="11"/>
        <v>0</v>
      </c>
      <c r="AR51" s="51"/>
    </row>
    <row r="52" spans="1:44" s="33" customFormat="1" ht="20.25" customHeight="1" x14ac:dyDescent="0.2">
      <c r="A52" s="2244" t="s">
        <v>72</v>
      </c>
      <c r="B52" s="2244"/>
      <c r="C52" s="230">
        <f t="shared" ref="C52:AG52" si="76">SUM(C9:C51)</f>
        <v>59.75</v>
      </c>
      <c r="D52" s="231">
        <f t="shared" si="76"/>
        <v>419</v>
      </c>
      <c r="E52" s="231">
        <f t="shared" si="76"/>
        <v>591.79999999999995</v>
      </c>
      <c r="F52" s="231">
        <f t="shared" si="76"/>
        <v>7100.7</v>
      </c>
      <c r="G52" s="231">
        <f t="shared" si="76"/>
        <v>0.4</v>
      </c>
      <c r="H52" s="231">
        <f t="shared" si="76"/>
        <v>204.3</v>
      </c>
      <c r="I52" s="231">
        <f t="shared" si="76"/>
        <v>0</v>
      </c>
      <c r="J52" s="231">
        <f t="shared" si="76"/>
        <v>93.9</v>
      </c>
      <c r="K52" s="231">
        <f t="shared" si="76"/>
        <v>1647.5</v>
      </c>
      <c r="L52" s="231">
        <f t="shared" si="76"/>
        <v>2508.9</v>
      </c>
      <c r="M52" s="231">
        <f t="shared" si="76"/>
        <v>11555.7</v>
      </c>
      <c r="N52" s="231">
        <f t="shared" si="76"/>
        <v>19.100000000000001</v>
      </c>
      <c r="O52" s="231">
        <f t="shared" si="76"/>
        <v>5402.6</v>
      </c>
      <c r="P52" s="231">
        <f t="shared" si="76"/>
        <v>16958.3</v>
      </c>
      <c r="Q52" s="231">
        <f t="shared" si="76"/>
        <v>13566</v>
      </c>
      <c r="R52" s="231">
        <f t="shared" si="76"/>
        <v>13566</v>
      </c>
      <c r="S52" s="231">
        <f t="shared" si="76"/>
        <v>1410.9</v>
      </c>
      <c r="T52" s="231">
        <f t="shared" si="76"/>
        <v>45501.2</v>
      </c>
      <c r="U52" s="231">
        <f t="shared" si="76"/>
        <v>1</v>
      </c>
      <c r="V52" s="231">
        <f t="shared" si="76"/>
        <v>45500.9</v>
      </c>
      <c r="W52" s="231">
        <f t="shared" si="76"/>
        <v>13348.7</v>
      </c>
      <c r="X52" s="231">
        <f t="shared" si="76"/>
        <v>34</v>
      </c>
      <c r="Y52" s="231">
        <f t="shared" si="76"/>
        <v>1305</v>
      </c>
      <c r="Z52" s="231">
        <f t="shared" si="76"/>
        <v>1040</v>
      </c>
      <c r="AA52" s="231">
        <f t="shared" si="76"/>
        <v>17</v>
      </c>
      <c r="AB52" s="231">
        <f t="shared" si="76"/>
        <v>652.5</v>
      </c>
      <c r="AC52" s="231">
        <f t="shared" si="76"/>
        <v>255</v>
      </c>
      <c r="AD52" s="231">
        <f t="shared" si="76"/>
        <v>6</v>
      </c>
      <c r="AE52" s="231">
        <f t="shared" si="76"/>
        <v>1305</v>
      </c>
      <c r="AF52" s="231">
        <f t="shared" si="76"/>
        <v>185</v>
      </c>
      <c r="AG52" s="231">
        <f t="shared" si="76"/>
        <v>444</v>
      </c>
      <c r="AH52" s="231">
        <f>SUM(AH9:AH51)</f>
        <v>1924</v>
      </c>
      <c r="AN52" s="211"/>
      <c r="AO52" s="211"/>
      <c r="AP52" s="211"/>
      <c r="AQ52" s="50">
        <f t="shared" si="11"/>
        <v>0</v>
      </c>
    </row>
    <row r="53" spans="1:44" ht="17.25" customHeight="1" x14ac:dyDescent="0.2">
      <c r="G53" s="39"/>
      <c r="H53" s="39"/>
      <c r="I53" s="39"/>
      <c r="J53" s="39"/>
      <c r="K53" s="39"/>
      <c r="L53" s="232"/>
      <c r="M53" s="232"/>
      <c r="N53" s="232"/>
      <c r="O53" s="232"/>
      <c r="P53" s="232"/>
      <c r="Q53" s="39"/>
      <c r="R53" s="39"/>
      <c r="S53" s="39"/>
      <c r="T53" s="39"/>
      <c r="V53" s="34"/>
      <c r="W53" s="66"/>
      <c r="X53" s="39"/>
      <c r="AA53" s="39"/>
      <c r="AD53" s="39"/>
      <c r="AG53" s="39"/>
      <c r="AH53" s="39"/>
    </row>
    <row r="54" spans="1:44" s="75" customFormat="1" x14ac:dyDescent="0.2">
      <c r="A54" s="70"/>
      <c r="B54" s="70"/>
      <c r="C54" s="71"/>
      <c r="D54" s="72"/>
      <c r="E54" s="72"/>
      <c r="F54" s="72"/>
      <c r="G54" s="72"/>
      <c r="H54" s="73"/>
      <c r="I54" s="73"/>
      <c r="J54" s="27"/>
      <c r="K54" s="27"/>
      <c r="L54" s="27"/>
      <c r="M54" s="27"/>
      <c r="N54" s="74"/>
      <c r="O54" s="27"/>
      <c r="P54" s="27"/>
      <c r="Q54" s="27"/>
      <c r="R54" s="27"/>
      <c r="S54" s="27"/>
      <c r="T54" s="27"/>
      <c r="U54" s="27"/>
      <c r="V54" s="27"/>
      <c r="W54" s="27"/>
      <c r="X54" s="27"/>
      <c r="Y54" s="27"/>
      <c r="Z54" s="27"/>
      <c r="AA54" s="27"/>
      <c r="AB54" s="27"/>
      <c r="AC54" s="27"/>
      <c r="AD54" s="27"/>
      <c r="AE54" s="27"/>
      <c r="AF54" s="27"/>
      <c r="AG54" s="27"/>
      <c r="AH54" s="27"/>
      <c r="AI54" s="27"/>
      <c r="AJ54" s="76"/>
      <c r="AN54" s="76"/>
      <c r="AO54" s="76"/>
      <c r="AP54" s="76"/>
      <c r="AQ54" s="76"/>
      <c r="AR54" s="76"/>
    </row>
    <row r="55" spans="1:44" s="75" customFormat="1" ht="104.25" customHeight="1" x14ac:dyDescent="0.2">
      <c r="A55" s="70"/>
      <c r="B55" s="70"/>
      <c r="C55" s="71"/>
      <c r="D55" s="77"/>
      <c r="E55" s="77"/>
      <c r="F55" s="27"/>
      <c r="G55" s="2244" t="s">
        <v>140</v>
      </c>
      <c r="H55" s="2244"/>
      <c r="I55" s="2244" t="s">
        <v>144</v>
      </c>
      <c r="J55" s="2244"/>
      <c r="K55" s="2240" t="s">
        <v>145</v>
      </c>
      <c r="L55" s="2241"/>
      <c r="M55" s="2244" t="s">
        <v>128</v>
      </c>
      <c r="N55" s="2244"/>
      <c r="O55" s="70"/>
      <c r="P55" s="70"/>
      <c r="Q55" s="27"/>
      <c r="R55" s="27"/>
      <c r="S55" s="27"/>
      <c r="T55" s="27"/>
      <c r="U55" s="27"/>
      <c r="V55" s="27"/>
      <c r="W55" s="27"/>
      <c r="X55" s="27"/>
      <c r="Y55" s="27"/>
      <c r="Z55" s="27"/>
      <c r="AA55" s="27"/>
      <c r="AB55" s="27"/>
      <c r="AC55" s="27"/>
      <c r="AD55" s="27"/>
      <c r="AE55" s="27"/>
      <c r="AF55" s="27"/>
      <c r="AG55" s="27"/>
      <c r="AH55" s="27"/>
      <c r="AI55" s="27"/>
      <c r="AJ55" s="76"/>
      <c r="AN55" s="76"/>
      <c r="AO55" s="76"/>
      <c r="AP55" s="76"/>
      <c r="AQ55" s="76"/>
      <c r="AR55" s="76"/>
    </row>
    <row r="56" spans="1:44" s="75" customFormat="1" x14ac:dyDescent="0.2">
      <c r="A56" s="70"/>
      <c r="B56" s="70"/>
      <c r="C56" s="71"/>
      <c r="D56" s="77"/>
      <c r="E56" s="77"/>
      <c r="F56" s="27"/>
      <c r="G56" s="279">
        <v>991</v>
      </c>
      <c r="H56" s="279">
        <v>992</v>
      </c>
      <c r="I56" s="279">
        <v>991</v>
      </c>
      <c r="J56" s="279">
        <v>992</v>
      </c>
      <c r="K56" s="279">
        <v>991</v>
      </c>
      <c r="L56" s="279">
        <v>992</v>
      </c>
      <c r="M56" s="279">
        <v>991</v>
      </c>
      <c r="N56" s="279">
        <v>992</v>
      </c>
      <c r="O56" s="79"/>
      <c r="P56" s="79"/>
      <c r="Q56" s="27"/>
      <c r="R56" s="27"/>
      <c r="S56" s="27"/>
      <c r="T56" s="27"/>
      <c r="U56" s="27"/>
      <c r="V56" s="27"/>
      <c r="W56" s="27"/>
      <c r="X56" s="27"/>
      <c r="Y56" s="27"/>
      <c r="Z56" s="27"/>
      <c r="AA56" s="27"/>
      <c r="AB56" s="27"/>
      <c r="AC56" s="27"/>
      <c r="AD56" s="27"/>
      <c r="AE56" s="27"/>
      <c r="AF56" s="27"/>
      <c r="AG56" s="27"/>
      <c r="AH56" s="27"/>
      <c r="AI56" s="27"/>
      <c r="AJ56" s="76"/>
      <c r="AN56" s="76"/>
      <c r="AO56" s="76"/>
      <c r="AP56" s="76"/>
      <c r="AQ56" s="76"/>
      <c r="AR56" s="76"/>
    </row>
    <row r="57" spans="1:44" s="75" customFormat="1" x14ac:dyDescent="0.2">
      <c r="A57" s="70"/>
      <c r="B57" s="70"/>
      <c r="C57" s="71"/>
      <c r="D57" s="77"/>
      <c r="E57" s="77"/>
      <c r="F57" s="27"/>
      <c r="G57" s="29">
        <v>46179.199999999997</v>
      </c>
      <c r="H57" s="29">
        <v>13446.9</v>
      </c>
      <c r="I57" s="29">
        <f>245.4+176.6+93.6+162.7</f>
        <v>678.3</v>
      </c>
      <c r="J57" s="29">
        <f>74.1+53.3+28.3+49.1</f>
        <v>204.8</v>
      </c>
      <c r="K57" s="29">
        <f>V52</f>
        <v>45500.9</v>
      </c>
      <c r="L57" s="29">
        <f>W52</f>
        <v>13348.7</v>
      </c>
      <c r="M57" s="29">
        <f>G57-I57-K57</f>
        <v>0</v>
      </c>
      <c r="N57" s="29">
        <f>H57-J57-L57</f>
        <v>-106.6</v>
      </c>
      <c r="O57" s="80"/>
      <c r="P57" s="80"/>
      <c r="Q57" s="27"/>
      <c r="R57" s="27"/>
      <c r="S57" s="27"/>
      <c r="T57" s="27"/>
      <c r="U57" s="27"/>
      <c r="V57" s="27"/>
      <c r="W57" s="27"/>
      <c r="X57" s="27"/>
      <c r="Y57" s="27"/>
      <c r="Z57" s="27"/>
      <c r="AA57" s="27"/>
      <c r="AB57" s="27"/>
      <c r="AC57" s="27"/>
      <c r="AD57" s="27"/>
      <c r="AE57" s="27"/>
      <c r="AF57" s="27"/>
      <c r="AG57" s="27"/>
      <c r="AH57" s="27"/>
      <c r="AI57" s="27"/>
      <c r="AJ57" s="76"/>
      <c r="AN57" s="76"/>
      <c r="AO57" s="76"/>
      <c r="AP57" s="76"/>
      <c r="AQ57" s="76"/>
      <c r="AR57" s="76"/>
    </row>
    <row r="58" spans="1:44" s="75" customFormat="1" x14ac:dyDescent="0.2">
      <c r="A58" s="70"/>
      <c r="B58" s="70"/>
      <c r="C58" s="71"/>
      <c r="D58" s="77"/>
      <c r="E58" s="77"/>
      <c r="F58" s="27"/>
      <c r="G58" s="27"/>
      <c r="H58" s="73"/>
      <c r="I58" s="73"/>
      <c r="J58" s="27"/>
      <c r="K58" s="27"/>
      <c r="L58" s="27"/>
      <c r="M58" s="27"/>
      <c r="N58" s="74"/>
      <c r="O58" s="27"/>
      <c r="P58" s="27"/>
      <c r="Q58" s="27"/>
      <c r="R58" s="27"/>
      <c r="S58" s="27"/>
      <c r="T58" s="27"/>
      <c r="U58" s="27"/>
      <c r="V58" s="27"/>
      <c r="W58" s="27"/>
      <c r="X58" s="27"/>
      <c r="Y58" s="27"/>
      <c r="Z58" s="27"/>
      <c r="AA58" s="27"/>
      <c r="AB58" s="27"/>
      <c r="AC58" s="27"/>
      <c r="AD58" s="27"/>
      <c r="AE58" s="27"/>
      <c r="AF58" s="27"/>
      <c r="AG58" s="27"/>
      <c r="AH58" s="76"/>
      <c r="AM58" s="76"/>
      <c r="AN58" s="211"/>
      <c r="AO58" s="211"/>
      <c r="AP58" s="211"/>
      <c r="AQ58" s="211"/>
    </row>
    <row r="59" spans="1:44" s="282" customFormat="1" ht="20.25" x14ac:dyDescent="0.2">
      <c r="A59" s="81"/>
      <c r="B59" s="82" t="s">
        <v>138</v>
      </c>
      <c r="C59" s="83"/>
      <c r="D59" s="84"/>
      <c r="E59" s="84"/>
      <c r="F59" s="85"/>
      <c r="G59" s="85"/>
      <c r="H59" s="86"/>
      <c r="I59" s="86"/>
      <c r="J59" s="85"/>
      <c r="K59" s="30" t="s">
        <v>167</v>
      </c>
      <c r="L59" s="85"/>
      <c r="M59" s="85"/>
      <c r="N59" s="87"/>
      <c r="O59" s="85"/>
      <c r="P59" s="85"/>
      <c r="Q59" s="85"/>
      <c r="R59" s="85"/>
      <c r="S59" s="85"/>
      <c r="T59" s="85"/>
      <c r="U59" s="85"/>
      <c r="V59" s="85"/>
      <c r="W59" s="85"/>
      <c r="X59" s="85"/>
      <c r="Y59" s="85"/>
      <c r="Z59" s="85"/>
      <c r="AA59" s="85"/>
      <c r="AB59" s="85"/>
      <c r="AC59" s="85"/>
      <c r="AD59" s="85"/>
      <c r="AE59" s="85"/>
      <c r="AF59" s="85"/>
      <c r="AG59" s="85"/>
      <c r="AH59" s="85"/>
      <c r="AI59" s="85"/>
      <c r="AK59" s="88"/>
      <c r="AL59" s="88"/>
      <c r="AM59" s="88"/>
      <c r="AN59" s="88"/>
      <c r="AO59" s="88"/>
    </row>
    <row r="60" spans="1:44" s="75" customFormat="1" x14ac:dyDescent="0.2">
      <c r="A60" s="70"/>
      <c r="B60" s="70"/>
      <c r="C60" s="71"/>
      <c r="D60" s="77"/>
      <c r="E60" s="77"/>
      <c r="F60" s="27"/>
      <c r="G60" s="27"/>
      <c r="H60" s="73"/>
      <c r="I60" s="73"/>
      <c r="J60" s="27"/>
      <c r="K60" s="27"/>
      <c r="L60" s="27"/>
      <c r="M60" s="27"/>
      <c r="N60" s="74"/>
      <c r="O60" s="27"/>
      <c r="P60" s="27"/>
      <c r="Q60" s="27"/>
      <c r="R60" s="27"/>
      <c r="S60" s="27"/>
      <c r="T60" s="27"/>
      <c r="U60" s="27"/>
      <c r="V60" s="27"/>
      <c r="W60" s="27"/>
      <c r="X60" s="27"/>
      <c r="Y60" s="27"/>
      <c r="Z60" s="27"/>
      <c r="AA60" s="27"/>
      <c r="AB60" s="27"/>
      <c r="AC60" s="27"/>
      <c r="AD60" s="27"/>
      <c r="AE60" s="27"/>
      <c r="AF60" s="27"/>
      <c r="AG60" s="27"/>
      <c r="AH60" s="76"/>
      <c r="AM60" s="76"/>
      <c r="AN60" s="211"/>
      <c r="AO60" s="211"/>
      <c r="AP60" s="211"/>
      <c r="AQ60" s="211"/>
    </row>
    <row r="61" spans="1:44" s="75" customFormat="1" ht="20.25" customHeight="1" x14ac:dyDescent="0.2">
      <c r="A61" s="89" t="s">
        <v>96</v>
      </c>
      <c r="B61" s="89"/>
      <c r="C61" s="31"/>
      <c r="D61" s="31"/>
      <c r="E61" s="31"/>
      <c r="F61" s="31"/>
      <c r="G61" s="31"/>
      <c r="H61" s="31"/>
      <c r="I61" s="31"/>
      <c r="J61" s="31"/>
      <c r="K61" s="31"/>
      <c r="L61" s="90"/>
      <c r="M61" s="90"/>
      <c r="N61" s="91"/>
      <c r="O61" s="90"/>
      <c r="P61" s="90"/>
      <c r="Q61" s="90"/>
      <c r="R61" s="90"/>
      <c r="S61" s="90"/>
      <c r="T61" s="90"/>
      <c r="U61" s="90"/>
      <c r="V61" s="90"/>
      <c r="W61" s="90"/>
      <c r="X61" s="90"/>
      <c r="Y61" s="90"/>
      <c r="Z61" s="90"/>
      <c r="AA61" s="90"/>
      <c r="AB61" s="90"/>
      <c r="AC61" s="90"/>
      <c r="AD61" s="90"/>
      <c r="AE61" s="90"/>
      <c r="AF61" s="90"/>
      <c r="AG61" s="90"/>
      <c r="AH61" s="76"/>
      <c r="AM61" s="76"/>
      <c r="AN61" s="211"/>
      <c r="AO61" s="211"/>
      <c r="AP61" s="211"/>
      <c r="AQ61" s="211"/>
    </row>
    <row r="62" spans="1:44" s="75" customFormat="1" ht="20.25" customHeight="1" x14ac:dyDescent="0.2">
      <c r="A62" s="89" t="s">
        <v>139</v>
      </c>
      <c r="B62" s="92"/>
      <c r="C62" s="93"/>
      <c r="D62" s="93"/>
      <c r="E62" s="32"/>
      <c r="F62" s="32"/>
      <c r="G62" s="32"/>
      <c r="H62" s="32"/>
      <c r="I62" s="32"/>
      <c r="J62" s="32"/>
      <c r="K62" s="32"/>
      <c r="L62" s="90"/>
      <c r="M62" s="90"/>
      <c r="N62" s="90"/>
      <c r="O62" s="90"/>
      <c r="P62" s="90"/>
      <c r="Q62" s="90"/>
      <c r="R62" s="90"/>
      <c r="S62" s="90"/>
      <c r="T62" s="90"/>
      <c r="U62" s="90"/>
      <c r="V62" s="90"/>
      <c r="W62" s="90"/>
      <c r="X62" s="90"/>
      <c r="Y62" s="90"/>
      <c r="Z62" s="90"/>
      <c r="AA62" s="90"/>
      <c r="AB62" s="90"/>
      <c r="AC62" s="90"/>
      <c r="AD62" s="90"/>
      <c r="AE62" s="90"/>
      <c r="AF62" s="90"/>
      <c r="AG62" s="90"/>
      <c r="AH62" s="76"/>
      <c r="AM62" s="76"/>
      <c r="AN62" s="211"/>
      <c r="AO62" s="211"/>
      <c r="AP62" s="211"/>
      <c r="AQ62" s="211"/>
    </row>
    <row r="64" spans="1:44" hidden="1" x14ac:dyDescent="0.2">
      <c r="A64" s="278"/>
      <c r="B64" s="233" t="s">
        <v>121</v>
      </c>
      <c r="C64" s="233">
        <f t="shared" ref="C64:W64" si="77">C9+C10+C12</f>
        <v>3</v>
      </c>
      <c r="D64" s="233">
        <f t="shared" si="77"/>
        <v>61.43</v>
      </c>
      <c r="E64" s="183">
        <f t="shared" si="77"/>
        <v>61.44</v>
      </c>
      <c r="F64" s="233">
        <f t="shared" si="77"/>
        <v>737.2</v>
      </c>
      <c r="G64" s="233">
        <f t="shared" si="77"/>
        <v>0</v>
      </c>
      <c r="H64" s="233">
        <f t="shared" si="77"/>
        <v>8.6999999999999993</v>
      </c>
      <c r="I64" s="233">
        <f t="shared" si="77"/>
        <v>0</v>
      </c>
      <c r="J64" s="233">
        <f t="shared" si="77"/>
        <v>0</v>
      </c>
      <c r="K64" s="233">
        <f t="shared" si="77"/>
        <v>208.9</v>
      </c>
      <c r="L64" s="233">
        <f t="shared" si="77"/>
        <v>249.5</v>
      </c>
      <c r="M64" s="233">
        <f t="shared" si="77"/>
        <v>1204.3</v>
      </c>
      <c r="N64" s="233">
        <f t="shared" si="77"/>
        <v>1.92</v>
      </c>
      <c r="O64" s="233">
        <f t="shared" si="77"/>
        <v>838.4</v>
      </c>
      <c r="P64" s="233">
        <f t="shared" si="77"/>
        <v>2042.7</v>
      </c>
      <c r="Q64" s="233">
        <f t="shared" si="77"/>
        <v>1634.1</v>
      </c>
      <c r="R64" s="233">
        <f t="shared" si="77"/>
        <v>1634.1</v>
      </c>
      <c r="S64" s="233">
        <f t="shared" si="77"/>
        <v>170</v>
      </c>
      <c r="T64" s="233">
        <f t="shared" si="77"/>
        <v>5480.9</v>
      </c>
      <c r="U64" s="233">
        <f t="shared" si="77"/>
        <v>1</v>
      </c>
      <c r="V64" s="233">
        <f t="shared" si="77"/>
        <v>5480.9</v>
      </c>
      <c r="W64" s="233">
        <f t="shared" si="77"/>
        <v>1328</v>
      </c>
      <c r="X64" s="234">
        <f>V64+W64</f>
        <v>6808.9</v>
      </c>
    </row>
    <row r="65" spans="1:26" hidden="1" x14ac:dyDescent="0.2">
      <c r="A65" s="278"/>
      <c r="B65" s="233" t="s">
        <v>122</v>
      </c>
      <c r="C65" s="233" t="e">
        <f>C13+C14+#REF!+C15+C16+C17+C19+C20+C21+C22+C23+C24+C25+C26+C27+C28+C29+C30+C31+C32+C33+C34+C35+C36+C38+#REF!+C39+C40+C41</f>
        <v>#REF!</v>
      </c>
      <c r="D65" s="233" t="e">
        <f>D13+D14+#REF!+D15+D16+D17+D19+D20+D21+D22+D23+D24+D25+D26+D27+D28+D29+D30+D31+D32+D33+D34+D35+D36+D38+#REF!+D39+D40+D41</f>
        <v>#REF!</v>
      </c>
      <c r="E65" s="183" t="e">
        <f>E13+E14+#REF!+E15+E16+E17+E19+E20+E21+E22+E23+E24+E25+E26+E27+E28+E29+E30+E31+E32+E33+E34+E35+E36+E38+#REF!+E39+E40+E41</f>
        <v>#REF!</v>
      </c>
      <c r="F65" s="233" t="e">
        <f>F13+F14+#REF!+F15+F16+F17+F19+F20+F21+F22+F23+F24+F25+F26+F27+F28+F29+F30+F31+F32+F33+F34+F35+F36+F38+#REF!+F39+F40+F41</f>
        <v>#REF!</v>
      </c>
      <c r="G65" s="233" t="e">
        <f>G13+G14+#REF!+G15+G16+G17+G19+G20+G21+G22+G23+G24+G25+G26+G27+G28+G29+G30+G31+G32+G33+G34+G35+G36+G38+#REF!+G39+G40+G41</f>
        <v>#REF!</v>
      </c>
      <c r="H65" s="233" t="e">
        <f>H13+H14+#REF!+H15+H16+H17+H19+H20+H21+H22+H23+H24+H25+H26+H27+H28+H29+H30+H31+H32+H33+H34+H35+H36+H38+#REF!+H39+H40+H41</f>
        <v>#REF!</v>
      </c>
      <c r="I65" s="233" t="e">
        <f>I13+I14+#REF!+I15+I16+I17+I19+I20+I21+I22+I23+I24+I25+I26+I27+I28+I29+I30+I31+I32+I33+I34+I35+I36+I38+#REF!+I39+I40+I41</f>
        <v>#REF!</v>
      </c>
      <c r="J65" s="233" t="e">
        <f>J13+J14+#REF!+J15+J16+J17+J19+J20+J21+J22+J23+J24+J25+J26+J27+J28+J29+J30+J31+J32+J33+J34+J35+J36+J38+#REF!+J39+J40+J41</f>
        <v>#REF!</v>
      </c>
      <c r="K65" s="233" t="e">
        <f>K13+K14+#REF!+K15+K16+K17+K19+K20+K21+K22+K23+K24+K25+K26+K27+K28+K29+K30+K31+K32+K33+K34+K35+K36+K38+#REF!+K39+K40+K41</f>
        <v>#REF!</v>
      </c>
      <c r="L65" s="233" t="e">
        <f>L13+L14+#REF!+L15+L16+L17+L19+L20+L21+L22+L23+L24+L25+L26+L27+L28+L29+L30+L31+L32+L33+L34+L35+L36+L38+#REF!+L39+L40+L41</f>
        <v>#REF!</v>
      </c>
      <c r="M65" s="233" t="e">
        <f>M13+M14+#REF!+M15+M16+M17+M19+M20+M21+M22+M23+M24+M25+M26+M27+M28+M29+M30+M31+M32+M33+M34+M35+M36+M38+#REF!+M39+M40+M41</f>
        <v>#REF!</v>
      </c>
      <c r="N65" s="233" t="e">
        <f>N13+N14+#REF!+N15+N16+N17+N19+N20+N21+N22+N23+N24+N25+N26+N27+N28+N29+N30+N31+N32+N33+N34+N35+N36+N38+#REF!+N39+N40+N41</f>
        <v>#REF!</v>
      </c>
      <c r="O65" s="233" t="e">
        <f>O13+O14+#REF!+O15+O16+O17+O19+O20+O21+O22+O23+O24+O25+O26+O27+O28+O29+O30+O31+O32+O33+O34+O35+O36+O38+#REF!+O39+O40+O41</f>
        <v>#REF!</v>
      </c>
      <c r="P65" s="233" t="e">
        <f>P13+P14+#REF!+P15+P16+P17+P19+P20+P21+P22+P23+P24+P25+P26+P27+P28+P29+P30+P31+P32+P33+P34+P35+P36+P38+#REF!+P39+P40+P41</f>
        <v>#REF!</v>
      </c>
      <c r="Q65" s="233" t="e">
        <f>Q13+Q14+#REF!+Q15+Q16+Q17+Q19+Q20+Q21+Q22+Q23+Q24+Q25+Q26+Q27+Q28+Q29+Q30+Q31+Q32+Q33+Q34+Q35+Q36+Q38+#REF!+Q39+Q40+Q41</f>
        <v>#REF!</v>
      </c>
      <c r="R65" s="233" t="e">
        <f>R13+R14+#REF!+R15+R16+R17+R19+R20+R21+R22+R23+R24+R25+R26+R27+R28+R29+R30+R31+R32+R33+R34+R35+R36+R38+#REF!+R39+R40+R41</f>
        <v>#REF!</v>
      </c>
      <c r="S65" s="233" t="e">
        <f>S13+S14+#REF!+S15+S16+S17+S19+S20+S21+S22+S23+S24+S25+S26+S27+S28+S29+S30+S31+S32+S33+S34+S35+S36+S38+#REF!+S39+S40+S41</f>
        <v>#REF!</v>
      </c>
      <c r="T65" s="233" t="e">
        <f>T13+T14+#REF!+T15+T16+T17+T19+T20+T21+T22+T23+T24+T25+T26+T27+T28+T29+T30+T31+T32+T33+T34+T35+T36+T38+#REF!+T39+T40+T41</f>
        <v>#REF!</v>
      </c>
      <c r="U65" s="233" t="e">
        <f>U13+U14+#REF!+U15+U16+U17+U19+U20+U21+U22+U23+U24+U25+U26+U27+U28+U29+U30+U31+U32+U33+U34+U35+U36+U38+#REF!+U39+U40+U41</f>
        <v>#REF!</v>
      </c>
      <c r="V65" s="233" t="e">
        <f>V13+V14+#REF!+V15+V16+V17+V19+V20+V21+V22+V23+V24+V25+V26+V27+V28+V29+V30+V31+V32+V33+V34+V35+V36+V38+#REF!+V39+V40+V41</f>
        <v>#REF!</v>
      </c>
      <c r="W65" s="233" t="e">
        <f>W13+W14+#REF!+W15+W16+W17+W19+W20+W21+W22+W23+W24+W25+W26+W27+W28+W29+W30+W31+W32+W33+W34+W35+W36+W38+#REF!+W39+W40+W41</f>
        <v>#REF!</v>
      </c>
      <c r="X65" s="234" t="e">
        <f t="shared" ref="X65:X67" si="78">V65+W65</f>
        <v>#REF!</v>
      </c>
    </row>
    <row r="66" spans="1:26" hidden="1" x14ac:dyDescent="0.2">
      <c r="A66" s="278"/>
      <c r="B66" s="233" t="s">
        <v>123</v>
      </c>
      <c r="C66" s="233" t="e">
        <f>C11+C18+#REF!</f>
        <v>#REF!</v>
      </c>
      <c r="D66" s="233" t="e">
        <f>D11+D18+#REF!</f>
        <v>#REF!</v>
      </c>
      <c r="E66" s="183" t="e">
        <f>E11+E18+#REF!</f>
        <v>#REF!</v>
      </c>
      <c r="F66" s="233" t="e">
        <f>F11+F18+#REF!</f>
        <v>#REF!</v>
      </c>
      <c r="G66" s="233" t="e">
        <f>G11+G18+#REF!</f>
        <v>#REF!</v>
      </c>
      <c r="H66" s="233" t="e">
        <f>H11+H18+#REF!</f>
        <v>#REF!</v>
      </c>
      <c r="I66" s="233" t="e">
        <f>I11+I18+#REF!</f>
        <v>#REF!</v>
      </c>
      <c r="J66" s="233" t="e">
        <f>J11+J18+#REF!</f>
        <v>#REF!</v>
      </c>
      <c r="K66" s="233" t="e">
        <f>K11+K18+#REF!</f>
        <v>#REF!</v>
      </c>
      <c r="L66" s="233" t="e">
        <f>L11+L18+#REF!</f>
        <v>#REF!</v>
      </c>
      <c r="M66" s="233" t="e">
        <f>M11+M18+#REF!</f>
        <v>#REF!</v>
      </c>
      <c r="N66" s="233" t="e">
        <f>N11+N18+#REF!</f>
        <v>#REF!</v>
      </c>
      <c r="O66" s="233" t="e">
        <f>O11+O18+#REF!</f>
        <v>#REF!</v>
      </c>
      <c r="P66" s="233" t="e">
        <f>P11+P18+#REF!</f>
        <v>#REF!</v>
      </c>
      <c r="Q66" s="233" t="e">
        <f>Q11+Q18+#REF!</f>
        <v>#REF!</v>
      </c>
      <c r="R66" s="233" t="e">
        <f>R11+R18+#REF!</f>
        <v>#REF!</v>
      </c>
      <c r="S66" s="233" t="e">
        <f>S11+S18+#REF!</f>
        <v>#REF!</v>
      </c>
      <c r="T66" s="233" t="e">
        <f>T11+T18+#REF!</f>
        <v>#REF!</v>
      </c>
      <c r="U66" s="233" t="e">
        <f>U11+U18+#REF!</f>
        <v>#REF!</v>
      </c>
      <c r="V66" s="233" t="e">
        <f>V11+V18+#REF!</f>
        <v>#REF!</v>
      </c>
      <c r="W66" s="233" t="e">
        <f>W11+W18+#REF!</f>
        <v>#REF!</v>
      </c>
      <c r="X66" s="234" t="e">
        <f t="shared" si="78"/>
        <v>#REF!</v>
      </c>
    </row>
    <row r="67" spans="1:26" hidden="1" x14ac:dyDescent="0.2">
      <c r="A67" s="278"/>
      <c r="B67" s="233"/>
      <c r="C67" s="233" t="e">
        <f>C64+C65+C66</f>
        <v>#REF!</v>
      </c>
      <c r="D67" s="233" t="e">
        <f t="shared" ref="D67:W67" si="79">D64+D65+D66</f>
        <v>#REF!</v>
      </c>
      <c r="E67" s="183" t="e">
        <f t="shared" si="79"/>
        <v>#REF!</v>
      </c>
      <c r="F67" s="233" t="e">
        <f t="shared" si="79"/>
        <v>#REF!</v>
      </c>
      <c r="G67" s="233" t="e">
        <f t="shared" si="79"/>
        <v>#REF!</v>
      </c>
      <c r="H67" s="233" t="e">
        <f t="shared" si="79"/>
        <v>#REF!</v>
      </c>
      <c r="I67" s="233" t="e">
        <f t="shared" si="79"/>
        <v>#REF!</v>
      </c>
      <c r="J67" s="233" t="e">
        <f t="shared" si="79"/>
        <v>#REF!</v>
      </c>
      <c r="K67" s="233" t="e">
        <f t="shared" si="79"/>
        <v>#REF!</v>
      </c>
      <c r="L67" s="233" t="e">
        <f t="shared" si="79"/>
        <v>#REF!</v>
      </c>
      <c r="M67" s="233" t="e">
        <f t="shared" si="79"/>
        <v>#REF!</v>
      </c>
      <c r="N67" s="233" t="e">
        <f t="shared" si="79"/>
        <v>#REF!</v>
      </c>
      <c r="O67" s="233" t="e">
        <f t="shared" si="79"/>
        <v>#REF!</v>
      </c>
      <c r="P67" s="233" t="e">
        <f t="shared" si="79"/>
        <v>#REF!</v>
      </c>
      <c r="Q67" s="233" t="e">
        <f t="shared" si="79"/>
        <v>#REF!</v>
      </c>
      <c r="R67" s="233" t="e">
        <f t="shared" si="79"/>
        <v>#REF!</v>
      </c>
      <c r="S67" s="233" t="e">
        <f t="shared" si="79"/>
        <v>#REF!</v>
      </c>
      <c r="T67" s="233" t="e">
        <f t="shared" si="79"/>
        <v>#REF!</v>
      </c>
      <c r="U67" s="233" t="e">
        <f t="shared" si="79"/>
        <v>#REF!</v>
      </c>
      <c r="V67" s="233" t="e">
        <f t="shared" si="79"/>
        <v>#REF!</v>
      </c>
      <c r="W67" s="233" t="e">
        <f t="shared" si="79"/>
        <v>#REF!</v>
      </c>
      <c r="X67" s="234" t="e">
        <f t="shared" si="78"/>
        <v>#REF!</v>
      </c>
      <c r="Y67" s="22" t="e">
        <f>V67+#REF!</f>
        <v>#REF!</v>
      </c>
      <c r="Z67" s="22" t="e">
        <f>W67+#REF!</f>
        <v>#REF!</v>
      </c>
    </row>
    <row r="68" spans="1:26" hidden="1" x14ac:dyDescent="0.2">
      <c r="A68" s="278"/>
      <c r="B68" s="233"/>
      <c r="C68" s="233"/>
      <c r="D68" s="233"/>
      <c r="E68" s="183"/>
      <c r="F68" s="233"/>
      <c r="G68" s="233"/>
      <c r="H68" s="233"/>
      <c r="I68" s="233"/>
      <c r="J68" s="233"/>
      <c r="K68" s="233"/>
      <c r="L68" s="233"/>
      <c r="M68" s="233"/>
      <c r="N68" s="233"/>
      <c r="O68" s="233"/>
      <c r="P68" s="233"/>
      <c r="Q68" s="233"/>
      <c r="R68" s="233"/>
      <c r="S68" s="233"/>
      <c r="T68" s="233"/>
      <c r="U68" s="233"/>
      <c r="V68" s="233"/>
      <c r="W68" s="233"/>
      <c r="X68" s="233"/>
    </row>
    <row r="69" spans="1:26" hidden="1" x14ac:dyDescent="0.2">
      <c r="E69" s="51"/>
    </row>
    <row r="70" spans="1:26" hidden="1" x14ac:dyDescent="0.2">
      <c r="E70" s="51"/>
    </row>
    <row r="71" spans="1:26" hidden="1" x14ac:dyDescent="0.2">
      <c r="E71" s="51"/>
    </row>
    <row r="72" spans="1:26" hidden="1" x14ac:dyDescent="0.2">
      <c r="E72" s="51"/>
    </row>
    <row r="73" spans="1:26" hidden="1" x14ac:dyDescent="0.2">
      <c r="E73" s="51"/>
    </row>
    <row r="74" spans="1:26" hidden="1" x14ac:dyDescent="0.2">
      <c r="E74" s="51"/>
    </row>
    <row r="75" spans="1:26" hidden="1" x14ac:dyDescent="0.2">
      <c r="E75" s="51"/>
    </row>
    <row r="76" spans="1:26" x14ac:dyDescent="0.2">
      <c r="E76" s="51"/>
    </row>
    <row r="77" spans="1:26" x14ac:dyDescent="0.2">
      <c r="E77" s="51"/>
    </row>
    <row r="78" spans="1:26" x14ac:dyDescent="0.2">
      <c r="E78" s="51"/>
    </row>
    <row r="79" spans="1:26" x14ac:dyDescent="0.2">
      <c r="E79" s="51"/>
    </row>
    <row r="80" spans="1:26" x14ac:dyDescent="0.2">
      <c r="E80" s="51"/>
    </row>
    <row r="81" spans="5:5" x14ac:dyDescent="0.2">
      <c r="E81" s="51"/>
    </row>
    <row r="82" spans="5:5" x14ac:dyDescent="0.2">
      <c r="E82" s="51"/>
    </row>
    <row r="83" spans="5:5" x14ac:dyDescent="0.2">
      <c r="E83" s="51"/>
    </row>
    <row r="84" spans="5:5" x14ac:dyDescent="0.2">
      <c r="E84" s="51"/>
    </row>
    <row r="85" spans="5:5" x14ac:dyDescent="0.2">
      <c r="E85" s="51"/>
    </row>
    <row r="86" spans="5:5" x14ac:dyDescent="0.2">
      <c r="E86" s="51"/>
    </row>
    <row r="87" spans="5:5" x14ac:dyDescent="0.2">
      <c r="E87" s="51"/>
    </row>
    <row r="88" spans="5:5" x14ac:dyDescent="0.2">
      <c r="E88" s="51"/>
    </row>
    <row r="89" spans="5:5" x14ac:dyDescent="0.2">
      <c r="E89" s="51"/>
    </row>
    <row r="90" spans="5:5" x14ac:dyDescent="0.2">
      <c r="E90" s="51"/>
    </row>
    <row r="91" spans="5:5" x14ac:dyDescent="0.2">
      <c r="E91" s="51"/>
    </row>
    <row r="92" spans="5:5" x14ac:dyDescent="0.2">
      <c r="E92" s="51"/>
    </row>
    <row r="93" spans="5:5" x14ac:dyDescent="0.2">
      <c r="E93" s="51"/>
    </row>
    <row r="94" spans="5:5" x14ac:dyDescent="0.2">
      <c r="E94" s="51"/>
    </row>
    <row r="95" spans="5:5" x14ac:dyDescent="0.2">
      <c r="E95" s="51"/>
    </row>
    <row r="96" spans="5:5" x14ac:dyDescent="0.2">
      <c r="E96" s="51"/>
    </row>
    <row r="97" spans="5:5" x14ac:dyDescent="0.2">
      <c r="E97" s="51"/>
    </row>
    <row r="98" spans="5:5" x14ac:dyDescent="0.2">
      <c r="E98" s="51"/>
    </row>
    <row r="99" spans="5:5" x14ac:dyDescent="0.2">
      <c r="E99" s="51"/>
    </row>
    <row r="100" spans="5:5" x14ac:dyDescent="0.2">
      <c r="E100" s="51"/>
    </row>
    <row r="101" spans="5:5" x14ac:dyDescent="0.2">
      <c r="E101" s="51"/>
    </row>
    <row r="102" spans="5:5" x14ac:dyDescent="0.2">
      <c r="E102" s="51"/>
    </row>
    <row r="103" spans="5:5" x14ac:dyDescent="0.2">
      <c r="E103" s="51"/>
    </row>
    <row r="104" spans="5:5" x14ac:dyDescent="0.2">
      <c r="E104" s="51"/>
    </row>
    <row r="105" spans="5:5" x14ac:dyDescent="0.2">
      <c r="E105" s="51"/>
    </row>
  </sheetData>
  <autoFilter ref="A8:AS57" xr:uid="{00000000-0009-0000-0000-000060000000}"/>
  <mergeCells count="38">
    <mergeCell ref="AE1:AH1"/>
    <mergeCell ref="A2:AH2"/>
    <mergeCell ref="A3:AH3"/>
    <mergeCell ref="A5:A7"/>
    <mergeCell ref="B5:B7"/>
    <mergeCell ref="C5:C7"/>
    <mergeCell ref="D5:W5"/>
    <mergeCell ref="X5:AH5"/>
    <mergeCell ref="D6:D7"/>
    <mergeCell ref="E6:E7"/>
    <mergeCell ref="F6:F7"/>
    <mergeCell ref="G6:G7"/>
    <mergeCell ref="H6:H7"/>
    <mergeCell ref="I6:I7"/>
    <mergeCell ref="J6:J7"/>
    <mergeCell ref="AD6:AF6"/>
    <mergeCell ref="AG6:AG7"/>
    <mergeCell ref="AH6:AH7"/>
    <mergeCell ref="U9:U51"/>
    <mergeCell ref="A52:B52"/>
    <mergeCell ref="S6:S7"/>
    <mergeCell ref="T6:T7"/>
    <mergeCell ref="U6:U7"/>
    <mergeCell ref="V6:V7"/>
    <mergeCell ref="W6:W7"/>
    <mergeCell ref="X6:Z6"/>
    <mergeCell ref="L6:L7"/>
    <mergeCell ref="M6:M7"/>
    <mergeCell ref="N6:O6"/>
    <mergeCell ref="P6:P7"/>
    <mergeCell ref="Q6:Q7"/>
    <mergeCell ref="G55:H55"/>
    <mergeCell ref="I55:J55"/>
    <mergeCell ref="K55:L55"/>
    <mergeCell ref="M55:N55"/>
    <mergeCell ref="AA6:AC6"/>
    <mergeCell ref="R6:R7"/>
    <mergeCell ref="K6:K7"/>
  </mergeCells>
  <printOptions horizontalCentered="1"/>
  <pageMargins left="0" right="0" top="0" bottom="0" header="0.31496062992125984" footer="0.31496062992125984"/>
  <pageSetup paperSize="9" scale="37" orientation="landscape" r:id="rId1"/>
  <legacyDrawing r:id="rId2"/>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rgb="FF00B050"/>
    <pageSetUpPr fitToPage="1"/>
  </sheetPr>
  <dimension ref="A1:AS66"/>
  <sheetViews>
    <sheetView view="pageBreakPreview" zoomScale="80" zoomScaleNormal="70" zoomScaleSheetLayoutView="80" workbookViewId="0">
      <pane xSplit="3" ySplit="8" topLeftCell="D18" activePane="bottomRight" state="frozen"/>
      <selection activeCell="M26" sqref="M26:N26"/>
      <selection pane="topRight" activeCell="M26" sqref="M26:N26"/>
      <selection pane="bottomLeft" activeCell="M26" sqref="M26:N26"/>
      <selection pane="bottomRight" activeCell="M26" sqref="M26:N26"/>
    </sheetView>
  </sheetViews>
  <sheetFormatPr defaultRowHeight="15" x14ac:dyDescent="0.2"/>
  <cols>
    <col min="1" max="1" width="9.6640625" style="98" customWidth="1"/>
    <col min="2" max="2" width="30.83203125" style="99" customWidth="1"/>
    <col min="3" max="3" width="13.83203125" style="99" customWidth="1"/>
    <col min="4" max="4" width="13.5" style="99" customWidth="1"/>
    <col min="5" max="5" width="13" style="99" customWidth="1"/>
    <col min="6" max="6" width="14.6640625" style="99" customWidth="1"/>
    <col min="7" max="7" width="11.5" style="99" customWidth="1"/>
    <col min="8" max="8" width="11.6640625" style="99" customWidth="1"/>
    <col min="9" max="9" width="11.33203125" style="99" customWidth="1"/>
    <col min="10" max="10" width="16" style="99" customWidth="1"/>
    <col min="11" max="11" width="13.1640625" style="99" customWidth="1"/>
    <col min="12" max="17" width="11.5" style="99" customWidth="1"/>
    <col min="18" max="18" width="11.6640625" style="99" customWidth="1"/>
    <col min="19" max="19" width="14.6640625" style="99" customWidth="1"/>
    <col min="20" max="20" width="12.33203125" style="99" customWidth="1"/>
    <col min="21" max="21" width="11.6640625" style="99" customWidth="1"/>
    <col min="22" max="22" width="13.83203125" style="99" customWidth="1"/>
    <col min="23" max="23" width="13" style="99" customWidth="1"/>
    <col min="24" max="24" width="11" style="99" customWidth="1"/>
    <col min="25" max="25" width="12.1640625" style="99" customWidth="1"/>
    <col min="26" max="26" width="9.6640625" style="99" customWidth="1"/>
    <col min="27" max="27" width="8.5" style="99" customWidth="1"/>
    <col min="28" max="28" width="9.1640625" style="99" customWidth="1"/>
    <col min="29" max="29" width="9" style="99" customWidth="1"/>
    <col min="30" max="30" width="8.5" style="99" customWidth="1"/>
    <col min="31" max="31" width="9.1640625" style="99" customWidth="1"/>
    <col min="32" max="32" width="10" style="99" customWidth="1"/>
    <col min="33" max="33" width="9.33203125" style="99" customWidth="1"/>
    <col min="34" max="34" width="10.6640625" style="99" customWidth="1"/>
    <col min="35" max="35" width="11.1640625" style="99" customWidth="1"/>
    <col min="36" max="36" width="9.33203125" style="99"/>
    <col min="37" max="37" width="10.6640625" style="99" bestFit="1" customWidth="1"/>
    <col min="38" max="38" width="9.33203125" style="99" hidden="1" customWidth="1"/>
    <col min="39" max="39" width="13" style="99" hidden="1" customWidth="1"/>
    <col min="40" max="40" width="14.1640625" style="211" bestFit="1" customWidth="1"/>
    <col min="41" max="42" width="9.33203125" style="211"/>
    <col min="43" max="43" width="11.33203125" style="211" bestFit="1" customWidth="1"/>
    <col min="44" max="16384" width="9.33203125" style="99"/>
  </cols>
  <sheetData>
    <row r="1" spans="1:45" ht="23.25" customHeight="1" x14ac:dyDescent="0.2">
      <c r="AE1" s="2263"/>
      <c r="AF1" s="2263"/>
      <c r="AG1" s="2263"/>
      <c r="AH1" s="2263"/>
    </row>
    <row r="2" spans="1:45" ht="24" customHeight="1" x14ac:dyDescent="0.2">
      <c r="A2" s="2264" t="s">
        <v>162</v>
      </c>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35"/>
    </row>
    <row r="3" spans="1:45" ht="24.75" customHeight="1" x14ac:dyDescent="0.2">
      <c r="A3" s="2265"/>
      <c r="B3" s="2265"/>
      <c r="C3" s="2265"/>
      <c r="D3" s="2265"/>
      <c r="E3" s="2265"/>
      <c r="F3" s="2265"/>
      <c r="G3" s="2265"/>
      <c r="H3" s="2265"/>
      <c r="I3" s="2265"/>
      <c r="J3" s="2265"/>
      <c r="K3" s="2265"/>
      <c r="L3" s="2265"/>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87"/>
    </row>
    <row r="4" spans="1:45" x14ac:dyDescent="0.2">
      <c r="L4" s="38">
        <v>0.15451000000000001</v>
      </c>
    </row>
    <row r="5" spans="1:45" ht="38.25" customHeight="1" x14ac:dyDescent="0.2">
      <c r="A5" s="2266" t="s">
        <v>78</v>
      </c>
      <c r="B5" s="2266" t="s">
        <v>77</v>
      </c>
      <c r="C5" s="2256" t="s">
        <v>0</v>
      </c>
      <c r="D5" s="2256" t="s">
        <v>3</v>
      </c>
      <c r="E5" s="2256"/>
      <c r="F5" s="2256"/>
      <c r="G5" s="2256"/>
      <c r="H5" s="2256"/>
      <c r="I5" s="2256"/>
      <c r="J5" s="2256"/>
      <c r="K5" s="2256"/>
      <c r="L5" s="2256"/>
      <c r="M5" s="2256"/>
      <c r="N5" s="2256"/>
      <c r="O5" s="2256"/>
      <c r="P5" s="2256"/>
      <c r="Q5" s="2256"/>
      <c r="R5" s="2256"/>
      <c r="S5" s="2256"/>
      <c r="T5" s="2256"/>
      <c r="U5" s="2256"/>
      <c r="V5" s="2256"/>
      <c r="W5" s="2256"/>
      <c r="X5" s="2256" t="s">
        <v>4</v>
      </c>
      <c r="Y5" s="2256"/>
      <c r="Z5" s="2256"/>
      <c r="AA5" s="2256"/>
      <c r="AB5" s="2256"/>
      <c r="AC5" s="2256"/>
      <c r="AD5" s="2256"/>
      <c r="AE5" s="2256"/>
      <c r="AF5" s="2256"/>
      <c r="AG5" s="2256"/>
      <c r="AH5" s="2256"/>
    </row>
    <row r="6" spans="1:45" ht="60" customHeight="1" x14ac:dyDescent="0.2">
      <c r="A6" s="2266"/>
      <c r="B6" s="2266"/>
      <c r="C6" s="2256"/>
      <c r="D6" s="2259" t="s">
        <v>68</v>
      </c>
      <c r="E6" s="2259" t="s">
        <v>69</v>
      </c>
      <c r="F6" s="2259" t="s">
        <v>89</v>
      </c>
      <c r="G6" s="2259" t="s">
        <v>1</v>
      </c>
      <c r="H6" s="2259" t="s">
        <v>2</v>
      </c>
      <c r="I6" s="2259" t="s">
        <v>70</v>
      </c>
      <c r="J6" s="2259" t="s">
        <v>61</v>
      </c>
      <c r="K6" s="2259" t="s">
        <v>27</v>
      </c>
      <c r="L6" s="2261" t="s">
        <v>65</v>
      </c>
      <c r="M6" s="2261" t="s">
        <v>86</v>
      </c>
      <c r="N6" s="2262" t="s">
        <v>90</v>
      </c>
      <c r="O6" s="2262"/>
      <c r="P6" s="2262" t="s">
        <v>88</v>
      </c>
      <c r="Q6" s="2261" t="s">
        <v>82</v>
      </c>
      <c r="R6" s="2259" t="s">
        <v>83</v>
      </c>
      <c r="S6" s="2261" t="s">
        <v>87</v>
      </c>
      <c r="T6" s="2259" t="s">
        <v>84</v>
      </c>
      <c r="U6" s="2259" t="s">
        <v>9</v>
      </c>
      <c r="V6" s="2259" t="s">
        <v>7</v>
      </c>
      <c r="W6" s="2259" t="s">
        <v>85</v>
      </c>
      <c r="X6" s="2256" t="s">
        <v>10</v>
      </c>
      <c r="Y6" s="2256"/>
      <c r="Z6" s="2256"/>
      <c r="AA6" s="2256" t="s">
        <v>11</v>
      </c>
      <c r="AB6" s="2256"/>
      <c r="AC6" s="2256"/>
      <c r="AD6" s="2256" t="s">
        <v>12</v>
      </c>
      <c r="AE6" s="2256"/>
      <c r="AF6" s="2256"/>
      <c r="AG6" s="2256" t="s">
        <v>13</v>
      </c>
      <c r="AH6" s="2256" t="s">
        <v>73</v>
      </c>
    </row>
    <row r="7" spans="1:45" ht="97.5" customHeight="1" x14ac:dyDescent="0.2">
      <c r="A7" s="2266"/>
      <c r="B7" s="2266"/>
      <c r="C7" s="2256"/>
      <c r="D7" s="2259"/>
      <c r="E7" s="2259"/>
      <c r="F7" s="2259"/>
      <c r="G7" s="2259"/>
      <c r="H7" s="2259"/>
      <c r="I7" s="2259"/>
      <c r="J7" s="2259"/>
      <c r="K7" s="2259"/>
      <c r="L7" s="2261" t="s">
        <v>66</v>
      </c>
      <c r="M7" s="2261"/>
      <c r="N7" s="286" t="s">
        <v>80</v>
      </c>
      <c r="O7" s="286" t="s">
        <v>81</v>
      </c>
      <c r="P7" s="2262"/>
      <c r="Q7" s="2261"/>
      <c r="R7" s="2259"/>
      <c r="S7" s="2261" t="s">
        <v>67</v>
      </c>
      <c r="T7" s="2259"/>
      <c r="U7" s="2259"/>
      <c r="V7" s="2259"/>
      <c r="W7" s="2259"/>
      <c r="X7" s="285" t="s">
        <v>5</v>
      </c>
      <c r="Y7" s="285" t="s">
        <v>6</v>
      </c>
      <c r="Z7" s="285" t="s">
        <v>74</v>
      </c>
      <c r="AA7" s="285" t="s">
        <v>5</v>
      </c>
      <c r="AB7" s="285" t="s">
        <v>6</v>
      </c>
      <c r="AC7" s="285" t="s">
        <v>75</v>
      </c>
      <c r="AD7" s="285" t="s">
        <v>5</v>
      </c>
      <c r="AE7" s="285" t="s">
        <v>6</v>
      </c>
      <c r="AF7" s="285" t="s">
        <v>76</v>
      </c>
      <c r="AG7" s="2256"/>
      <c r="AH7" s="2256"/>
      <c r="AK7" s="98" t="s">
        <v>64</v>
      </c>
      <c r="AL7" s="98" t="s">
        <v>62</v>
      </c>
      <c r="AM7" s="98" t="s">
        <v>63</v>
      </c>
    </row>
    <row r="8" spans="1:45" ht="15.75" customHeight="1" x14ac:dyDescent="0.2">
      <c r="A8" s="284">
        <v>1</v>
      </c>
      <c r="B8" s="284">
        <v>2</v>
      </c>
      <c r="C8" s="284">
        <v>3</v>
      </c>
      <c r="D8" s="284">
        <v>4</v>
      </c>
      <c r="E8" s="284">
        <v>5</v>
      </c>
      <c r="F8" s="284">
        <v>6</v>
      </c>
      <c r="G8" s="284">
        <v>7</v>
      </c>
      <c r="H8" s="284">
        <v>8</v>
      </c>
      <c r="I8" s="284">
        <v>9</v>
      </c>
      <c r="J8" s="284">
        <v>10</v>
      </c>
      <c r="K8" s="284">
        <v>11</v>
      </c>
      <c r="L8" s="284">
        <v>12</v>
      </c>
      <c r="M8" s="284">
        <v>13</v>
      </c>
      <c r="N8" s="284">
        <v>14</v>
      </c>
      <c r="O8" s="284">
        <v>15</v>
      </c>
      <c r="P8" s="284">
        <v>16</v>
      </c>
      <c r="Q8" s="284">
        <v>17</v>
      </c>
      <c r="R8" s="284">
        <v>18</v>
      </c>
      <c r="S8" s="284">
        <v>19</v>
      </c>
      <c r="T8" s="284">
        <v>20</v>
      </c>
      <c r="U8" s="284">
        <v>21</v>
      </c>
      <c r="V8" s="284">
        <v>22</v>
      </c>
      <c r="W8" s="284">
        <v>23</v>
      </c>
      <c r="X8" s="284">
        <v>25</v>
      </c>
      <c r="Y8" s="284">
        <v>26</v>
      </c>
      <c r="Z8" s="284">
        <v>27</v>
      </c>
      <c r="AA8" s="284">
        <v>28</v>
      </c>
      <c r="AB8" s="284">
        <v>29</v>
      </c>
      <c r="AC8" s="284">
        <v>30</v>
      </c>
      <c r="AD8" s="284">
        <v>31</v>
      </c>
      <c r="AE8" s="284">
        <v>32</v>
      </c>
      <c r="AF8" s="284">
        <v>33</v>
      </c>
      <c r="AG8" s="284">
        <v>34</v>
      </c>
      <c r="AH8" s="284">
        <v>35</v>
      </c>
      <c r="AN8" s="212" t="s">
        <v>116</v>
      </c>
      <c r="AO8" s="212" t="s">
        <v>117</v>
      </c>
      <c r="AP8" s="212" t="s">
        <v>118</v>
      </c>
      <c r="AQ8" s="212" t="s">
        <v>119</v>
      </c>
    </row>
    <row r="9" spans="1:45" ht="16.5" customHeight="1" x14ac:dyDescent="0.2">
      <c r="A9" s="284">
        <v>1</v>
      </c>
      <c r="B9" s="236" t="s">
        <v>14</v>
      </c>
      <c r="C9" s="284">
        <v>1</v>
      </c>
      <c r="D9" s="237">
        <v>25.672999999999998</v>
      </c>
      <c r="E9" s="169">
        <f t="shared" ref="E9:E24" si="0">C9*D9</f>
        <v>25.67</v>
      </c>
      <c r="F9" s="170">
        <f t="shared" ref="F9:F24" si="1">E9*12</f>
        <v>308</v>
      </c>
      <c r="G9" s="95"/>
      <c r="H9" s="95"/>
      <c r="I9" s="95"/>
      <c r="J9" s="95"/>
      <c r="K9" s="95">
        <f>F9*0.3</f>
        <v>92.4</v>
      </c>
      <c r="L9" s="95">
        <f>F9*$L$4</f>
        <v>47.6</v>
      </c>
      <c r="M9" s="95">
        <f t="shared" ref="M9:M24" si="2">F9+G9+H9+I9+J9+K9+L9</f>
        <v>448</v>
      </c>
      <c r="N9" s="111">
        <v>0.42</v>
      </c>
      <c r="O9" s="95">
        <f t="shared" ref="O9:O24" si="3">M9*N9</f>
        <v>188.2</v>
      </c>
      <c r="P9" s="95">
        <f t="shared" ref="P9:P24" si="4">M9+O9</f>
        <v>636.20000000000005</v>
      </c>
      <c r="Q9" s="95">
        <f t="shared" ref="Q9:Q24" si="5">P9*0.8</f>
        <v>509</v>
      </c>
      <c r="R9" s="95">
        <f t="shared" ref="R9:R24" si="6">P9*0.8</f>
        <v>509</v>
      </c>
      <c r="S9" s="95">
        <f t="shared" ref="S9:S24" si="7">(P9+Q9+R9)*0.032</f>
        <v>52.9</v>
      </c>
      <c r="T9" s="95">
        <f t="shared" ref="T9:T24" si="8">P9+Q9+R9+S9</f>
        <v>1707.1</v>
      </c>
      <c r="U9" s="2915">
        <v>1</v>
      </c>
      <c r="V9" s="95">
        <f>T9*$U$9</f>
        <v>1707.1</v>
      </c>
      <c r="W9" s="95">
        <f>AQ9</f>
        <v>424.3</v>
      </c>
      <c r="X9" s="284">
        <v>1</v>
      </c>
      <c r="Y9" s="112">
        <v>30</v>
      </c>
      <c r="Z9" s="113">
        <f t="shared" ref="Z9:Z24" si="9">X9*Y9</f>
        <v>30</v>
      </c>
      <c r="AA9" s="284"/>
      <c r="AB9" s="112">
        <v>15</v>
      </c>
      <c r="AC9" s="113">
        <f t="shared" ref="AC9:AC24" si="10">AA9*AB9</f>
        <v>0</v>
      </c>
      <c r="AD9" s="284">
        <v>1</v>
      </c>
      <c r="AE9" s="112">
        <v>30</v>
      </c>
      <c r="AF9" s="113">
        <f t="shared" ref="AF9:AF24" si="11">AD9*AE9</f>
        <v>30</v>
      </c>
      <c r="AG9" s="113">
        <f t="shared" ref="AG9:AG24" si="12">(Z9+AC9+AF9)*1%*30</f>
        <v>18</v>
      </c>
      <c r="AH9" s="113">
        <f t="shared" ref="AH9:AH24" si="13">Z9+AC9+AF9+AG9</f>
        <v>78</v>
      </c>
      <c r="AI9" s="114">
        <f t="shared" ref="AI9:AI17" si="14">V9/12/C9*1000</f>
        <v>142258.29999999999</v>
      </c>
      <c r="AK9" s="114">
        <f t="shared" ref="AK9:AK24" si="15">V9/C9</f>
        <v>1707.1</v>
      </c>
      <c r="AL9" s="114">
        <f>((979*0.302)+((AK9-979)*0.182))</f>
        <v>428.2</v>
      </c>
      <c r="AM9" s="115">
        <f>AL9/AK9</f>
        <v>0.251</v>
      </c>
      <c r="AN9" s="50">
        <f>1150*0.22+(AK9-1150)*0.1</f>
        <v>308.7</v>
      </c>
      <c r="AO9" s="50">
        <f>865*0.029</f>
        <v>25.1</v>
      </c>
      <c r="AP9" s="50">
        <f>AK9*0.053</f>
        <v>90.5</v>
      </c>
      <c r="AQ9" s="50">
        <f t="shared" ref="AQ9:AQ24" si="16">SUM(AN9:AP9)*C9</f>
        <v>424.3</v>
      </c>
      <c r="AS9" s="99">
        <f t="shared" ref="AS9:AS17" si="17">D9*1.5</f>
        <v>38.509500000000003</v>
      </c>
    </row>
    <row r="10" spans="1:45" x14ac:dyDescent="0.2">
      <c r="A10" s="284">
        <v>2</v>
      </c>
      <c r="B10" s="236" t="s">
        <v>127</v>
      </c>
      <c r="C10" s="284">
        <v>1</v>
      </c>
      <c r="D10" s="237">
        <v>17.971</v>
      </c>
      <c r="E10" s="169">
        <f>C10*D10</f>
        <v>17.97</v>
      </c>
      <c r="F10" s="170">
        <f t="shared" si="1"/>
        <v>215.6</v>
      </c>
      <c r="G10" s="95"/>
      <c r="H10" s="95">
        <v>11.2</v>
      </c>
      <c r="I10" s="95"/>
      <c r="J10" s="95"/>
      <c r="K10" s="95">
        <f>F10*0.3+D10*0.05*6.5</f>
        <v>70.5</v>
      </c>
      <c r="L10" s="95">
        <f t="shared" ref="L10:L23" si="18">F10*$L$4</f>
        <v>33.299999999999997</v>
      </c>
      <c r="M10" s="95">
        <f t="shared" si="2"/>
        <v>330.6</v>
      </c>
      <c r="N10" s="111">
        <v>0.47</v>
      </c>
      <c r="O10" s="95">
        <f t="shared" si="3"/>
        <v>155.4</v>
      </c>
      <c r="P10" s="95">
        <f t="shared" si="4"/>
        <v>486</v>
      </c>
      <c r="Q10" s="95">
        <f t="shared" si="5"/>
        <v>388.8</v>
      </c>
      <c r="R10" s="95">
        <f t="shared" si="6"/>
        <v>388.8</v>
      </c>
      <c r="S10" s="95">
        <f t="shared" si="7"/>
        <v>40.4</v>
      </c>
      <c r="T10" s="95">
        <f t="shared" si="8"/>
        <v>1304</v>
      </c>
      <c r="U10" s="2916"/>
      <c r="V10" s="95">
        <f>T10*$U$9</f>
        <v>1304</v>
      </c>
      <c r="W10" s="95">
        <f>AQ10</f>
        <v>362.6</v>
      </c>
      <c r="X10" s="284">
        <v>1</v>
      </c>
      <c r="Y10" s="112">
        <v>30</v>
      </c>
      <c r="Z10" s="113">
        <f t="shared" si="9"/>
        <v>30</v>
      </c>
      <c r="AA10" s="284"/>
      <c r="AB10" s="112">
        <v>15</v>
      </c>
      <c r="AC10" s="113">
        <f t="shared" si="10"/>
        <v>0</v>
      </c>
      <c r="AD10" s="284"/>
      <c r="AE10" s="112">
        <v>30</v>
      </c>
      <c r="AF10" s="113">
        <f t="shared" si="11"/>
        <v>0</v>
      </c>
      <c r="AG10" s="113">
        <f t="shared" si="12"/>
        <v>9</v>
      </c>
      <c r="AH10" s="113">
        <f t="shared" si="13"/>
        <v>39</v>
      </c>
      <c r="AI10" s="114">
        <f t="shared" si="14"/>
        <v>108666.7</v>
      </c>
      <c r="AK10" s="114">
        <f t="shared" si="15"/>
        <v>1304</v>
      </c>
      <c r="AL10" s="114">
        <f t="shared" ref="AL10:AL24" si="19">((979*0.302)+((AK10-979)*0.182))</f>
        <v>354.8</v>
      </c>
      <c r="AM10" s="115">
        <f>AL10/AK10</f>
        <v>0.27200000000000002</v>
      </c>
      <c r="AN10" s="50">
        <f>1150*0.22+(AK10-1150)*0.1</f>
        <v>268.39999999999998</v>
      </c>
      <c r="AO10" s="50">
        <f>865*0.029</f>
        <v>25.1</v>
      </c>
      <c r="AP10" s="50">
        <f>AK10*0.053</f>
        <v>69.099999999999994</v>
      </c>
      <c r="AQ10" s="50">
        <f t="shared" si="16"/>
        <v>362.6</v>
      </c>
      <c r="AS10" s="99">
        <f t="shared" si="17"/>
        <v>26.956499999999998</v>
      </c>
    </row>
    <row r="11" spans="1:45" x14ac:dyDescent="0.2">
      <c r="A11" s="284">
        <v>3</v>
      </c>
      <c r="B11" s="236" t="s">
        <v>23</v>
      </c>
      <c r="C11" s="238">
        <v>4</v>
      </c>
      <c r="D11" s="237">
        <v>11.061999999999999</v>
      </c>
      <c r="E11" s="111">
        <f t="shared" si="0"/>
        <v>44.25</v>
      </c>
      <c r="F11" s="95">
        <f t="shared" si="1"/>
        <v>531</v>
      </c>
      <c r="G11" s="95"/>
      <c r="H11" s="95">
        <f>7.01+7.789+7.01</f>
        <v>21.8</v>
      </c>
      <c r="I11" s="95"/>
      <c r="J11" s="95"/>
      <c r="K11" s="95">
        <f>F11*0.25*2+F11*0.3+D11*0.05*11.5</f>
        <v>431.2</v>
      </c>
      <c r="L11" s="95">
        <f t="shared" si="18"/>
        <v>82</v>
      </c>
      <c r="M11" s="95">
        <f t="shared" si="2"/>
        <v>1066</v>
      </c>
      <c r="N11" s="111">
        <v>0.43</v>
      </c>
      <c r="O11" s="95">
        <f t="shared" si="3"/>
        <v>458.4</v>
      </c>
      <c r="P11" s="95">
        <f t="shared" si="4"/>
        <v>1524.4</v>
      </c>
      <c r="Q11" s="95">
        <f t="shared" si="5"/>
        <v>1219.5</v>
      </c>
      <c r="R11" s="95">
        <f t="shared" si="6"/>
        <v>1219.5</v>
      </c>
      <c r="S11" s="95">
        <f t="shared" si="7"/>
        <v>126.8</v>
      </c>
      <c r="T11" s="95">
        <f t="shared" si="8"/>
        <v>4090.2</v>
      </c>
      <c r="U11" s="2916"/>
      <c r="V11" s="95">
        <f t="shared" ref="V11:V23" si="20">T11*$U$9</f>
        <v>4090.2</v>
      </c>
      <c r="W11" s="95">
        <f>AQ11</f>
        <v>1217.2</v>
      </c>
      <c r="X11" s="239">
        <v>2</v>
      </c>
      <c r="Y11" s="240">
        <v>30</v>
      </c>
      <c r="Z11" s="241">
        <f t="shared" si="9"/>
        <v>60</v>
      </c>
      <c r="AA11" s="239">
        <v>1</v>
      </c>
      <c r="AB11" s="240">
        <v>15</v>
      </c>
      <c r="AC11" s="241">
        <f t="shared" si="10"/>
        <v>15</v>
      </c>
      <c r="AD11" s="239">
        <v>1</v>
      </c>
      <c r="AE11" s="240">
        <v>30</v>
      </c>
      <c r="AF11" s="241">
        <f t="shared" si="11"/>
        <v>30</v>
      </c>
      <c r="AG11" s="241">
        <f t="shared" si="12"/>
        <v>31.5</v>
      </c>
      <c r="AH11" s="241">
        <f t="shared" si="13"/>
        <v>136.5</v>
      </c>
      <c r="AI11" s="114">
        <f t="shared" si="14"/>
        <v>85212.5</v>
      </c>
      <c r="AK11" s="114">
        <f t="shared" si="15"/>
        <v>1022.6</v>
      </c>
      <c r="AL11" s="114">
        <f t="shared" si="19"/>
        <v>303.60000000000002</v>
      </c>
      <c r="AM11" s="115">
        <v>0.30199999999999999</v>
      </c>
      <c r="AN11" s="50">
        <f t="shared" ref="AN11:AN24" si="21">AK11*0.22</f>
        <v>225</v>
      </c>
      <c r="AO11" s="50">
        <f>865*0.029</f>
        <v>25.1</v>
      </c>
      <c r="AP11" s="50">
        <f>AK11*0.053</f>
        <v>54.2</v>
      </c>
      <c r="AQ11" s="50">
        <f t="shared" si="16"/>
        <v>1217.2</v>
      </c>
      <c r="AS11" s="99">
        <f t="shared" si="17"/>
        <v>16.593</v>
      </c>
    </row>
    <row r="12" spans="1:45" x14ac:dyDescent="0.2">
      <c r="A12" s="284">
        <v>4</v>
      </c>
      <c r="B12" s="236" t="s">
        <v>47</v>
      </c>
      <c r="C12" s="238">
        <v>1</v>
      </c>
      <c r="D12" s="237">
        <v>6.2859999999999996</v>
      </c>
      <c r="E12" s="111">
        <f t="shared" si="0"/>
        <v>6.29</v>
      </c>
      <c r="F12" s="95">
        <f t="shared" si="1"/>
        <v>75.5</v>
      </c>
      <c r="G12" s="95"/>
      <c r="H12" s="95"/>
      <c r="I12" s="95"/>
      <c r="J12" s="95"/>
      <c r="K12" s="95"/>
      <c r="L12" s="95">
        <f t="shared" si="18"/>
        <v>11.7</v>
      </c>
      <c r="M12" s="95">
        <f t="shared" si="2"/>
        <v>87.2</v>
      </c>
      <c r="N12" s="111">
        <v>0.45</v>
      </c>
      <c r="O12" s="95">
        <f t="shared" si="3"/>
        <v>39.200000000000003</v>
      </c>
      <c r="P12" s="95">
        <f t="shared" si="4"/>
        <v>126.4</v>
      </c>
      <c r="Q12" s="95">
        <f t="shared" si="5"/>
        <v>101.1</v>
      </c>
      <c r="R12" s="95">
        <f t="shared" si="6"/>
        <v>101.1</v>
      </c>
      <c r="S12" s="95">
        <f t="shared" si="7"/>
        <v>10.5</v>
      </c>
      <c r="T12" s="95">
        <f t="shared" si="8"/>
        <v>339.1</v>
      </c>
      <c r="U12" s="2916"/>
      <c r="V12" s="95">
        <f t="shared" si="20"/>
        <v>339.1</v>
      </c>
      <c r="W12" s="95">
        <f t="shared" ref="W12:W24" si="22">V12*0.302</f>
        <v>102.4</v>
      </c>
      <c r="X12" s="239"/>
      <c r="Y12" s="240">
        <v>30</v>
      </c>
      <c r="Z12" s="241">
        <f t="shared" si="9"/>
        <v>0</v>
      </c>
      <c r="AA12" s="239"/>
      <c r="AB12" s="240">
        <v>15</v>
      </c>
      <c r="AC12" s="241">
        <f t="shared" si="10"/>
        <v>0</v>
      </c>
      <c r="AD12" s="239"/>
      <c r="AE12" s="240">
        <v>30</v>
      </c>
      <c r="AF12" s="241">
        <f t="shared" si="11"/>
        <v>0</v>
      </c>
      <c r="AG12" s="241">
        <f t="shared" si="12"/>
        <v>0</v>
      </c>
      <c r="AH12" s="241">
        <f t="shared" si="13"/>
        <v>0</v>
      </c>
      <c r="AI12" s="114">
        <f t="shared" si="14"/>
        <v>28258.3</v>
      </c>
      <c r="AK12" s="114">
        <f t="shared" si="15"/>
        <v>339.1</v>
      </c>
      <c r="AL12" s="114">
        <f t="shared" si="19"/>
        <v>179.2</v>
      </c>
      <c r="AM12" s="115">
        <v>0.30199999999999999</v>
      </c>
      <c r="AN12" s="50">
        <f t="shared" si="21"/>
        <v>74.599999999999994</v>
      </c>
      <c r="AO12" s="50"/>
      <c r="AP12" s="50">
        <f t="shared" ref="AP12:AP24" si="23">AK12*0.053</f>
        <v>18</v>
      </c>
      <c r="AQ12" s="50">
        <f t="shared" si="16"/>
        <v>92.6</v>
      </c>
      <c r="AR12" s="22"/>
      <c r="AS12" s="99">
        <f t="shared" si="17"/>
        <v>9.4290000000000003</v>
      </c>
    </row>
    <row r="13" spans="1:45" s="33" customFormat="1" x14ac:dyDescent="0.2">
      <c r="A13" s="284">
        <v>5</v>
      </c>
      <c r="B13" s="52" t="s">
        <v>48</v>
      </c>
      <c r="C13" s="278">
        <v>1</v>
      </c>
      <c r="D13" s="177">
        <v>11.061999999999999</v>
      </c>
      <c r="E13" s="171">
        <f t="shared" si="0"/>
        <v>11.06</v>
      </c>
      <c r="F13" s="154">
        <f t="shared" si="1"/>
        <v>132.69999999999999</v>
      </c>
      <c r="G13" s="154"/>
      <c r="H13" s="154">
        <f>7010.2/1000</f>
        <v>7</v>
      </c>
      <c r="I13" s="154"/>
      <c r="J13" s="154"/>
      <c r="K13" s="154">
        <f>F13*0.4</f>
        <v>53.1</v>
      </c>
      <c r="L13" s="95">
        <f t="shared" si="18"/>
        <v>20.5</v>
      </c>
      <c r="M13" s="154">
        <f t="shared" si="2"/>
        <v>213.3</v>
      </c>
      <c r="N13" s="111">
        <v>0.47</v>
      </c>
      <c r="O13" s="154">
        <f t="shared" si="3"/>
        <v>100.3</v>
      </c>
      <c r="P13" s="154">
        <f t="shared" si="4"/>
        <v>313.60000000000002</v>
      </c>
      <c r="Q13" s="154">
        <f t="shared" si="5"/>
        <v>250.9</v>
      </c>
      <c r="R13" s="154">
        <f t="shared" si="6"/>
        <v>250.9</v>
      </c>
      <c r="S13" s="154">
        <f t="shared" si="7"/>
        <v>26.1</v>
      </c>
      <c r="T13" s="154">
        <f t="shared" si="8"/>
        <v>841.5</v>
      </c>
      <c r="U13" s="2916"/>
      <c r="V13" s="154">
        <f t="shared" si="20"/>
        <v>841.5</v>
      </c>
      <c r="W13" s="95">
        <f t="shared" si="22"/>
        <v>254.1</v>
      </c>
      <c r="X13" s="54"/>
      <c r="Y13" s="24">
        <v>30</v>
      </c>
      <c r="Z13" s="48">
        <f t="shared" si="9"/>
        <v>0</v>
      </c>
      <c r="AA13" s="54"/>
      <c r="AB13" s="24">
        <v>15</v>
      </c>
      <c r="AC13" s="48">
        <f t="shared" si="10"/>
        <v>0</v>
      </c>
      <c r="AD13" s="54"/>
      <c r="AE13" s="24">
        <v>30</v>
      </c>
      <c r="AF13" s="48">
        <f t="shared" si="11"/>
        <v>0</v>
      </c>
      <c r="AG13" s="48">
        <f t="shared" si="12"/>
        <v>0</v>
      </c>
      <c r="AH13" s="48">
        <f t="shared" si="13"/>
        <v>0</v>
      </c>
      <c r="AI13" s="34">
        <f t="shared" si="14"/>
        <v>70125</v>
      </c>
      <c r="AK13" s="34">
        <f t="shared" si="15"/>
        <v>841.5</v>
      </c>
      <c r="AL13" s="34">
        <f t="shared" si="19"/>
        <v>270.60000000000002</v>
      </c>
      <c r="AM13" s="51">
        <v>0.30199999999999999</v>
      </c>
      <c r="AN13" s="50">
        <f t="shared" si="21"/>
        <v>185.1</v>
      </c>
      <c r="AO13" s="50"/>
      <c r="AP13" s="50">
        <f t="shared" si="23"/>
        <v>44.6</v>
      </c>
      <c r="AQ13" s="50">
        <f t="shared" si="16"/>
        <v>229.7</v>
      </c>
      <c r="AR13" s="22"/>
      <c r="AS13" s="22">
        <f t="shared" si="17"/>
        <v>16.593</v>
      </c>
    </row>
    <row r="14" spans="1:45" x14ac:dyDescent="0.2">
      <c r="A14" s="284">
        <v>6</v>
      </c>
      <c r="B14" s="236" t="s">
        <v>49</v>
      </c>
      <c r="C14" s="127">
        <v>1</v>
      </c>
      <c r="D14" s="237">
        <v>8.4730000000000008</v>
      </c>
      <c r="E14" s="111">
        <f t="shared" si="0"/>
        <v>8.4700000000000006</v>
      </c>
      <c r="F14" s="95">
        <f t="shared" si="1"/>
        <v>101.6</v>
      </c>
      <c r="G14" s="95"/>
      <c r="H14" s="95">
        <f>5966.1/1000</f>
        <v>6</v>
      </c>
      <c r="I14" s="95"/>
      <c r="J14" s="95"/>
      <c r="K14" s="95">
        <f>F14*0.4</f>
        <v>40.6</v>
      </c>
      <c r="L14" s="95">
        <f t="shared" si="18"/>
        <v>15.7</v>
      </c>
      <c r="M14" s="95">
        <f t="shared" si="2"/>
        <v>163.9</v>
      </c>
      <c r="N14" s="111">
        <v>0.41</v>
      </c>
      <c r="O14" s="95">
        <f t="shared" si="3"/>
        <v>67.2</v>
      </c>
      <c r="P14" s="95">
        <f t="shared" si="4"/>
        <v>231.1</v>
      </c>
      <c r="Q14" s="95">
        <f t="shared" si="5"/>
        <v>184.9</v>
      </c>
      <c r="R14" s="95">
        <f t="shared" si="6"/>
        <v>184.9</v>
      </c>
      <c r="S14" s="95">
        <f t="shared" si="7"/>
        <v>19.2</v>
      </c>
      <c r="T14" s="95">
        <f t="shared" si="8"/>
        <v>620.1</v>
      </c>
      <c r="U14" s="2916"/>
      <c r="V14" s="95">
        <f>T14*$U$9</f>
        <v>620.1</v>
      </c>
      <c r="W14" s="95">
        <f t="shared" si="22"/>
        <v>187.3</v>
      </c>
      <c r="X14" s="284"/>
      <c r="Y14" s="112">
        <v>30</v>
      </c>
      <c r="Z14" s="113">
        <f t="shared" si="9"/>
        <v>0</v>
      </c>
      <c r="AA14" s="127"/>
      <c r="AB14" s="112">
        <v>15</v>
      </c>
      <c r="AC14" s="113">
        <f t="shared" si="10"/>
        <v>0</v>
      </c>
      <c r="AD14" s="127"/>
      <c r="AE14" s="112">
        <v>30</v>
      </c>
      <c r="AF14" s="113">
        <f t="shared" si="11"/>
        <v>0</v>
      </c>
      <c r="AG14" s="113">
        <f t="shared" si="12"/>
        <v>0</v>
      </c>
      <c r="AH14" s="113">
        <f t="shared" si="13"/>
        <v>0</v>
      </c>
      <c r="AI14" s="114">
        <f t="shared" si="14"/>
        <v>51675</v>
      </c>
      <c r="AK14" s="114">
        <f t="shared" si="15"/>
        <v>620.1</v>
      </c>
      <c r="AL14" s="114">
        <f t="shared" si="19"/>
        <v>230.3</v>
      </c>
      <c r="AM14" s="115">
        <v>0.30199999999999999</v>
      </c>
      <c r="AN14" s="50">
        <f t="shared" si="21"/>
        <v>136.4</v>
      </c>
      <c r="AO14" s="50"/>
      <c r="AP14" s="50">
        <f t="shared" si="23"/>
        <v>32.9</v>
      </c>
      <c r="AQ14" s="50">
        <f t="shared" si="16"/>
        <v>169.3</v>
      </c>
      <c r="AR14" s="22"/>
      <c r="AS14" s="99">
        <f t="shared" si="17"/>
        <v>12.7095</v>
      </c>
    </row>
    <row r="15" spans="1:45" x14ac:dyDescent="0.2">
      <c r="A15" s="284">
        <v>7</v>
      </c>
      <c r="B15" s="236" t="s">
        <v>52</v>
      </c>
      <c r="C15" s="127">
        <v>1</v>
      </c>
      <c r="D15" s="237">
        <v>8.4730000000000008</v>
      </c>
      <c r="E15" s="111">
        <f t="shared" si="0"/>
        <v>8.4700000000000006</v>
      </c>
      <c r="F15" s="95">
        <f t="shared" si="1"/>
        <v>101.6</v>
      </c>
      <c r="G15" s="95"/>
      <c r="H15" s="95">
        <f>5966.1/1000</f>
        <v>6</v>
      </c>
      <c r="I15" s="95"/>
      <c r="J15" s="95"/>
      <c r="K15" s="95">
        <f>F15*0.25</f>
        <v>25.4</v>
      </c>
      <c r="L15" s="95">
        <f t="shared" si="18"/>
        <v>15.7</v>
      </c>
      <c r="M15" s="95">
        <f t="shared" si="2"/>
        <v>148.69999999999999</v>
      </c>
      <c r="N15" s="111">
        <v>0.41</v>
      </c>
      <c r="O15" s="95">
        <f t="shared" si="3"/>
        <v>61</v>
      </c>
      <c r="P15" s="95">
        <f t="shared" si="4"/>
        <v>209.7</v>
      </c>
      <c r="Q15" s="95">
        <f t="shared" si="5"/>
        <v>167.8</v>
      </c>
      <c r="R15" s="95">
        <f t="shared" si="6"/>
        <v>167.8</v>
      </c>
      <c r="S15" s="95">
        <f t="shared" si="7"/>
        <v>17.399999999999999</v>
      </c>
      <c r="T15" s="95">
        <f t="shared" si="8"/>
        <v>562.70000000000005</v>
      </c>
      <c r="U15" s="2916"/>
      <c r="V15" s="95">
        <f t="shared" si="20"/>
        <v>562.70000000000005</v>
      </c>
      <c r="W15" s="95">
        <f t="shared" si="22"/>
        <v>169.9</v>
      </c>
      <c r="X15" s="284"/>
      <c r="Y15" s="112">
        <v>30</v>
      </c>
      <c r="Z15" s="113">
        <f t="shared" si="9"/>
        <v>0</v>
      </c>
      <c r="AA15" s="127"/>
      <c r="AB15" s="112">
        <v>15</v>
      </c>
      <c r="AC15" s="113">
        <f t="shared" si="10"/>
        <v>0</v>
      </c>
      <c r="AD15" s="127"/>
      <c r="AE15" s="112">
        <v>30</v>
      </c>
      <c r="AF15" s="113">
        <f t="shared" si="11"/>
        <v>0</v>
      </c>
      <c r="AG15" s="113">
        <f t="shared" si="12"/>
        <v>0</v>
      </c>
      <c r="AH15" s="113">
        <f t="shared" si="13"/>
        <v>0</v>
      </c>
      <c r="AI15" s="114">
        <f t="shared" si="14"/>
        <v>46891.7</v>
      </c>
      <c r="AK15" s="114">
        <f t="shared" si="15"/>
        <v>562.70000000000005</v>
      </c>
      <c r="AL15" s="114">
        <f t="shared" si="19"/>
        <v>219.9</v>
      </c>
      <c r="AM15" s="115">
        <v>0.30199999999999999</v>
      </c>
      <c r="AN15" s="50">
        <f t="shared" si="21"/>
        <v>123.8</v>
      </c>
      <c r="AO15" s="50"/>
      <c r="AP15" s="50">
        <f t="shared" si="23"/>
        <v>29.8</v>
      </c>
      <c r="AQ15" s="50">
        <f t="shared" si="16"/>
        <v>153.6</v>
      </c>
      <c r="AS15" s="99">
        <f t="shared" si="17"/>
        <v>12.7095</v>
      </c>
    </row>
    <row r="16" spans="1:45" x14ac:dyDescent="0.2">
      <c r="A16" s="284">
        <v>8</v>
      </c>
      <c r="B16" s="236" t="s">
        <v>40</v>
      </c>
      <c r="C16" s="127">
        <v>1</v>
      </c>
      <c r="D16" s="237">
        <v>11.061999999999999</v>
      </c>
      <c r="E16" s="111">
        <f t="shared" si="0"/>
        <v>11.06</v>
      </c>
      <c r="F16" s="95">
        <f t="shared" si="1"/>
        <v>132.69999999999999</v>
      </c>
      <c r="G16" s="95"/>
      <c r="H16" s="95">
        <f>7010.2/1000</f>
        <v>7</v>
      </c>
      <c r="I16" s="95"/>
      <c r="J16" s="95"/>
      <c r="K16" s="95">
        <f>F16*0.25</f>
        <v>33.200000000000003</v>
      </c>
      <c r="L16" s="95">
        <f t="shared" si="18"/>
        <v>20.5</v>
      </c>
      <c r="M16" s="95">
        <f t="shared" si="2"/>
        <v>193.4</v>
      </c>
      <c r="N16" s="111">
        <v>0.43</v>
      </c>
      <c r="O16" s="95">
        <f t="shared" si="3"/>
        <v>83.2</v>
      </c>
      <c r="P16" s="95">
        <f t="shared" si="4"/>
        <v>276.60000000000002</v>
      </c>
      <c r="Q16" s="95">
        <f t="shared" si="5"/>
        <v>221.3</v>
      </c>
      <c r="R16" s="95">
        <f t="shared" si="6"/>
        <v>221.3</v>
      </c>
      <c r="S16" s="95">
        <f t="shared" si="7"/>
        <v>23</v>
      </c>
      <c r="T16" s="95">
        <f t="shared" si="8"/>
        <v>742.2</v>
      </c>
      <c r="U16" s="2916"/>
      <c r="V16" s="95">
        <f t="shared" si="20"/>
        <v>742.2</v>
      </c>
      <c r="W16" s="95">
        <f t="shared" si="22"/>
        <v>224.1</v>
      </c>
      <c r="X16" s="284"/>
      <c r="Y16" s="112">
        <v>30</v>
      </c>
      <c r="Z16" s="113">
        <f t="shared" si="9"/>
        <v>0</v>
      </c>
      <c r="AA16" s="127"/>
      <c r="AB16" s="112">
        <v>15</v>
      </c>
      <c r="AC16" s="113">
        <f t="shared" si="10"/>
        <v>0</v>
      </c>
      <c r="AD16" s="127"/>
      <c r="AE16" s="112">
        <v>30</v>
      </c>
      <c r="AF16" s="113">
        <f t="shared" si="11"/>
        <v>0</v>
      </c>
      <c r="AG16" s="113">
        <f t="shared" si="12"/>
        <v>0</v>
      </c>
      <c r="AH16" s="113">
        <f t="shared" si="13"/>
        <v>0</v>
      </c>
      <c r="AI16" s="114">
        <f t="shared" si="14"/>
        <v>61850</v>
      </c>
      <c r="AK16" s="114">
        <f t="shared" si="15"/>
        <v>742.2</v>
      </c>
      <c r="AL16" s="114">
        <f t="shared" si="19"/>
        <v>252.6</v>
      </c>
      <c r="AM16" s="115">
        <v>0.30199999999999999</v>
      </c>
      <c r="AN16" s="50">
        <f t="shared" si="21"/>
        <v>163.30000000000001</v>
      </c>
      <c r="AO16" s="242"/>
      <c r="AP16" s="50">
        <f t="shared" si="23"/>
        <v>39.299999999999997</v>
      </c>
      <c r="AQ16" s="50">
        <f t="shared" si="16"/>
        <v>202.6</v>
      </c>
      <c r="AS16" s="99">
        <f t="shared" si="17"/>
        <v>16.593</v>
      </c>
    </row>
    <row r="17" spans="1:45" x14ac:dyDescent="0.2">
      <c r="A17" s="284">
        <v>9</v>
      </c>
      <c r="B17" s="236" t="s">
        <v>29</v>
      </c>
      <c r="C17" s="127">
        <v>1</v>
      </c>
      <c r="D17" s="237">
        <v>8.4730000000000008</v>
      </c>
      <c r="E17" s="111">
        <f t="shared" si="0"/>
        <v>8.4700000000000006</v>
      </c>
      <c r="F17" s="95">
        <f t="shared" si="1"/>
        <v>101.6</v>
      </c>
      <c r="G17" s="95"/>
      <c r="H17" s="95">
        <f>5369.5/1000</f>
        <v>5.4</v>
      </c>
      <c r="I17" s="95"/>
      <c r="J17" s="95">
        <f>D17*0.1*3</f>
        <v>2.5</v>
      </c>
      <c r="K17" s="95">
        <f>D17*0.25*12</f>
        <v>25.4</v>
      </c>
      <c r="L17" s="95">
        <f t="shared" si="18"/>
        <v>15.7</v>
      </c>
      <c r="M17" s="95">
        <f t="shared" si="2"/>
        <v>150.6</v>
      </c>
      <c r="N17" s="111">
        <v>0.41</v>
      </c>
      <c r="O17" s="95">
        <f t="shared" si="3"/>
        <v>61.7</v>
      </c>
      <c r="P17" s="95">
        <f t="shared" si="4"/>
        <v>212.3</v>
      </c>
      <c r="Q17" s="95">
        <f t="shared" si="5"/>
        <v>169.8</v>
      </c>
      <c r="R17" s="95">
        <f t="shared" si="6"/>
        <v>169.8</v>
      </c>
      <c r="S17" s="95">
        <f t="shared" si="7"/>
        <v>17.7</v>
      </c>
      <c r="T17" s="95">
        <f t="shared" si="8"/>
        <v>569.6</v>
      </c>
      <c r="U17" s="2916"/>
      <c r="V17" s="95">
        <f t="shared" si="20"/>
        <v>569.6</v>
      </c>
      <c r="W17" s="95">
        <f t="shared" si="22"/>
        <v>172</v>
      </c>
      <c r="X17" s="284">
        <v>1</v>
      </c>
      <c r="Y17" s="112">
        <v>30</v>
      </c>
      <c r="Z17" s="113">
        <f t="shared" si="9"/>
        <v>30</v>
      </c>
      <c r="AA17" s="127"/>
      <c r="AB17" s="112">
        <v>15</v>
      </c>
      <c r="AC17" s="113">
        <f t="shared" si="10"/>
        <v>0</v>
      </c>
      <c r="AD17" s="127"/>
      <c r="AE17" s="112">
        <v>30</v>
      </c>
      <c r="AF17" s="113">
        <f t="shared" si="11"/>
        <v>0</v>
      </c>
      <c r="AG17" s="113">
        <f t="shared" si="12"/>
        <v>9</v>
      </c>
      <c r="AH17" s="113">
        <f t="shared" si="13"/>
        <v>39</v>
      </c>
      <c r="AI17" s="114">
        <f t="shared" si="14"/>
        <v>47466.7</v>
      </c>
      <c r="AK17" s="114">
        <f t="shared" si="15"/>
        <v>569.6</v>
      </c>
      <c r="AL17" s="114">
        <f t="shared" si="19"/>
        <v>221.1</v>
      </c>
      <c r="AM17" s="115">
        <v>0.30199999999999999</v>
      </c>
      <c r="AN17" s="50">
        <f t="shared" si="21"/>
        <v>125.3</v>
      </c>
      <c r="AO17" s="242"/>
      <c r="AP17" s="50">
        <f t="shared" si="23"/>
        <v>30.2</v>
      </c>
      <c r="AQ17" s="50">
        <f t="shared" si="16"/>
        <v>155.5</v>
      </c>
      <c r="AS17" s="99">
        <f t="shared" si="17"/>
        <v>12.7095</v>
      </c>
    </row>
    <row r="18" spans="1:45" ht="25.5" x14ac:dyDescent="0.2">
      <c r="A18" s="284">
        <v>10</v>
      </c>
      <c r="B18" s="236" t="s">
        <v>148</v>
      </c>
      <c r="C18" s="127">
        <v>1</v>
      </c>
      <c r="D18" s="237">
        <v>8.4730000000000008</v>
      </c>
      <c r="E18" s="111">
        <f t="shared" si="0"/>
        <v>8.4700000000000006</v>
      </c>
      <c r="F18" s="95">
        <f t="shared" si="1"/>
        <v>101.6</v>
      </c>
      <c r="G18" s="95"/>
      <c r="H18" s="95"/>
      <c r="I18" s="95"/>
      <c r="J18" s="95"/>
      <c r="K18" s="95">
        <f>F18*0.25+D18*0.05*11</f>
        <v>30.1</v>
      </c>
      <c r="L18" s="95">
        <f t="shared" si="18"/>
        <v>15.7</v>
      </c>
      <c r="M18" s="95">
        <f t="shared" si="2"/>
        <v>147.4</v>
      </c>
      <c r="N18" s="111">
        <v>0.41</v>
      </c>
      <c r="O18" s="95">
        <f t="shared" si="3"/>
        <v>60.4</v>
      </c>
      <c r="P18" s="95">
        <f t="shared" si="4"/>
        <v>207.8</v>
      </c>
      <c r="Q18" s="95">
        <f t="shared" si="5"/>
        <v>166.2</v>
      </c>
      <c r="R18" s="95">
        <f t="shared" si="6"/>
        <v>166.2</v>
      </c>
      <c r="S18" s="95">
        <f t="shared" si="7"/>
        <v>17.3</v>
      </c>
      <c r="T18" s="95">
        <f t="shared" si="8"/>
        <v>557.5</v>
      </c>
      <c r="U18" s="2916"/>
      <c r="V18" s="95">
        <f t="shared" si="20"/>
        <v>557.5</v>
      </c>
      <c r="W18" s="95">
        <f t="shared" si="22"/>
        <v>168.4</v>
      </c>
      <c r="X18" s="284">
        <v>1</v>
      </c>
      <c r="Y18" s="112">
        <v>30</v>
      </c>
      <c r="Z18" s="113">
        <f t="shared" si="9"/>
        <v>30</v>
      </c>
      <c r="AA18" s="127"/>
      <c r="AB18" s="112">
        <v>15</v>
      </c>
      <c r="AC18" s="113">
        <f t="shared" si="10"/>
        <v>0</v>
      </c>
      <c r="AD18" s="127"/>
      <c r="AE18" s="112">
        <v>30</v>
      </c>
      <c r="AF18" s="113">
        <f t="shared" si="11"/>
        <v>0</v>
      </c>
      <c r="AG18" s="113">
        <f t="shared" si="12"/>
        <v>9</v>
      </c>
      <c r="AH18" s="113">
        <f t="shared" si="13"/>
        <v>39</v>
      </c>
      <c r="AI18" s="114"/>
      <c r="AK18" s="114">
        <f t="shared" si="15"/>
        <v>557.5</v>
      </c>
      <c r="AL18" s="114"/>
      <c r="AM18" s="115"/>
      <c r="AN18" s="50">
        <f t="shared" si="21"/>
        <v>122.7</v>
      </c>
      <c r="AO18" s="242"/>
      <c r="AP18" s="50">
        <f t="shared" si="23"/>
        <v>29.5</v>
      </c>
      <c r="AQ18" s="50">
        <f t="shared" si="16"/>
        <v>152.19999999999999</v>
      </c>
    </row>
    <row r="19" spans="1:45" ht="25.5" x14ac:dyDescent="0.2">
      <c r="A19" s="284">
        <v>11</v>
      </c>
      <c r="B19" s="236" t="s">
        <v>130</v>
      </c>
      <c r="C19" s="127">
        <v>1</v>
      </c>
      <c r="D19" s="237">
        <v>8.4730000000000008</v>
      </c>
      <c r="E19" s="111">
        <f t="shared" si="0"/>
        <v>8.4700000000000006</v>
      </c>
      <c r="F19" s="95">
        <f t="shared" si="1"/>
        <v>101.6</v>
      </c>
      <c r="G19" s="95"/>
      <c r="H19" s="95"/>
      <c r="I19" s="95"/>
      <c r="J19" s="95"/>
      <c r="K19" s="95"/>
      <c r="L19" s="95">
        <f t="shared" si="18"/>
        <v>15.7</v>
      </c>
      <c r="M19" s="95">
        <f t="shared" si="2"/>
        <v>117.3</v>
      </c>
      <c r="N19" s="111">
        <v>0.47</v>
      </c>
      <c r="O19" s="95">
        <f t="shared" si="3"/>
        <v>55.1</v>
      </c>
      <c r="P19" s="95">
        <f t="shared" si="4"/>
        <v>172.4</v>
      </c>
      <c r="Q19" s="95">
        <f t="shared" si="5"/>
        <v>137.9</v>
      </c>
      <c r="R19" s="95">
        <f t="shared" si="6"/>
        <v>137.9</v>
      </c>
      <c r="S19" s="95">
        <f t="shared" si="7"/>
        <v>14.3</v>
      </c>
      <c r="T19" s="95">
        <f t="shared" si="8"/>
        <v>462.5</v>
      </c>
      <c r="U19" s="2916"/>
      <c r="V19" s="95">
        <f t="shared" si="20"/>
        <v>462.5</v>
      </c>
      <c r="W19" s="95">
        <f t="shared" si="22"/>
        <v>139.69999999999999</v>
      </c>
      <c r="X19" s="284"/>
      <c r="Y19" s="112">
        <v>30</v>
      </c>
      <c r="Z19" s="113">
        <f t="shared" si="9"/>
        <v>0</v>
      </c>
      <c r="AA19" s="127"/>
      <c r="AB19" s="112">
        <v>15</v>
      </c>
      <c r="AC19" s="113">
        <f t="shared" si="10"/>
        <v>0</v>
      </c>
      <c r="AD19" s="127"/>
      <c r="AE19" s="112">
        <v>30</v>
      </c>
      <c r="AF19" s="113">
        <f t="shared" si="11"/>
        <v>0</v>
      </c>
      <c r="AG19" s="113">
        <f t="shared" si="12"/>
        <v>0</v>
      </c>
      <c r="AH19" s="113">
        <f t="shared" si="13"/>
        <v>0</v>
      </c>
      <c r="AI19" s="114"/>
      <c r="AK19" s="114">
        <f t="shared" si="15"/>
        <v>462.5</v>
      </c>
      <c r="AL19" s="114"/>
      <c r="AM19" s="115"/>
      <c r="AN19" s="50">
        <f t="shared" si="21"/>
        <v>101.8</v>
      </c>
      <c r="AO19" s="242"/>
      <c r="AP19" s="50">
        <f t="shared" si="23"/>
        <v>24.5</v>
      </c>
      <c r="AQ19" s="50">
        <f t="shared" si="16"/>
        <v>126.3</v>
      </c>
    </row>
    <row r="20" spans="1:45" ht="25.5" x14ac:dyDescent="0.2">
      <c r="A20" s="284">
        <v>12</v>
      </c>
      <c r="B20" s="236" t="s">
        <v>149</v>
      </c>
      <c r="C20" s="127">
        <v>1</v>
      </c>
      <c r="D20" s="237">
        <v>11.061999999999999</v>
      </c>
      <c r="E20" s="111">
        <f t="shared" si="0"/>
        <v>11.06</v>
      </c>
      <c r="F20" s="95">
        <f t="shared" si="1"/>
        <v>132.69999999999999</v>
      </c>
      <c r="G20" s="95"/>
      <c r="H20" s="95"/>
      <c r="I20" s="95"/>
      <c r="J20" s="95"/>
      <c r="K20" s="95"/>
      <c r="L20" s="95">
        <f t="shared" si="18"/>
        <v>20.5</v>
      </c>
      <c r="M20" s="95">
        <f t="shared" si="2"/>
        <v>153.19999999999999</v>
      </c>
      <c r="N20" s="111">
        <v>0.43</v>
      </c>
      <c r="O20" s="95">
        <f t="shared" si="3"/>
        <v>65.900000000000006</v>
      </c>
      <c r="P20" s="95">
        <f t="shared" si="4"/>
        <v>219.1</v>
      </c>
      <c r="Q20" s="95">
        <f t="shared" si="5"/>
        <v>175.3</v>
      </c>
      <c r="R20" s="95">
        <f t="shared" si="6"/>
        <v>175.3</v>
      </c>
      <c r="S20" s="95">
        <f t="shared" si="7"/>
        <v>18.2</v>
      </c>
      <c r="T20" s="95">
        <f t="shared" si="8"/>
        <v>587.9</v>
      </c>
      <c r="U20" s="2916"/>
      <c r="V20" s="95">
        <f t="shared" si="20"/>
        <v>587.9</v>
      </c>
      <c r="W20" s="95">
        <f t="shared" si="22"/>
        <v>177.5</v>
      </c>
      <c r="X20" s="284"/>
      <c r="Y20" s="112">
        <v>30</v>
      </c>
      <c r="Z20" s="113">
        <f t="shared" si="9"/>
        <v>0</v>
      </c>
      <c r="AA20" s="127"/>
      <c r="AB20" s="112">
        <v>15</v>
      </c>
      <c r="AC20" s="113">
        <f t="shared" si="10"/>
        <v>0</v>
      </c>
      <c r="AD20" s="127"/>
      <c r="AE20" s="112">
        <v>30</v>
      </c>
      <c r="AF20" s="113">
        <f t="shared" si="11"/>
        <v>0</v>
      </c>
      <c r="AG20" s="113">
        <f t="shared" si="12"/>
        <v>0</v>
      </c>
      <c r="AH20" s="113">
        <f t="shared" si="13"/>
        <v>0</v>
      </c>
      <c r="AI20" s="114"/>
      <c r="AK20" s="114">
        <f t="shared" si="15"/>
        <v>587.9</v>
      </c>
      <c r="AL20" s="114"/>
      <c r="AM20" s="115"/>
      <c r="AN20" s="50">
        <f t="shared" si="21"/>
        <v>129.30000000000001</v>
      </c>
      <c r="AO20" s="242"/>
      <c r="AP20" s="50">
        <f t="shared" si="23"/>
        <v>31.2</v>
      </c>
      <c r="AQ20" s="50">
        <f t="shared" si="16"/>
        <v>160.5</v>
      </c>
    </row>
    <row r="21" spans="1:45" x14ac:dyDescent="0.2">
      <c r="A21" s="284">
        <v>13</v>
      </c>
      <c r="B21" s="243" t="s">
        <v>42</v>
      </c>
      <c r="C21" s="127">
        <v>1</v>
      </c>
      <c r="D21" s="237">
        <v>11.061999999999999</v>
      </c>
      <c r="E21" s="111">
        <f t="shared" si="0"/>
        <v>11.06</v>
      </c>
      <c r="F21" s="95">
        <f t="shared" si="1"/>
        <v>132.69999999999999</v>
      </c>
      <c r="G21" s="95"/>
      <c r="H21" s="95">
        <f>7789.1/1000</f>
        <v>7.8</v>
      </c>
      <c r="I21" s="95"/>
      <c r="J21" s="95"/>
      <c r="K21" s="95">
        <f>F21*0.3+D21*0.05*2</f>
        <v>40.9</v>
      </c>
      <c r="L21" s="95">
        <f t="shared" si="18"/>
        <v>20.5</v>
      </c>
      <c r="M21" s="95">
        <f t="shared" si="2"/>
        <v>201.9</v>
      </c>
      <c r="N21" s="111">
        <v>0.43</v>
      </c>
      <c r="O21" s="95">
        <f t="shared" si="3"/>
        <v>86.8</v>
      </c>
      <c r="P21" s="95">
        <f t="shared" si="4"/>
        <v>288.7</v>
      </c>
      <c r="Q21" s="95">
        <f t="shared" si="5"/>
        <v>231</v>
      </c>
      <c r="R21" s="95">
        <f t="shared" si="6"/>
        <v>231</v>
      </c>
      <c r="S21" s="95">
        <f t="shared" si="7"/>
        <v>24</v>
      </c>
      <c r="T21" s="95">
        <f t="shared" si="8"/>
        <v>774.7</v>
      </c>
      <c r="U21" s="2916"/>
      <c r="V21" s="95">
        <f t="shared" si="20"/>
        <v>774.7</v>
      </c>
      <c r="W21" s="95">
        <f t="shared" si="22"/>
        <v>234</v>
      </c>
      <c r="X21" s="284"/>
      <c r="Y21" s="112">
        <v>30</v>
      </c>
      <c r="Z21" s="113">
        <f t="shared" si="9"/>
        <v>0</v>
      </c>
      <c r="AA21" s="127"/>
      <c r="AB21" s="112">
        <v>15</v>
      </c>
      <c r="AC21" s="113">
        <f t="shared" si="10"/>
        <v>0</v>
      </c>
      <c r="AD21" s="127"/>
      <c r="AE21" s="112">
        <v>30</v>
      </c>
      <c r="AF21" s="113">
        <f t="shared" si="11"/>
        <v>0</v>
      </c>
      <c r="AG21" s="113">
        <f t="shared" si="12"/>
        <v>0</v>
      </c>
      <c r="AH21" s="113">
        <f t="shared" si="13"/>
        <v>0</v>
      </c>
      <c r="AI21" s="114">
        <f>V21/12/C21*1000</f>
        <v>64558.3</v>
      </c>
      <c r="AK21" s="114">
        <f t="shared" si="15"/>
        <v>774.7</v>
      </c>
      <c r="AL21" s="114">
        <f t="shared" si="19"/>
        <v>258.5</v>
      </c>
      <c r="AM21" s="115">
        <v>0.30199999999999999</v>
      </c>
      <c r="AN21" s="50">
        <f t="shared" si="21"/>
        <v>170.4</v>
      </c>
      <c r="AO21" s="244"/>
      <c r="AP21" s="50">
        <f t="shared" si="23"/>
        <v>41.1</v>
      </c>
      <c r="AQ21" s="50">
        <f t="shared" si="16"/>
        <v>211.5</v>
      </c>
      <c r="AS21" s="99">
        <f>D21*1.5</f>
        <v>16.593</v>
      </c>
    </row>
    <row r="22" spans="1:45" x14ac:dyDescent="0.2">
      <c r="A22" s="284">
        <v>14</v>
      </c>
      <c r="B22" s="236" t="s">
        <v>33</v>
      </c>
      <c r="C22" s="127">
        <v>1</v>
      </c>
      <c r="D22" s="237">
        <v>8.4730000000000008</v>
      </c>
      <c r="E22" s="111">
        <f t="shared" si="0"/>
        <v>8.4700000000000006</v>
      </c>
      <c r="F22" s="95">
        <f t="shared" si="1"/>
        <v>101.6</v>
      </c>
      <c r="G22" s="95">
        <f>18010.1/1000</f>
        <v>18</v>
      </c>
      <c r="H22" s="95">
        <f>4474.6/1000</f>
        <v>4.5</v>
      </c>
      <c r="I22" s="95"/>
      <c r="J22" s="95"/>
      <c r="K22" s="95">
        <f>F22*0.25</f>
        <v>25.4</v>
      </c>
      <c r="L22" s="95">
        <f t="shared" si="18"/>
        <v>15.7</v>
      </c>
      <c r="M22" s="95">
        <f t="shared" si="2"/>
        <v>165.2</v>
      </c>
      <c r="N22" s="111">
        <v>0.41</v>
      </c>
      <c r="O22" s="95">
        <f t="shared" si="3"/>
        <v>67.7</v>
      </c>
      <c r="P22" s="95">
        <f t="shared" si="4"/>
        <v>232.9</v>
      </c>
      <c r="Q22" s="95">
        <f t="shared" si="5"/>
        <v>186.3</v>
      </c>
      <c r="R22" s="95">
        <f t="shared" si="6"/>
        <v>186.3</v>
      </c>
      <c r="S22" s="95">
        <f t="shared" si="7"/>
        <v>19.399999999999999</v>
      </c>
      <c r="T22" s="95">
        <f t="shared" si="8"/>
        <v>624.9</v>
      </c>
      <c r="U22" s="2916"/>
      <c r="V22" s="95">
        <f t="shared" si="20"/>
        <v>624.9</v>
      </c>
      <c r="W22" s="95">
        <f t="shared" si="22"/>
        <v>188.7</v>
      </c>
      <c r="X22" s="238"/>
      <c r="Y22" s="240">
        <v>30</v>
      </c>
      <c r="Z22" s="241">
        <f t="shared" si="9"/>
        <v>0</v>
      </c>
      <c r="AA22" s="238"/>
      <c r="AB22" s="240">
        <v>15</v>
      </c>
      <c r="AC22" s="241">
        <f t="shared" si="10"/>
        <v>0</v>
      </c>
      <c r="AD22" s="238"/>
      <c r="AE22" s="240">
        <v>30</v>
      </c>
      <c r="AF22" s="241">
        <f t="shared" si="11"/>
        <v>0</v>
      </c>
      <c r="AG22" s="241">
        <f t="shared" si="12"/>
        <v>0</v>
      </c>
      <c r="AH22" s="241">
        <f t="shared" si="13"/>
        <v>0</v>
      </c>
      <c r="AI22" s="114">
        <f>V22/12/C22*1000</f>
        <v>52075</v>
      </c>
      <c r="AK22" s="114">
        <f t="shared" si="15"/>
        <v>624.9</v>
      </c>
      <c r="AL22" s="114">
        <f t="shared" si="19"/>
        <v>231.2</v>
      </c>
      <c r="AM22" s="115">
        <v>0.30199999999999999</v>
      </c>
      <c r="AN22" s="50">
        <f t="shared" si="21"/>
        <v>137.5</v>
      </c>
      <c r="AO22" s="244"/>
      <c r="AP22" s="50">
        <f t="shared" si="23"/>
        <v>33.1</v>
      </c>
      <c r="AQ22" s="50">
        <f t="shared" si="16"/>
        <v>170.6</v>
      </c>
      <c r="AR22" s="245"/>
      <c r="AS22" s="99">
        <f>D22*1.5</f>
        <v>12.7095</v>
      </c>
    </row>
    <row r="23" spans="1:45" s="245" customFormat="1" x14ac:dyDescent="0.2">
      <c r="A23" s="284">
        <v>15</v>
      </c>
      <c r="B23" s="236" t="s">
        <v>58</v>
      </c>
      <c r="C23" s="246">
        <v>1</v>
      </c>
      <c r="D23" s="247">
        <v>11.061999999999999</v>
      </c>
      <c r="E23" s="111">
        <f t="shared" si="0"/>
        <v>11.06</v>
      </c>
      <c r="F23" s="95">
        <f t="shared" si="1"/>
        <v>132.69999999999999</v>
      </c>
      <c r="G23" s="248"/>
      <c r="H23" s="248"/>
      <c r="I23" s="248"/>
      <c r="J23" s="248"/>
      <c r="K23" s="248"/>
      <c r="L23" s="95">
        <f t="shared" si="18"/>
        <v>20.5</v>
      </c>
      <c r="M23" s="95">
        <f t="shared" si="2"/>
        <v>153.19999999999999</v>
      </c>
      <c r="N23" s="111">
        <v>0.43</v>
      </c>
      <c r="O23" s="95">
        <f t="shared" si="3"/>
        <v>65.900000000000006</v>
      </c>
      <c r="P23" s="95">
        <f t="shared" si="4"/>
        <v>219.1</v>
      </c>
      <c r="Q23" s="95">
        <f t="shared" si="5"/>
        <v>175.3</v>
      </c>
      <c r="R23" s="95">
        <f t="shared" si="6"/>
        <v>175.3</v>
      </c>
      <c r="S23" s="95">
        <f t="shared" si="7"/>
        <v>18.2</v>
      </c>
      <c r="T23" s="95">
        <f t="shared" si="8"/>
        <v>587.9</v>
      </c>
      <c r="U23" s="2916"/>
      <c r="V23" s="95">
        <f t="shared" si="20"/>
        <v>587.9</v>
      </c>
      <c r="W23" s="95">
        <f t="shared" si="22"/>
        <v>177.5</v>
      </c>
      <c r="X23" s="246"/>
      <c r="Y23" s="240">
        <v>30</v>
      </c>
      <c r="Z23" s="241">
        <f t="shared" si="9"/>
        <v>0</v>
      </c>
      <c r="AA23" s="246"/>
      <c r="AB23" s="240">
        <v>15</v>
      </c>
      <c r="AC23" s="241">
        <f t="shared" si="10"/>
        <v>0</v>
      </c>
      <c r="AD23" s="246"/>
      <c r="AE23" s="240">
        <v>30</v>
      </c>
      <c r="AF23" s="241">
        <f t="shared" si="11"/>
        <v>0</v>
      </c>
      <c r="AG23" s="241">
        <f t="shared" si="12"/>
        <v>0</v>
      </c>
      <c r="AH23" s="241">
        <f t="shared" si="13"/>
        <v>0</v>
      </c>
      <c r="AI23" s="114"/>
      <c r="AK23" s="114">
        <f t="shared" si="15"/>
        <v>587.9</v>
      </c>
      <c r="AL23" s="114"/>
      <c r="AM23" s="115"/>
      <c r="AN23" s="50">
        <f t="shared" si="21"/>
        <v>129.30000000000001</v>
      </c>
      <c r="AO23" s="211"/>
      <c r="AP23" s="50">
        <f t="shared" si="23"/>
        <v>31.2</v>
      </c>
      <c r="AQ23" s="50">
        <f t="shared" si="16"/>
        <v>160.5</v>
      </c>
      <c r="AR23" s="99"/>
      <c r="AS23" s="99"/>
    </row>
    <row r="24" spans="1:45" s="252" customFormat="1" ht="25.5" x14ac:dyDescent="0.2">
      <c r="A24" s="284">
        <v>16</v>
      </c>
      <c r="B24" s="236" t="s">
        <v>102</v>
      </c>
      <c r="C24" s="238">
        <v>1</v>
      </c>
      <c r="D24" s="237">
        <v>4.3769999999999998</v>
      </c>
      <c r="E24" s="249">
        <f t="shared" si="0"/>
        <v>4.38</v>
      </c>
      <c r="F24" s="170">
        <f t="shared" si="1"/>
        <v>52.6</v>
      </c>
      <c r="G24" s="248"/>
      <c r="H24" s="248"/>
      <c r="I24" s="248"/>
      <c r="J24" s="248"/>
      <c r="K24" s="248"/>
      <c r="L24" s="95">
        <v>35.200000000000003</v>
      </c>
      <c r="M24" s="248">
        <f t="shared" si="2"/>
        <v>87.8</v>
      </c>
      <c r="N24" s="111">
        <v>0.49</v>
      </c>
      <c r="O24" s="248">
        <f t="shared" si="3"/>
        <v>43</v>
      </c>
      <c r="P24" s="248">
        <f t="shared" si="4"/>
        <v>130.80000000000001</v>
      </c>
      <c r="Q24" s="248">
        <f t="shared" si="5"/>
        <v>104.6</v>
      </c>
      <c r="R24" s="95">
        <f t="shared" si="6"/>
        <v>104.6</v>
      </c>
      <c r="S24" s="248">
        <f t="shared" si="7"/>
        <v>10.9</v>
      </c>
      <c r="T24" s="248">
        <f t="shared" si="8"/>
        <v>350.9</v>
      </c>
      <c r="U24" s="2917"/>
      <c r="V24" s="250">
        <f>T24*$U$9-0.3</f>
        <v>350.6</v>
      </c>
      <c r="W24" s="95">
        <f t="shared" si="22"/>
        <v>105.9</v>
      </c>
      <c r="X24" s="251">
        <v>1</v>
      </c>
      <c r="Y24" s="112">
        <v>30</v>
      </c>
      <c r="Z24" s="113">
        <f t="shared" si="9"/>
        <v>30</v>
      </c>
      <c r="AA24" s="251"/>
      <c r="AB24" s="112">
        <v>15</v>
      </c>
      <c r="AC24" s="113">
        <f t="shared" si="10"/>
        <v>0</v>
      </c>
      <c r="AD24" s="251"/>
      <c r="AE24" s="112">
        <v>30</v>
      </c>
      <c r="AF24" s="113">
        <f t="shared" si="11"/>
        <v>0</v>
      </c>
      <c r="AG24" s="113">
        <f t="shared" si="12"/>
        <v>9</v>
      </c>
      <c r="AH24" s="113">
        <f t="shared" si="13"/>
        <v>39</v>
      </c>
      <c r="AI24" s="114">
        <f>V24/12/C24*1000</f>
        <v>29216.7</v>
      </c>
      <c r="AK24" s="114">
        <f t="shared" si="15"/>
        <v>350.6</v>
      </c>
      <c r="AL24" s="114">
        <f t="shared" si="19"/>
        <v>181.3</v>
      </c>
      <c r="AM24" s="115">
        <v>0.30199999999999999</v>
      </c>
      <c r="AN24" s="50">
        <f t="shared" si="21"/>
        <v>77.099999999999994</v>
      </c>
      <c r="AO24" s="211"/>
      <c r="AP24" s="50">
        <f t="shared" si="23"/>
        <v>18.600000000000001</v>
      </c>
      <c r="AQ24" s="50">
        <f t="shared" si="16"/>
        <v>95.7</v>
      </c>
      <c r="AR24" s="99"/>
      <c r="AS24" s="99">
        <f>D24*1.5</f>
        <v>6.5655000000000001</v>
      </c>
    </row>
    <row r="25" spans="1:45" s="98" customFormat="1" ht="20.25" customHeight="1" x14ac:dyDescent="0.2">
      <c r="A25" s="2918" t="s">
        <v>8</v>
      </c>
      <c r="B25" s="2918"/>
      <c r="C25" s="253">
        <f t="shared" ref="C25:M25" si="24">SUM(C9:C24)</f>
        <v>19</v>
      </c>
      <c r="D25" s="254">
        <f t="shared" si="24"/>
        <v>171.5</v>
      </c>
      <c r="E25" s="254">
        <f t="shared" si="24"/>
        <v>204.7</v>
      </c>
      <c r="F25" s="254">
        <f t="shared" si="24"/>
        <v>2455.8000000000002</v>
      </c>
      <c r="G25" s="254">
        <f t="shared" si="24"/>
        <v>18</v>
      </c>
      <c r="H25" s="254">
        <f t="shared" si="24"/>
        <v>76.7</v>
      </c>
      <c r="I25" s="254">
        <f t="shared" si="24"/>
        <v>0</v>
      </c>
      <c r="J25" s="254">
        <f t="shared" si="24"/>
        <v>2.5</v>
      </c>
      <c r="K25" s="254">
        <f t="shared" si="24"/>
        <v>868.2</v>
      </c>
      <c r="L25" s="254">
        <f t="shared" si="24"/>
        <v>406.5</v>
      </c>
      <c r="M25" s="254">
        <f t="shared" si="24"/>
        <v>3827.7</v>
      </c>
      <c r="N25" s="254"/>
      <c r="O25" s="254">
        <f t="shared" ref="O25:AH25" si="25">SUM(O9:O24)</f>
        <v>1659.4</v>
      </c>
      <c r="P25" s="254">
        <f t="shared" si="25"/>
        <v>5487.1</v>
      </c>
      <c r="Q25" s="254">
        <f t="shared" si="25"/>
        <v>4389.7</v>
      </c>
      <c r="R25" s="254">
        <f t="shared" si="25"/>
        <v>4389.7</v>
      </c>
      <c r="S25" s="254">
        <f t="shared" si="25"/>
        <v>456.3</v>
      </c>
      <c r="T25" s="254">
        <f t="shared" si="25"/>
        <v>14722.8</v>
      </c>
      <c r="U25" s="254">
        <f t="shared" si="25"/>
        <v>1</v>
      </c>
      <c r="V25" s="254">
        <f t="shared" si="25"/>
        <v>14722.5</v>
      </c>
      <c r="W25" s="254">
        <f t="shared" si="25"/>
        <v>4305.6000000000004</v>
      </c>
      <c r="X25" s="254">
        <f t="shared" si="25"/>
        <v>7</v>
      </c>
      <c r="Y25" s="254">
        <f t="shared" si="25"/>
        <v>480</v>
      </c>
      <c r="Z25" s="254">
        <f t="shared" si="25"/>
        <v>210</v>
      </c>
      <c r="AA25" s="254">
        <f t="shared" si="25"/>
        <v>1</v>
      </c>
      <c r="AB25" s="254">
        <f t="shared" si="25"/>
        <v>240</v>
      </c>
      <c r="AC25" s="254">
        <f t="shared" si="25"/>
        <v>15</v>
      </c>
      <c r="AD25" s="254">
        <f t="shared" si="25"/>
        <v>2</v>
      </c>
      <c r="AE25" s="254">
        <f t="shared" si="25"/>
        <v>480</v>
      </c>
      <c r="AF25" s="254">
        <f t="shared" si="25"/>
        <v>60</v>
      </c>
      <c r="AG25" s="254">
        <f t="shared" si="25"/>
        <v>85.5</v>
      </c>
      <c r="AH25" s="254">
        <f t="shared" si="25"/>
        <v>370.5</v>
      </c>
      <c r="AI25" s="114"/>
      <c r="AN25" s="211"/>
      <c r="AO25" s="211"/>
      <c r="AP25" s="211"/>
      <c r="AQ25" s="211"/>
      <c r="AR25" s="99"/>
      <c r="AS25" s="99"/>
    </row>
    <row r="26" spans="1:45" x14ac:dyDescent="0.2">
      <c r="G26" s="131"/>
      <c r="H26" s="131"/>
      <c r="I26" s="131"/>
      <c r="J26" s="131"/>
      <c r="K26" s="131"/>
      <c r="L26" s="131"/>
      <c r="M26" s="131"/>
      <c r="N26" s="131"/>
      <c r="O26" s="131"/>
      <c r="P26" s="131"/>
      <c r="Q26" s="131"/>
      <c r="R26" s="131"/>
      <c r="S26" s="131"/>
      <c r="T26" s="131"/>
      <c r="V26" s="114"/>
      <c r="W26" s="66"/>
      <c r="X26" s="131"/>
      <c r="AA26" s="131"/>
      <c r="AD26" s="131"/>
      <c r="AG26" s="131"/>
      <c r="AH26" s="131"/>
      <c r="AO26" s="50"/>
      <c r="AP26" s="50"/>
      <c r="AQ26" s="50"/>
    </row>
    <row r="27" spans="1:45" x14ac:dyDescent="0.2">
      <c r="B27" s="255"/>
      <c r="C27" s="256"/>
      <c r="D27" s="256"/>
      <c r="E27" s="257"/>
      <c r="F27" s="257"/>
      <c r="G27" s="257"/>
      <c r="H27" s="257"/>
      <c r="I27" s="133"/>
      <c r="J27" s="131"/>
      <c r="K27" s="131"/>
      <c r="L27" s="131"/>
      <c r="M27" s="131"/>
      <c r="N27" s="131"/>
      <c r="O27" s="131"/>
      <c r="P27" s="131"/>
      <c r="Q27" s="131"/>
      <c r="R27" s="131"/>
      <c r="S27" s="131"/>
      <c r="T27" s="131"/>
      <c r="V27" s="114"/>
      <c r="W27" s="114"/>
      <c r="X27" s="131"/>
      <c r="AA27" s="131"/>
      <c r="AD27" s="131"/>
      <c r="AE27" s="131"/>
    </row>
    <row r="28" spans="1:45" s="75" customFormat="1" x14ac:dyDescent="0.2">
      <c r="A28" s="70"/>
      <c r="B28" s="70"/>
      <c r="C28" s="71"/>
      <c r="D28" s="72"/>
      <c r="E28" s="72"/>
      <c r="F28" s="72"/>
      <c r="G28" s="72"/>
      <c r="H28" s="73"/>
      <c r="I28" s="73"/>
      <c r="J28" s="27"/>
      <c r="K28" s="27"/>
      <c r="L28" s="27"/>
      <c r="M28" s="27"/>
      <c r="N28" s="74"/>
      <c r="O28" s="27"/>
      <c r="P28" s="27"/>
      <c r="Q28" s="27"/>
      <c r="R28" s="27"/>
      <c r="S28" s="27"/>
      <c r="T28" s="27"/>
      <c r="U28" s="27"/>
      <c r="V28" s="27"/>
      <c r="W28" s="27"/>
      <c r="X28" s="27"/>
      <c r="Y28" s="27"/>
      <c r="Z28" s="27"/>
      <c r="AA28" s="27"/>
      <c r="AB28" s="27"/>
      <c r="AC28" s="27"/>
      <c r="AD28" s="27"/>
      <c r="AE28" s="27"/>
      <c r="AF28" s="27"/>
      <c r="AG28" s="27"/>
      <c r="AH28" s="27"/>
      <c r="AI28" s="27"/>
      <c r="AJ28" s="76"/>
      <c r="AN28" s="76"/>
      <c r="AO28" s="76"/>
      <c r="AP28" s="76"/>
      <c r="AQ28" s="76"/>
      <c r="AR28" s="76"/>
    </row>
    <row r="29" spans="1:45" s="75" customFormat="1" ht="59.25" customHeight="1" x14ac:dyDescent="0.2">
      <c r="A29" s="70"/>
      <c r="B29" s="70"/>
      <c r="C29" s="71"/>
      <c r="D29" s="77"/>
      <c r="E29" s="77"/>
      <c r="F29" s="27"/>
      <c r="G29" s="2244" t="s">
        <v>140</v>
      </c>
      <c r="H29" s="2244"/>
      <c r="I29" s="2244" t="s">
        <v>145</v>
      </c>
      <c r="J29" s="2244"/>
      <c r="K29" s="2244" t="s">
        <v>128</v>
      </c>
      <c r="L29" s="2244"/>
      <c r="Q29" s="27"/>
      <c r="R29" s="27"/>
      <c r="S29" s="27"/>
      <c r="T29" s="27"/>
      <c r="U29" s="27"/>
      <c r="V29" s="27"/>
      <c r="W29" s="27"/>
      <c r="X29" s="27"/>
      <c r="Y29" s="27"/>
      <c r="Z29" s="27"/>
      <c r="AA29" s="27"/>
      <c r="AB29" s="27"/>
      <c r="AC29" s="27"/>
      <c r="AD29" s="27"/>
      <c r="AE29" s="27"/>
      <c r="AF29" s="27"/>
      <c r="AG29" s="27"/>
      <c r="AH29" s="27"/>
      <c r="AI29" s="27"/>
      <c r="AJ29" s="76"/>
      <c r="AN29" s="76"/>
      <c r="AO29" s="76"/>
      <c r="AP29" s="76"/>
      <c r="AQ29" s="76"/>
      <c r="AR29" s="76"/>
    </row>
    <row r="30" spans="1:45" s="75" customFormat="1" x14ac:dyDescent="0.2">
      <c r="A30" s="70"/>
      <c r="B30" s="70"/>
      <c r="C30" s="71"/>
      <c r="D30" s="77"/>
      <c r="E30" s="77"/>
      <c r="F30" s="27"/>
      <c r="G30" s="279">
        <v>991</v>
      </c>
      <c r="H30" s="279">
        <v>992</v>
      </c>
      <c r="I30" s="279">
        <v>991</v>
      </c>
      <c r="J30" s="279">
        <v>992</v>
      </c>
      <c r="K30" s="279">
        <v>991</v>
      </c>
      <c r="L30" s="279">
        <v>992</v>
      </c>
      <c r="Q30" s="27"/>
      <c r="R30" s="27"/>
      <c r="S30" s="27"/>
      <c r="T30" s="27"/>
      <c r="U30" s="27"/>
      <c r="V30" s="27"/>
      <c r="W30" s="27"/>
      <c r="X30" s="27"/>
      <c r="Y30" s="27"/>
      <c r="Z30" s="27"/>
      <c r="AA30" s="27"/>
      <c r="AB30" s="27"/>
      <c r="AC30" s="27"/>
      <c r="AD30" s="27"/>
      <c r="AE30" s="27"/>
      <c r="AF30" s="27"/>
      <c r="AG30" s="27"/>
      <c r="AH30" s="27"/>
      <c r="AI30" s="27"/>
      <c r="AJ30" s="76"/>
      <c r="AN30" s="76"/>
      <c r="AO30" s="76"/>
      <c r="AP30" s="76"/>
      <c r="AQ30" s="76"/>
      <c r="AR30" s="76"/>
    </row>
    <row r="31" spans="1:45" s="75" customFormat="1" x14ac:dyDescent="0.2">
      <c r="A31" s="70"/>
      <c r="B31" s="70"/>
      <c r="C31" s="71"/>
      <c r="D31" s="77"/>
      <c r="E31" s="77"/>
      <c r="F31" s="27"/>
      <c r="G31" s="29">
        <v>14722.5</v>
      </c>
      <c r="H31" s="29">
        <v>4245.1000000000004</v>
      </c>
      <c r="I31" s="29">
        <f>V25</f>
        <v>14722.5</v>
      </c>
      <c r="J31" s="29">
        <f>W25</f>
        <v>4305.6000000000004</v>
      </c>
      <c r="K31" s="29">
        <f>G31-I31</f>
        <v>0</v>
      </c>
      <c r="L31" s="29">
        <f>H31-J31</f>
        <v>-60.5</v>
      </c>
      <c r="Q31" s="27"/>
      <c r="R31" s="27"/>
      <c r="S31" s="27"/>
      <c r="T31" s="27"/>
      <c r="U31" s="27"/>
      <c r="V31" s="27"/>
      <c r="W31" s="27"/>
      <c r="X31" s="27"/>
      <c r="Y31" s="27"/>
      <c r="Z31" s="27"/>
      <c r="AA31" s="27"/>
      <c r="AB31" s="27"/>
      <c r="AC31" s="27"/>
      <c r="AD31" s="27"/>
      <c r="AE31" s="27"/>
      <c r="AF31" s="27"/>
      <c r="AG31" s="27"/>
      <c r="AH31" s="27"/>
      <c r="AI31" s="27"/>
      <c r="AJ31" s="76"/>
      <c r="AN31" s="76"/>
      <c r="AO31" s="76"/>
      <c r="AP31" s="76"/>
      <c r="AQ31" s="76"/>
      <c r="AR31" s="76"/>
    </row>
    <row r="32" spans="1:45" s="75" customFormat="1" x14ac:dyDescent="0.2">
      <c r="A32" s="70"/>
      <c r="B32" s="70"/>
      <c r="C32" s="71"/>
      <c r="D32" s="77"/>
      <c r="E32" s="77"/>
      <c r="F32" s="27"/>
      <c r="G32" s="27"/>
      <c r="H32" s="80"/>
      <c r="I32" s="27"/>
      <c r="J32" s="80"/>
      <c r="K32" s="27"/>
      <c r="L32" s="27"/>
      <c r="M32" s="27"/>
      <c r="N32" s="74"/>
      <c r="O32" s="27"/>
      <c r="P32" s="27"/>
      <c r="Q32" s="27"/>
      <c r="R32" s="27"/>
      <c r="S32" s="27"/>
      <c r="T32" s="27"/>
      <c r="U32" s="27"/>
      <c r="V32" s="27"/>
      <c r="W32" s="27"/>
      <c r="X32" s="27"/>
      <c r="Y32" s="27"/>
      <c r="Z32" s="27"/>
      <c r="AA32" s="27"/>
      <c r="AB32" s="27"/>
      <c r="AC32" s="27"/>
      <c r="AD32" s="27"/>
      <c r="AE32" s="27"/>
      <c r="AF32" s="27"/>
      <c r="AG32" s="27"/>
      <c r="AH32" s="27"/>
      <c r="AI32" s="27"/>
      <c r="AJ32" s="76"/>
      <c r="AN32" s="76"/>
      <c r="AO32" s="76"/>
      <c r="AP32" s="76"/>
      <c r="AQ32" s="76"/>
      <c r="AR32" s="76"/>
    </row>
    <row r="33" spans="1:44" s="75" customFormat="1" x14ac:dyDescent="0.2">
      <c r="A33" s="70"/>
      <c r="B33" s="70"/>
      <c r="C33" s="71"/>
      <c r="D33" s="77"/>
      <c r="E33" s="77"/>
      <c r="F33" s="27"/>
      <c r="G33" s="27"/>
      <c r="H33" s="80"/>
      <c r="I33" s="27"/>
      <c r="J33" s="80"/>
      <c r="K33" s="27"/>
      <c r="L33" s="27"/>
      <c r="M33" s="27"/>
      <c r="N33" s="74"/>
      <c r="O33" s="27"/>
      <c r="P33" s="27"/>
      <c r="Q33" s="27"/>
      <c r="R33" s="27"/>
      <c r="S33" s="27"/>
      <c r="T33" s="27"/>
      <c r="U33" s="27"/>
      <c r="V33" s="27"/>
      <c r="W33" s="27"/>
      <c r="X33" s="27"/>
      <c r="Y33" s="27"/>
      <c r="Z33" s="27"/>
      <c r="AA33" s="27"/>
      <c r="AB33" s="27"/>
      <c r="AC33" s="27"/>
      <c r="AD33" s="27"/>
      <c r="AE33" s="27"/>
      <c r="AF33" s="27"/>
      <c r="AG33" s="27"/>
      <c r="AH33" s="27"/>
      <c r="AI33" s="27"/>
      <c r="AJ33" s="76"/>
      <c r="AN33" s="76"/>
      <c r="AO33" s="76"/>
      <c r="AP33" s="76"/>
      <c r="AQ33" s="76"/>
      <c r="AR33" s="76"/>
    </row>
    <row r="34" spans="1:44" s="75" customFormat="1" x14ac:dyDescent="0.2">
      <c r="A34" s="70"/>
      <c r="B34" s="70"/>
      <c r="C34" s="71"/>
      <c r="D34" s="77"/>
      <c r="E34" s="77"/>
      <c r="F34" s="27"/>
      <c r="G34" s="27"/>
      <c r="H34" s="80"/>
      <c r="I34" s="27"/>
      <c r="J34" s="80"/>
      <c r="K34" s="27"/>
      <c r="L34" s="27"/>
      <c r="M34" s="27"/>
      <c r="N34" s="74"/>
      <c r="O34" s="27"/>
      <c r="P34" s="27"/>
      <c r="Q34" s="27"/>
      <c r="R34" s="27"/>
      <c r="S34" s="27"/>
      <c r="T34" s="27"/>
      <c r="U34" s="27"/>
      <c r="V34" s="27"/>
      <c r="W34" s="27"/>
      <c r="X34" s="27"/>
      <c r="Y34" s="27"/>
      <c r="Z34" s="27"/>
      <c r="AA34" s="27"/>
      <c r="AB34" s="27"/>
      <c r="AC34" s="27"/>
      <c r="AD34" s="27"/>
      <c r="AE34" s="27"/>
      <c r="AF34" s="27"/>
      <c r="AG34" s="27"/>
      <c r="AH34" s="27"/>
      <c r="AI34" s="27"/>
      <c r="AJ34" s="76"/>
      <c r="AN34" s="76"/>
      <c r="AO34" s="76"/>
      <c r="AP34" s="76"/>
      <c r="AQ34" s="76"/>
      <c r="AR34" s="76"/>
    </row>
    <row r="35" spans="1:44" s="75" customFormat="1" x14ac:dyDescent="0.2">
      <c r="A35" s="70"/>
      <c r="B35" s="70"/>
      <c r="C35" s="71"/>
      <c r="D35" s="77"/>
      <c r="E35" s="77"/>
      <c r="F35" s="27"/>
      <c r="G35" s="27"/>
      <c r="H35" s="80"/>
      <c r="I35" s="27"/>
      <c r="J35" s="80"/>
      <c r="K35" s="27"/>
      <c r="L35" s="27"/>
      <c r="M35" s="27"/>
      <c r="N35" s="74"/>
      <c r="O35" s="27"/>
      <c r="P35" s="27"/>
      <c r="Q35" s="27"/>
      <c r="R35" s="27"/>
      <c r="S35" s="27"/>
      <c r="T35" s="27"/>
      <c r="U35" s="27"/>
      <c r="V35" s="27"/>
      <c r="W35" s="27"/>
      <c r="X35" s="27"/>
      <c r="Y35" s="27"/>
      <c r="Z35" s="27"/>
      <c r="AA35" s="27"/>
      <c r="AB35" s="27"/>
      <c r="AC35" s="27"/>
      <c r="AD35" s="27"/>
      <c r="AE35" s="27"/>
      <c r="AF35" s="27"/>
      <c r="AG35" s="27"/>
      <c r="AH35" s="27"/>
      <c r="AI35" s="27"/>
      <c r="AJ35" s="76"/>
      <c r="AN35" s="76"/>
      <c r="AO35" s="76"/>
      <c r="AP35" s="76"/>
      <c r="AQ35" s="76"/>
      <c r="AR35" s="76"/>
    </row>
    <row r="36" spans="1:44" s="282" customFormat="1" ht="20.25" x14ac:dyDescent="0.2">
      <c r="A36" s="81"/>
      <c r="B36" s="82" t="s">
        <v>138</v>
      </c>
      <c r="C36" s="83"/>
      <c r="D36" s="84"/>
      <c r="E36" s="84"/>
      <c r="F36" s="85"/>
      <c r="G36" s="85"/>
      <c r="H36" s="86"/>
      <c r="I36" s="86"/>
      <c r="J36" s="85"/>
      <c r="K36" s="30" t="s">
        <v>166</v>
      </c>
      <c r="L36" s="85"/>
      <c r="M36" s="85"/>
      <c r="N36" s="87"/>
      <c r="O36" s="85"/>
      <c r="P36" s="85"/>
      <c r="Q36" s="85"/>
      <c r="R36" s="85"/>
      <c r="S36" s="85"/>
      <c r="T36" s="85"/>
      <c r="U36" s="85"/>
      <c r="V36" s="85"/>
      <c r="W36" s="85"/>
      <c r="X36" s="85"/>
      <c r="Y36" s="85"/>
      <c r="Z36" s="85"/>
      <c r="AA36" s="85"/>
      <c r="AB36" s="85"/>
      <c r="AC36" s="85"/>
      <c r="AD36" s="85"/>
      <c r="AE36" s="85"/>
      <c r="AF36" s="85"/>
      <c r="AG36" s="85"/>
      <c r="AH36" s="85"/>
      <c r="AI36" s="85"/>
      <c r="AK36" s="88"/>
      <c r="AL36" s="88"/>
      <c r="AM36" s="88"/>
      <c r="AN36" s="88"/>
      <c r="AO36" s="88"/>
    </row>
    <row r="37" spans="1:44" s="143" customFormat="1" x14ac:dyDescent="0.2">
      <c r="A37" s="136"/>
      <c r="B37" s="136"/>
      <c r="C37" s="137"/>
      <c r="D37" s="144"/>
      <c r="E37" s="144"/>
      <c r="F37" s="140"/>
      <c r="G37" s="140"/>
      <c r="H37" s="139"/>
      <c r="I37" s="139"/>
      <c r="J37" s="140"/>
      <c r="K37" s="140"/>
      <c r="L37" s="140"/>
      <c r="M37" s="140"/>
      <c r="N37" s="141"/>
      <c r="O37" s="140"/>
      <c r="P37" s="140"/>
      <c r="Q37" s="140"/>
      <c r="R37" s="140"/>
      <c r="S37" s="140"/>
      <c r="T37" s="140"/>
      <c r="U37" s="140"/>
      <c r="V37" s="140"/>
      <c r="W37" s="140"/>
      <c r="X37" s="140"/>
      <c r="Y37" s="140"/>
      <c r="Z37" s="140"/>
      <c r="AA37" s="140"/>
      <c r="AB37" s="140"/>
      <c r="AC37" s="140"/>
      <c r="AD37" s="140"/>
      <c r="AE37" s="140"/>
      <c r="AF37" s="142"/>
      <c r="AK37" s="142"/>
      <c r="AL37" s="142"/>
      <c r="AM37" s="142"/>
      <c r="AN37" s="76"/>
      <c r="AO37" s="76"/>
      <c r="AP37" s="76"/>
      <c r="AQ37" s="76"/>
      <c r="AR37" s="99"/>
    </row>
    <row r="38" spans="1:44" s="143" customFormat="1" x14ac:dyDescent="0.2">
      <c r="A38" s="136"/>
      <c r="B38" s="136"/>
      <c r="C38" s="137"/>
      <c r="D38" s="144"/>
      <c r="E38" s="144"/>
      <c r="F38" s="140"/>
      <c r="G38" s="140"/>
      <c r="H38" s="139"/>
      <c r="I38" s="139"/>
      <c r="J38" s="140"/>
      <c r="K38" s="140"/>
      <c r="L38" s="140"/>
      <c r="M38" s="140"/>
      <c r="N38" s="202"/>
      <c r="O38" s="203"/>
      <c r="P38" s="140"/>
      <c r="Q38" s="140"/>
      <c r="R38" s="140"/>
      <c r="S38" s="140"/>
      <c r="T38" s="140"/>
      <c r="U38" s="140"/>
      <c r="V38" s="140"/>
      <c r="W38" s="140"/>
      <c r="X38" s="140"/>
      <c r="Y38" s="140"/>
      <c r="Z38" s="140"/>
      <c r="AA38" s="140"/>
      <c r="AB38" s="140"/>
      <c r="AC38" s="140"/>
      <c r="AD38" s="140"/>
      <c r="AE38" s="140"/>
      <c r="AF38" s="142"/>
      <c r="AK38" s="142"/>
      <c r="AL38" s="142"/>
      <c r="AM38" s="142"/>
      <c r="AN38" s="76"/>
      <c r="AO38" s="76"/>
      <c r="AP38" s="76"/>
      <c r="AQ38" s="76"/>
      <c r="AR38" s="252"/>
    </row>
    <row r="39" spans="1:44" s="143" customFormat="1" ht="20.25" customHeight="1" x14ac:dyDescent="0.2">
      <c r="A39" s="145" t="s">
        <v>96</v>
      </c>
      <c r="B39" s="145"/>
      <c r="C39" s="146"/>
      <c r="D39" s="146"/>
      <c r="E39" s="146"/>
      <c r="F39" s="146"/>
      <c r="G39" s="146"/>
      <c r="H39" s="146"/>
      <c r="I39" s="146"/>
      <c r="J39" s="146"/>
      <c r="K39" s="146"/>
      <c r="L39" s="147"/>
      <c r="M39" s="147"/>
      <c r="N39" s="202"/>
      <c r="O39" s="203"/>
      <c r="P39" s="147"/>
      <c r="Q39" s="147"/>
      <c r="R39" s="147"/>
      <c r="S39" s="147"/>
      <c r="T39" s="147"/>
      <c r="U39" s="147"/>
      <c r="V39" s="147"/>
      <c r="W39" s="147"/>
      <c r="X39" s="147"/>
      <c r="Y39" s="147"/>
      <c r="Z39" s="147"/>
      <c r="AA39" s="147"/>
      <c r="AB39" s="147"/>
      <c r="AC39" s="147"/>
      <c r="AD39" s="147"/>
      <c r="AE39" s="147"/>
      <c r="AF39" s="142"/>
      <c r="AK39" s="142"/>
      <c r="AL39" s="142"/>
      <c r="AM39" s="142"/>
      <c r="AN39" s="76"/>
      <c r="AO39" s="76"/>
      <c r="AP39" s="76"/>
      <c r="AQ39" s="76"/>
      <c r="AR39" s="99"/>
    </row>
    <row r="40" spans="1:44" s="143" customFormat="1" ht="20.25" customHeight="1" x14ac:dyDescent="0.2">
      <c r="A40" s="145" t="s">
        <v>139</v>
      </c>
      <c r="B40" s="149"/>
      <c r="C40" s="150"/>
      <c r="D40" s="150"/>
      <c r="E40" s="151"/>
      <c r="F40" s="151"/>
      <c r="G40" s="151"/>
      <c r="H40" s="151"/>
      <c r="I40" s="151"/>
      <c r="J40" s="151"/>
      <c r="K40" s="151"/>
      <c r="L40" s="147"/>
      <c r="M40" s="147"/>
      <c r="N40" s="202"/>
      <c r="O40" s="203"/>
      <c r="P40" s="147"/>
      <c r="Q40" s="147"/>
      <c r="R40" s="147"/>
      <c r="S40" s="147"/>
      <c r="T40" s="147"/>
      <c r="U40" s="147"/>
      <c r="V40" s="147"/>
      <c r="W40" s="147"/>
      <c r="X40" s="147"/>
      <c r="Y40" s="147"/>
      <c r="Z40" s="147"/>
      <c r="AA40" s="147"/>
      <c r="AB40" s="147"/>
      <c r="AC40" s="147"/>
      <c r="AD40" s="147"/>
      <c r="AE40" s="147"/>
      <c r="AF40" s="142"/>
      <c r="AK40" s="142"/>
      <c r="AL40" s="142"/>
      <c r="AM40" s="142"/>
      <c r="AN40" s="76"/>
      <c r="AO40" s="76"/>
      <c r="AP40" s="76"/>
      <c r="AQ40" s="76"/>
      <c r="AR40" s="252"/>
    </row>
    <row r="41" spans="1:44" x14ac:dyDescent="0.2">
      <c r="A41" s="99"/>
      <c r="I41" s="153"/>
      <c r="J41" s="153"/>
      <c r="W41" s="131"/>
      <c r="X41" s="131"/>
      <c r="AA41" s="131"/>
      <c r="AD41" s="131"/>
      <c r="AE41" s="131"/>
      <c r="AN41" s="76"/>
      <c r="AO41" s="76"/>
      <c r="AP41" s="76"/>
      <c r="AQ41" s="76"/>
      <c r="AR41" s="98"/>
    </row>
    <row r="42" spans="1:44" ht="16.5" x14ac:dyDescent="0.2">
      <c r="A42" s="258"/>
      <c r="W42" s="131"/>
      <c r="X42" s="131"/>
      <c r="AA42" s="131"/>
      <c r="AD42" s="131"/>
      <c r="AE42" s="131"/>
    </row>
    <row r="43" spans="1:44" x14ac:dyDescent="0.2">
      <c r="AG43" s="114"/>
    </row>
    <row r="45" spans="1:44" x14ac:dyDescent="0.2">
      <c r="E45" s="115"/>
    </row>
    <row r="46" spans="1:44" x14ac:dyDescent="0.2">
      <c r="E46" s="115"/>
    </row>
    <row r="47" spans="1:44" x14ac:dyDescent="0.2">
      <c r="E47" s="115"/>
      <c r="K47" s="153"/>
    </row>
    <row r="48" spans="1:44" x14ac:dyDescent="0.2">
      <c r="A48" s="99"/>
      <c r="E48" s="115"/>
    </row>
    <row r="49" spans="1:45" x14ac:dyDescent="0.2">
      <c r="A49" s="99"/>
      <c r="E49" s="115"/>
    </row>
    <row r="50" spans="1:45" x14ac:dyDescent="0.2">
      <c r="A50" s="99"/>
      <c r="E50" s="115"/>
    </row>
    <row r="51" spans="1:45" x14ac:dyDescent="0.2">
      <c r="A51" s="99"/>
      <c r="E51" s="115"/>
    </row>
    <row r="52" spans="1:45" x14ac:dyDescent="0.2">
      <c r="A52" s="99"/>
      <c r="E52" s="115"/>
    </row>
    <row r="53" spans="1:45" x14ac:dyDescent="0.2">
      <c r="A53" s="99"/>
      <c r="E53" s="115"/>
    </row>
    <row r="54" spans="1:45" x14ac:dyDescent="0.2">
      <c r="A54" s="99"/>
      <c r="E54" s="115"/>
    </row>
    <row r="55" spans="1:45" x14ac:dyDescent="0.2">
      <c r="A55" s="99"/>
      <c r="E55" s="115"/>
    </row>
    <row r="56" spans="1:45" x14ac:dyDescent="0.2">
      <c r="A56" s="99"/>
      <c r="E56" s="115"/>
    </row>
    <row r="57" spans="1:45" x14ac:dyDescent="0.2">
      <c r="A57" s="99"/>
      <c r="E57" s="115"/>
    </row>
    <row r="58" spans="1:45" x14ac:dyDescent="0.2">
      <c r="A58" s="99"/>
      <c r="E58" s="115"/>
    </row>
    <row r="59" spans="1:45" x14ac:dyDescent="0.2">
      <c r="A59" s="99"/>
      <c r="E59" s="115"/>
    </row>
    <row r="60" spans="1:45" s="211" customFormat="1" x14ac:dyDescent="0.2">
      <c r="A60" s="99"/>
      <c r="B60" s="99"/>
      <c r="C60" s="99"/>
      <c r="D60" s="99"/>
      <c r="E60" s="115"/>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R60" s="99"/>
      <c r="AS60" s="99"/>
    </row>
    <row r="61" spans="1:45" s="211" customFormat="1" x14ac:dyDescent="0.2">
      <c r="A61" s="99"/>
      <c r="B61" s="99"/>
      <c r="C61" s="99"/>
      <c r="D61" s="99"/>
      <c r="E61" s="115"/>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R61" s="99"/>
      <c r="AS61" s="99"/>
    </row>
    <row r="62" spans="1:45" s="211" customFormat="1" x14ac:dyDescent="0.2">
      <c r="A62" s="99"/>
      <c r="B62" s="99"/>
      <c r="C62" s="99"/>
      <c r="D62" s="99"/>
      <c r="E62" s="115"/>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R62" s="99"/>
      <c r="AS62" s="99"/>
    </row>
    <row r="63" spans="1:45" s="211" customFormat="1" x14ac:dyDescent="0.2">
      <c r="A63" s="99"/>
      <c r="B63" s="99"/>
      <c r="C63" s="99"/>
      <c r="D63" s="99"/>
      <c r="E63" s="115"/>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R63" s="99"/>
      <c r="AS63" s="99"/>
    </row>
    <row r="64" spans="1:45" s="211" customFormat="1" x14ac:dyDescent="0.2">
      <c r="A64" s="99"/>
      <c r="B64" s="99"/>
      <c r="C64" s="99"/>
      <c r="D64" s="99"/>
      <c r="E64" s="115"/>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R64" s="99"/>
      <c r="AS64" s="99"/>
    </row>
    <row r="65" spans="1:45" s="211" customFormat="1" x14ac:dyDescent="0.2">
      <c r="A65" s="99"/>
      <c r="B65" s="99"/>
      <c r="C65" s="99"/>
      <c r="D65" s="99"/>
      <c r="E65" s="115"/>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R65" s="99"/>
      <c r="AS65" s="99"/>
    </row>
    <row r="66" spans="1:45" s="211" customFormat="1" x14ac:dyDescent="0.2">
      <c r="A66" s="99"/>
      <c r="B66" s="99"/>
      <c r="C66" s="99"/>
      <c r="D66" s="99"/>
      <c r="E66" s="115"/>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R66" s="99"/>
      <c r="AS66" s="99"/>
    </row>
  </sheetData>
  <autoFilter ref="A8:AS25" xr:uid="{00000000-0009-0000-0000-000061000000}"/>
  <mergeCells count="37">
    <mergeCell ref="AE1:AH1"/>
    <mergeCell ref="A2:AH2"/>
    <mergeCell ref="A3:AH3"/>
    <mergeCell ref="A5:A7"/>
    <mergeCell ref="B5:B7"/>
    <mergeCell ref="C5:C7"/>
    <mergeCell ref="D5:W5"/>
    <mergeCell ref="X5:AH5"/>
    <mergeCell ref="D6:D7"/>
    <mergeCell ref="E6:E7"/>
    <mergeCell ref="F6:F7"/>
    <mergeCell ref="G6:G7"/>
    <mergeCell ref="H6:H7"/>
    <mergeCell ref="I6:I7"/>
    <mergeCell ref="J6:J7"/>
    <mergeCell ref="AG6:AG7"/>
    <mergeCell ref="AH6:AH7"/>
    <mergeCell ref="U9:U24"/>
    <mergeCell ref="A25:B25"/>
    <mergeCell ref="S6:S7"/>
    <mergeCell ref="T6:T7"/>
    <mergeCell ref="U6:U7"/>
    <mergeCell ref="V6:V7"/>
    <mergeCell ref="W6:W7"/>
    <mergeCell ref="X6:Z6"/>
    <mergeCell ref="L6:L7"/>
    <mergeCell ref="M6:M7"/>
    <mergeCell ref="N6:O6"/>
    <mergeCell ref="P6:P7"/>
    <mergeCell ref="Q6:Q7"/>
    <mergeCell ref="R6:R7"/>
    <mergeCell ref="G29:H29"/>
    <mergeCell ref="I29:J29"/>
    <mergeCell ref="K29:L29"/>
    <mergeCell ref="AA6:AC6"/>
    <mergeCell ref="AD6:AF6"/>
    <mergeCell ref="K6:K7"/>
  </mergeCells>
  <printOptions horizontalCentered="1"/>
  <pageMargins left="0" right="0" top="0" bottom="0" header="0.31496062992125984" footer="0.31496062992125984"/>
  <pageSetup paperSize="9" scale="40" orientation="landscape" r:id="rId1"/>
  <legacyDrawing r:id="rId2"/>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rgb="FF00B050"/>
    <pageSetUpPr fitToPage="1"/>
  </sheetPr>
  <dimension ref="A1:AS68"/>
  <sheetViews>
    <sheetView view="pageBreakPreview" zoomScale="80" zoomScaleNormal="70" zoomScaleSheetLayoutView="80" workbookViewId="0">
      <pane xSplit="3" ySplit="8" topLeftCell="D21" activePane="bottomRight" state="frozen"/>
      <selection activeCell="M26" sqref="M26:N26"/>
      <selection pane="topRight" activeCell="M26" sqref="M26:N26"/>
      <selection pane="bottomLeft" activeCell="M26" sqref="M26:N26"/>
      <selection pane="bottomRight" activeCell="M26" sqref="M26:N26"/>
    </sheetView>
  </sheetViews>
  <sheetFormatPr defaultRowHeight="15" x14ac:dyDescent="0.2"/>
  <cols>
    <col min="1" max="1" width="10.33203125" style="99" customWidth="1"/>
    <col min="2" max="2" width="30.83203125" style="99" customWidth="1"/>
    <col min="3" max="22" width="13.5" style="99" customWidth="1"/>
    <col min="23" max="23" width="12" style="99" customWidth="1"/>
    <col min="24" max="24" width="11.5" style="99" customWidth="1"/>
    <col min="25" max="25" width="12.33203125" style="99" customWidth="1"/>
    <col min="26" max="26" width="9.6640625" style="99" customWidth="1"/>
    <col min="27" max="32" width="8.5" style="99" customWidth="1"/>
    <col min="33" max="33" width="9.33203125" style="99" customWidth="1"/>
    <col min="34" max="34" width="10.6640625" style="99" customWidth="1"/>
    <col min="35" max="35" width="13.5" style="99" customWidth="1"/>
    <col min="36" max="36" width="12.6640625" style="99" customWidth="1"/>
    <col min="37" max="37" width="13" style="99" bestFit="1" customWidth="1"/>
    <col min="38" max="38" width="0" style="99" hidden="1" customWidth="1"/>
    <col min="39" max="39" width="13" style="99" hidden="1" customWidth="1"/>
    <col min="40" max="42" width="9.33203125" style="211"/>
    <col min="43" max="43" width="11.33203125" style="211" bestFit="1" customWidth="1"/>
    <col min="44" max="16384" width="9.33203125" style="99"/>
  </cols>
  <sheetData>
    <row r="1" spans="1:45" ht="22.5" customHeight="1" x14ac:dyDescent="0.2">
      <c r="AE1" s="2263"/>
      <c r="AF1" s="2263"/>
      <c r="AG1" s="2263"/>
      <c r="AH1" s="2263"/>
    </row>
    <row r="2" spans="1:45" ht="24" customHeight="1" x14ac:dyDescent="0.2">
      <c r="A2" s="2264" t="s">
        <v>164</v>
      </c>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35"/>
    </row>
    <row r="3" spans="1:45" ht="24.75" customHeight="1" x14ac:dyDescent="0.2">
      <c r="A3" s="2265"/>
      <c r="B3" s="2265"/>
      <c r="C3" s="2265"/>
      <c r="D3" s="2265"/>
      <c r="E3" s="2265"/>
      <c r="F3" s="2265"/>
      <c r="G3" s="2265"/>
      <c r="H3" s="2265"/>
      <c r="I3" s="2265"/>
      <c r="J3" s="2265"/>
      <c r="K3" s="2265"/>
      <c r="L3" s="2265"/>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87"/>
    </row>
    <row r="4" spans="1:45" x14ac:dyDescent="0.2">
      <c r="L4" s="38">
        <v>0.27208500000000002</v>
      </c>
      <c r="M4" s="38"/>
    </row>
    <row r="5" spans="1:45" ht="38.25" customHeight="1" x14ac:dyDescent="0.2">
      <c r="A5" s="2266" t="s">
        <v>78</v>
      </c>
      <c r="B5" s="2266" t="s">
        <v>77</v>
      </c>
      <c r="C5" s="2256" t="s">
        <v>0</v>
      </c>
      <c r="D5" s="2256" t="s">
        <v>3</v>
      </c>
      <c r="E5" s="2256"/>
      <c r="F5" s="2256"/>
      <c r="G5" s="2256"/>
      <c r="H5" s="2256"/>
      <c r="I5" s="2256"/>
      <c r="J5" s="2256"/>
      <c r="K5" s="2256"/>
      <c r="L5" s="2256"/>
      <c r="M5" s="2256"/>
      <c r="N5" s="2256"/>
      <c r="O5" s="2256"/>
      <c r="P5" s="2256"/>
      <c r="Q5" s="2256"/>
      <c r="R5" s="2256"/>
      <c r="S5" s="2256"/>
      <c r="T5" s="2256"/>
      <c r="U5" s="2256"/>
      <c r="V5" s="2256"/>
      <c r="W5" s="2256"/>
      <c r="X5" s="2256" t="s">
        <v>4</v>
      </c>
      <c r="Y5" s="2256"/>
      <c r="Z5" s="2256"/>
      <c r="AA5" s="2256"/>
      <c r="AB5" s="2256"/>
      <c r="AC5" s="2256"/>
      <c r="AD5" s="2256"/>
      <c r="AE5" s="2256"/>
      <c r="AF5" s="2256"/>
      <c r="AG5" s="2256"/>
      <c r="AH5" s="2256"/>
    </row>
    <row r="6" spans="1:45" ht="60" customHeight="1" x14ac:dyDescent="0.2">
      <c r="A6" s="2266"/>
      <c r="B6" s="2266"/>
      <c r="C6" s="2256"/>
      <c r="D6" s="2259" t="s">
        <v>68</v>
      </c>
      <c r="E6" s="2259" t="s">
        <v>69</v>
      </c>
      <c r="F6" s="2259" t="s">
        <v>89</v>
      </c>
      <c r="G6" s="2259" t="s">
        <v>1</v>
      </c>
      <c r="H6" s="2259" t="s">
        <v>2</v>
      </c>
      <c r="I6" s="2259" t="s">
        <v>70</v>
      </c>
      <c r="J6" s="2259" t="s">
        <v>61</v>
      </c>
      <c r="K6" s="2259" t="s">
        <v>27</v>
      </c>
      <c r="L6" s="2261" t="s">
        <v>65</v>
      </c>
      <c r="M6" s="2261" t="s">
        <v>86</v>
      </c>
      <c r="N6" s="2262" t="s">
        <v>90</v>
      </c>
      <c r="O6" s="2262"/>
      <c r="P6" s="2262" t="s">
        <v>88</v>
      </c>
      <c r="Q6" s="2261" t="s">
        <v>82</v>
      </c>
      <c r="R6" s="2259" t="s">
        <v>83</v>
      </c>
      <c r="S6" s="2261" t="s">
        <v>87</v>
      </c>
      <c r="T6" s="2259" t="s">
        <v>84</v>
      </c>
      <c r="U6" s="2259" t="s">
        <v>9</v>
      </c>
      <c r="V6" s="2259" t="s">
        <v>7</v>
      </c>
      <c r="W6" s="2259" t="s">
        <v>85</v>
      </c>
      <c r="X6" s="2256" t="s">
        <v>10</v>
      </c>
      <c r="Y6" s="2256"/>
      <c r="Z6" s="2256"/>
      <c r="AA6" s="2256" t="s">
        <v>11</v>
      </c>
      <c r="AB6" s="2256"/>
      <c r="AC6" s="2256"/>
      <c r="AD6" s="2256" t="s">
        <v>12</v>
      </c>
      <c r="AE6" s="2256"/>
      <c r="AF6" s="2256"/>
      <c r="AG6" s="2256" t="s">
        <v>13</v>
      </c>
      <c r="AH6" s="2256" t="s">
        <v>73</v>
      </c>
    </row>
    <row r="7" spans="1:45" ht="97.5" customHeight="1" x14ac:dyDescent="0.2">
      <c r="A7" s="2266"/>
      <c r="B7" s="2266"/>
      <c r="C7" s="2256"/>
      <c r="D7" s="2259"/>
      <c r="E7" s="2259"/>
      <c r="F7" s="2259"/>
      <c r="G7" s="2259"/>
      <c r="H7" s="2259"/>
      <c r="I7" s="2259"/>
      <c r="J7" s="2259"/>
      <c r="K7" s="2259"/>
      <c r="L7" s="2261" t="s">
        <v>66</v>
      </c>
      <c r="M7" s="2261"/>
      <c r="N7" s="286" t="s">
        <v>80</v>
      </c>
      <c r="O7" s="286" t="s">
        <v>81</v>
      </c>
      <c r="P7" s="2262"/>
      <c r="Q7" s="2261"/>
      <c r="R7" s="2259"/>
      <c r="S7" s="2261" t="s">
        <v>67</v>
      </c>
      <c r="T7" s="2259"/>
      <c r="U7" s="2259"/>
      <c r="V7" s="2259"/>
      <c r="W7" s="2259"/>
      <c r="X7" s="285" t="s">
        <v>5</v>
      </c>
      <c r="Y7" s="285" t="s">
        <v>6</v>
      </c>
      <c r="Z7" s="285" t="s">
        <v>74</v>
      </c>
      <c r="AA7" s="285" t="s">
        <v>5</v>
      </c>
      <c r="AB7" s="285" t="s">
        <v>6</v>
      </c>
      <c r="AC7" s="285" t="s">
        <v>75</v>
      </c>
      <c r="AD7" s="285" t="s">
        <v>5</v>
      </c>
      <c r="AE7" s="285" t="s">
        <v>6</v>
      </c>
      <c r="AF7" s="285" t="s">
        <v>76</v>
      </c>
      <c r="AG7" s="2256"/>
      <c r="AH7" s="2256"/>
      <c r="AK7" s="99" t="s">
        <v>64</v>
      </c>
      <c r="AL7" s="99" t="s">
        <v>62</v>
      </c>
      <c r="AM7" s="99" t="s">
        <v>63</v>
      </c>
    </row>
    <row r="8" spans="1:45" ht="18" customHeight="1" x14ac:dyDescent="0.2">
      <c r="A8" s="284">
        <v>1</v>
      </c>
      <c r="B8" s="284">
        <v>2</v>
      </c>
      <c r="C8" s="284">
        <v>3</v>
      </c>
      <c r="D8" s="284">
        <v>4</v>
      </c>
      <c r="E8" s="284">
        <v>5</v>
      </c>
      <c r="F8" s="284">
        <v>6</v>
      </c>
      <c r="G8" s="284">
        <v>7</v>
      </c>
      <c r="H8" s="284">
        <v>8</v>
      </c>
      <c r="I8" s="284">
        <v>9</v>
      </c>
      <c r="J8" s="284">
        <v>10</v>
      </c>
      <c r="K8" s="284">
        <v>11</v>
      </c>
      <c r="L8" s="284">
        <v>12</v>
      </c>
      <c r="M8" s="284">
        <v>13</v>
      </c>
      <c r="N8" s="284">
        <v>14</v>
      </c>
      <c r="O8" s="284">
        <v>15</v>
      </c>
      <c r="P8" s="284">
        <v>16</v>
      </c>
      <c r="Q8" s="284">
        <v>17</v>
      </c>
      <c r="R8" s="284">
        <v>18</v>
      </c>
      <c r="S8" s="284">
        <v>19</v>
      </c>
      <c r="T8" s="284">
        <v>20</v>
      </c>
      <c r="U8" s="284">
        <v>21</v>
      </c>
      <c r="V8" s="284">
        <v>22</v>
      </c>
      <c r="W8" s="284">
        <v>23</v>
      </c>
      <c r="X8" s="284">
        <v>24</v>
      </c>
      <c r="Y8" s="284">
        <v>25</v>
      </c>
      <c r="Z8" s="284">
        <v>26</v>
      </c>
      <c r="AA8" s="284">
        <v>27</v>
      </c>
      <c r="AB8" s="284">
        <v>28</v>
      </c>
      <c r="AC8" s="284">
        <v>29</v>
      </c>
      <c r="AD8" s="284">
        <v>30</v>
      </c>
      <c r="AE8" s="284">
        <v>31</v>
      </c>
      <c r="AF8" s="284">
        <v>32</v>
      </c>
      <c r="AG8" s="284">
        <v>33</v>
      </c>
      <c r="AH8" s="284">
        <v>34</v>
      </c>
      <c r="AN8" s="212" t="s">
        <v>116</v>
      </c>
      <c r="AO8" s="212" t="s">
        <v>117</v>
      </c>
      <c r="AP8" s="212" t="s">
        <v>118</v>
      </c>
      <c r="AQ8" s="212" t="s">
        <v>119</v>
      </c>
    </row>
    <row r="9" spans="1:45" ht="16.5" customHeight="1" x14ac:dyDescent="0.2">
      <c r="A9" s="284">
        <v>1</v>
      </c>
      <c r="B9" s="236" t="s">
        <v>14</v>
      </c>
      <c r="C9" s="259">
        <v>1</v>
      </c>
      <c r="D9" s="237">
        <v>25.873000000000001</v>
      </c>
      <c r="E9" s="260">
        <f t="shared" ref="E9:E27" si="0">C9*D9</f>
        <v>25.87</v>
      </c>
      <c r="F9" s="185">
        <f t="shared" ref="F9:F27" si="1">E9*12</f>
        <v>310.39999999999998</v>
      </c>
      <c r="G9" s="95"/>
      <c r="H9" s="95"/>
      <c r="I9" s="95"/>
      <c r="J9" s="95"/>
      <c r="K9" s="95"/>
      <c r="L9" s="95">
        <f>F9*$L$4</f>
        <v>84.5</v>
      </c>
      <c r="M9" s="95">
        <f t="shared" ref="M9:M27" si="2">F9+G9+H9+I9+J9+K9+L9</f>
        <v>394.9</v>
      </c>
      <c r="N9" s="111">
        <v>0.47</v>
      </c>
      <c r="O9" s="95">
        <f t="shared" ref="O9:O27" si="3">M9*N9</f>
        <v>185.6</v>
      </c>
      <c r="P9" s="95">
        <f t="shared" ref="P9:P27" si="4">M9+O9</f>
        <v>580.5</v>
      </c>
      <c r="Q9" s="95">
        <f t="shared" ref="Q9:Q27" si="5">P9*0.8</f>
        <v>464.4</v>
      </c>
      <c r="R9" s="95">
        <f t="shared" ref="R9:R27" si="6">P9*0.8</f>
        <v>464.4</v>
      </c>
      <c r="S9" s="95">
        <f t="shared" ref="S9:S27" si="7">(P9+Q9+R9)*0.032</f>
        <v>48.3</v>
      </c>
      <c r="T9" s="95">
        <f t="shared" ref="T9:T27" si="8">P9+Q9+R9+S9</f>
        <v>1557.6</v>
      </c>
      <c r="U9" s="2915">
        <v>1</v>
      </c>
      <c r="V9" s="95">
        <f t="shared" ref="V9:V26" si="9">T9*$U$9</f>
        <v>1557.6</v>
      </c>
      <c r="W9" s="95">
        <f>AQ9</f>
        <v>401.5</v>
      </c>
      <c r="X9" s="284">
        <v>1</v>
      </c>
      <c r="Y9" s="112">
        <v>30</v>
      </c>
      <c r="Z9" s="113">
        <f t="shared" ref="Z9:Z27" si="10">X9*Y9</f>
        <v>30</v>
      </c>
      <c r="AA9" s="284"/>
      <c r="AB9" s="112">
        <v>15</v>
      </c>
      <c r="AC9" s="113">
        <f t="shared" ref="AC9:AC27" si="11">AA9*AB9</f>
        <v>0</v>
      </c>
      <c r="AD9" s="284"/>
      <c r="AE9" s="112">
        <v>30</v>
      </c>
      <c r="AF9" s="113">
        <f t="shared" ref="AF9:AF27" si="12">AD9*AE9</f>
        <v>0</v>
      </c>
      <c r="AG9" s="113">
        <f t="shared" ref="AG9:AG27" si="13">(Z9+AC9+AF9)*1%*30</f>
        <v>9</v>
      </c>
      <c r="AH9" s="113">
        <f t="shared" ref="AH9:AH27" si="14">Z9+AC9+AF9+AG9</f>
        <v>39</v>
      </c>
      <c r="AI9" s="131">
        <f t="shared" ref="AI9:AI23" si="15">V9/12/C9*1000</f>
        <v>129800</v>
      </c>
      <c r="AK9" s="114">
        <f t="shared" ref="AK9:AK23" si="16">V9/C9</f>
        <v>1557.6</v>
      </c>
      <c r="AL9" s="114">
        <f>((979*0.302)+((AK9-979)*0.182))</f>
        <v>401</v>
      </c>
      <c r="AM9" s="115">
        <f>AL9/AK9</f>
        <v>0.25700000000000001</v>
      </c>
      <c r="AN9" s="50">
        <f>1150*0.22+(AK9-1150)*0.1</f>
        <v>293.8</v>
      </c>
      <c r="AO9" s="50">
        <f>865*0.029</f>
        <v>25.1</v>
      </c>
      <c r="AP9" s="50">
        <f>AK9*0.053</f>
        <v>82.6</v>
      </c>
      <c r="AQ9" s="50">
        <f>SUM(AN9:AP9)*C9</f>
        <v>401.5</v>
      </c>
      <c r="AS9" s="99">
        <f t="shared" ref="AS9:AS27" si="17">D9*1.5</f>
        <v>38.8095</v>
      </c>
    </row>
    <row r="10" spans="1:45" x14ac:dyDescent="0.2">
      <c r="A10" s="284">
        <v>2</v>
      </c>
      <c r="B10" s="236" t="s">
        <v>127</v>
      </c>
      <c r="C10" s="259">
        <v>2</v>
      </c>
      <c r="D10" s="237">
        <v>18.111000000000001</v>
      </c>
      <c r="E10" s="260">
        <f t="shared" si="0"/>
        <v>36.22</v>
      </c>
      <c r="F10" s="185">
        <f t="shared" si="1"/>
        <v>434.6</v>
      </c>
      <c r="G10" s="95"/>
      <c r="H10" s="95">
        <f>7.062+7.945</f>
        <v>15</v>
      </c>
      <c r="I10" s="95"/>
      <c r="J10" s="95"/>
      <c r="K10" s="95">
        <f>(D10*0.4+D10*0.2)*12</f>
        <v>130.4</v>
      </c>
      <c r="L10" s="95">
        <f t="shared" ref="L10:L25" si="18">F10*$L$4</f>
        <v>118.2</v>
      </c>
      <c r="M10" s="95">
        <f t="shared" si="2"/>
        <v>698.2</v>
      </c>
      <c r="N10" s="111">
        <v>0.47</v>
      </c>
      <c r="O10" s="95">
        <f t="shared" si="3"/>
        <v>328.2</v>
      </c>
      <c r="P10" s="95">
        <f t="shared" si="4"/>
        <v>1026.4000000000001</v>
      </c>
      <c r="Q10" s="95">
        <f t="shared" si="5"/>
        <v>821.1</v>
      </c>
      <c r="R10" s="95">
        <f t="shared" si="6"/>
        <v>821.1</v>
      </c>
      <c r="S10" s="95">
        <f t="shared" si="7"/>
        <v>85.4</v>
      </c>
      <c r="T10" s="95">
        <f t="shared" si="8"/>
        <v>2754</v>
      </c>
      <c r="U10" s="2916"/>
      <c r="V10" s="95">
        <f t="shared" si="9"/>
        <v>2754</v>
      </c>
      <c r="W10" s="95">
        <f>AQ10</f>
        <v>747.6</v>
      </c>
      <c r="X10" s="284"/>
      <c r="Y10" s="112">
        <v>30</v>
      </c>
      <c r="Z10" s="113">
        <f t="shared" si="10"/>
        <v>0</v>
      </c>
      <c r="AA10" s="284"/>
      <c r="AB10" s="112">
        <v>15</v>
      </c>
      <c r="AC10" s="113">
        <f t="shared" si="11"/>
        <v>0</v>
      </c>
      <c r="AD10" s="284"/>
      <c r="AE10" s="112">
        <v>30</v>
      </c>
      <c r="AF10" s="113">
        <f t="shared" si="12"/>
        <v>0</v>
      </c>
      <c r="AG10" s="113">
        <f t="shared" si="13"/>
        <v>0</v>
      </c>
      <c r="AH10" s="113">
        <f t="shared" si="14"/>
        <v>0</v>
      </c>
      <c r="AI10" s="131">
        <f t="shared" si="15"/>
        <v>114750</v>
      </c>
      <c r="AK10" s="114">
        <f t="shared" si="16"/>
        <v>1377</v>
      </c>
      <c r="AL10" s="114">
        <f t="shared" ref="AL10:AL27" si="19">((979*0.302)+((AK10-979)*0.182))</f>
        <v>368.1</v>
      </c>
      <c r="AM10" s="115">
        <f>AL10/AK10</f>
        <v>0.26700000000000002</v>
      </c>
      <c r="AN10" s="50">
        <f>1150*0.22+(AK10-1150)*0.1</f>
        <v>275.7</v>
      </c>
      <c r="AO10" s="50">
        <f>865*0.029</f>
        <v>25.1</v>
      </c>
      <c r="AP10" s="50">
        <f>AK10*0.053</f>
        <v>73</v>
      </c>
      <c r="AQ10" s="50">
        <f>SUM(AN10:AP10)*C10</f>
        <v>747.6</v>
      </c>
      <c r="AS10" s="99">
        <f t="shared" si="17"/>
        <v>27.166499999999999</v>
      </c>
    </row>
    <row r="11" spans="1:45" ht="15.75" customHeight="1" x14ac:dyDescent="0.2">
      <c r="A11" s="284">
        <v>3</v>
      </c>
      <c r="B11" s="261" t="s">
        <v>23</v>
      </c>
      <c r="C11" s="262">
        <v>4</v>
      </c>
      <c r="D11" s="237">
        <v>11.061999999999999</v>
      </c>
      <c r="E11" s="111">
        <f t="shared" si="0"/>
        <v>44.25</v>
      </c>
      <c r="F11" s="95">
        <f t="shared" si="1"/>
        <v>531</v>
      </c>
      <c r="G11" s="95"/>
      <c r="H11" s="95">
        <f>2.757+7.01+7.01+7.789</f>
        <v>24.6</v>
      </c>
      <c r="I11" s="95"/>
      <c r="J11" s="95"/>
      <c r="K11" s="95">
        <f>(D11*0.4*3+D11*0.25)*12</f>
        <v>192.5</v>
      </c>
      <c r="L11" s="95">
        <f t="shared" si="18"/>
        <v>144.5</v>
      </c>
      <c r="M11" s="95">
        <f t="shared" si="2"/>
        <v>892.6</v>
      </c>
      <c r="N11" s="111">
        <v>0.43</v>
      </c>
      <c r="O11" s="95">
        <f t="shared" si="3"/>
        <v>383.8</v>
      </c>
      <c r="P11" s="95">
        <f t="shared" si="4"/>
        <v>1276.4000000000001</v>
      </c>
      <c r="Q11" s="95">
        <f t="shared" si="5"/>
        <v>1021.1</v>
      </c>
      <c r="R11" s="95">
        <f t="shared" si="6"/>
        <v>1021.1</v>
      </c>
      <c r="S11" s="95">
        <f t="shared" si="7"/>
        <v>106.2</v>
      </c>
      <c r="T11" s="95">
        <f t="shared" si="8"/>
        <v>3424.8</v>
      </c>
      <c r="U11" s="2916"/>
      <c r="V11" s="95">
        <f>T11*$U$9</f>
        <v>3424.8</v>
      </c>
      <c r="W11" s="95">
        <f>V11*0.302</f>
        <v>1034.3</v>
      </c>
      <c r="X11" s="239">
        <v>2</v>
      </c>
      <c r="Y11" s="240">
        <v>30</v>
      </c>
      <c r="Z11" s="241">
        <f t="shared" si="10"/>
        <v>60</v>
      </c>
      <c r="AA11" s="239"/>
      <c r="AB11" s="240">
        <v>15</v>
      </c>
      <c r="AC11" s="241">
        <f t="shared" si="11"/>
        <v>0</v>
      </c>
      <c r="AD11" s="239">
        <v>2</v>
      </c>
      <c r="AE11" s="240">
        <v>30</v>
      </c>
      <c r="AF11" s="241">
        <f t="shared" si="12"/>
        <v>60</v>
      </c>
      <c r="AG11" s="241">
        <f t="shared" si="13"/>
        <v>36</v>
      </c>
      <c r="AH11" s="241">
        <f t="shared" si="14"/>
        <v>156</v>
      </c>
      <c r="AI11" s="131">
        <f t="shared" si="15"/>
        <v>71350</v>
      </c>
      <c r="AK11" s="114">
        <f t="shared" si="16"/>
        <v>856.2</v>
      </c>
      <c r="AL11" s="114">
        <f t="shared" si="19"/>
        <v>273.3</v>
      </c>
      <c r="AM11" s="115">
        <v>0.30199999999999999</v>
      </c>
      <c r="AN11" s="50"/>
      <c r="AO11" s="50"/>
      <c r="AP11" s="50"/>
      <c r="AQ11" s="50"/>
      <c r="AS11" s="99">
        <f t="shared" si="17"/>
        <v>16.593</v>
      </c>
    </row>
    <row r="12" spans="1:45" x14ac:dyDescent="0.2">
      <c r="A12" s="284">
        <v>4</v>
      </c>
      <c r="B12" s="261" t="s">
        <v>47</v>
      </c>
      <c r="C12" s="262">
        <v>1</v>
      </c>
      <c r="D12" s="237">
        <v>6.2859999999999996</v>
      </c>
      <c r="E12" s="111">
        <f t="shared" si="0"/>
        <v>6.29</v>
      </c>
      <c r="F12" s="95">
        <f t="shared" si="1"/>
        <v>75.5</v>
      </c>
      <c r="G12" s="95"/>
      <c r="H12" s="95">
        <f>3064.3/1000</f>
        <v>3.1</v>
      </c>
      <c r="I12" s="95"/>
      <c r="J12" s="95"/>
      <c r="K12" s="95">
        <f>F12*0.25</f>
        <v>18.899999999999999</v>
      </c>
      <c r="L12" s="95">
        <f t="shared" si="18"/>
        <v>20.5</v>
      </c>
      <c r="M12" s="95">
        <f t="shared" si="2"/>
        <v>118</v>
      </c>
      <c r="N12" s="111">
        <v>0.45</v>
      </c>
      <c r="O12" s="95">
        <f t="shared" si="3"/>
        <v>53.1</v>
      </c>
      <c r="P12" s="95">
        <f t="shared" si="4"/>
        <v>171.1</v>
      </c>
      <c r="Q12" s="95">
        <f t="shared" si="5"/>
        <v>136.9</v>
      </c>
      <c r="R12" s="95">
        <f t="shared" si="6"/>
        <v>136.9</v>
      </c>
      <c r="S12" s="95">
        <f t="shared" si="7"/>
        <v>14.2</v>
      </c>
      <c r="T12" s="95">
        <f t="shared" si="8"/>
        <v>459.1</v>
      </c>
      <c r="U12" s="2916"/>
      <c r="V12" s="95">
        <f t="shared" si="9"/>
        <v>459.1</v>
      </c>
      <c r="W12" s="95">
        <f t="shared" ref="W12:W27" si="20">V12*0.302</f>
        <v>138.6</v>
      </c>
      <c r="X12" s="239">
        <v>1</v>
      </c>
      <c r="Y12" s="240">
        <v>30</v>
      </c>
      <c r="Z12" s="241">
        <f t="shared" si="10"/>
        <v>30</v>
      </c>
      <c r="AA12" s="239"/>
      <c r="AB12" s="240">
        <v>15</v>
      </c>
      <c r="AC12" s="241">
        <f t="shared" si="11"/>
        <v>0</v>
      </c>
      <c r="AD12" s="239"/>
      <c r="AE12" s="240">
        <v>30</v>
      </c>
      <c r="AF12" s="241">
        <f t="shared" si="12"/>
        <v>0</v>
      </c>
      <c r="AG12" s="241">
        <f t="shared" si="13"/>
        <v>9</v>
      </c>
      <c r="AH12" s="241">
        <f t="shared" si="14"/>
        <v>39</v>
      </c>
      <c r="AI12" s="131">
        <f t="shared" si="15"/>
        <v>38258.33</v>
      </c>
      <c r="AK12" s="114">
        <f t="shared" si="16"/>
        <v>459.1</v>
      </c>
      <c r="AL12" s="114">
        <f t="shared" si="19"/>
        <v>201</v>
      </c>
      <c r="AM12" s="115">
        <v>0.30199999999999999</v>
      </c>
      <c r="AO12" s="50"/>
      <c r="AP12" s="50"/>
      <c r="AQ12" s="50"/>
      <c r="AS12" s="99">
        <f t="shared" si="17"/>
        <v>9.4290000000000003</v>
      </c>
    </row>
    <row r="13" spans="1:45" x14ac:dyDescent="0.2">
      <c r="A13" s="284">
        <v>5</v>
      </c>
      <c r="B13" s="236" t="s">
        <v>15</v>
      </c>
      <c r="C13" s="262">
        <v>1</v>
      </c>
      <c r="D13" s="237">
        <v>11.061999999999999</v>
      </c>
      <c r="E13" s="111">
        <f t="shared" si="0"/>
        <v>11.06</v>
      </c>
      <c r="F13" s="95">
        <f t="shared" si="1"/>
        <v>132.69999999999999</v>
      </c>
      <c r="G13" s="95"/>
      <c r="H13" s="95"/>
      <c r="I13" s="95"/>
      <c r="J13" s="95"/>
      <c r="K13" s="95">
        <f>D11*0.25*4.6+D11*0.3*7.4</f>
        <v>37.299999999999997</v>
      </c>
      <c r="L13" s="95">
        <f t="shared" si="18"/>
        <v>36.1</v>
      </c>
      <c r="M13" s="95">
        <f t="shared" si="2"/>
        <v>206.1</v>
      </c>
      <c r="N13" s="111">
        <v>0.43</v>
      </c>
      <c r="O13" s="95">
        <f t="shared" si="3"/>
        <v>88.6</v>
      </c>
      <c r="P13" s="95">
        <f t="shared" si="4"/>
        <v>294.7</v>
      </c>
      <c r="Q13" s="95">
        <f t="shared" si="5"/>
        <v>235.8</v>
      </c>
      <c r="R13" s="95">
        <f t="shared" si="6"/>
        <v>235.8</v>
      </c>
      <c r="S13" s="95">
        <f t="shared" si="7"/>
        <v>24.5</v>
      </c>
      <c r="T13" s="95">
        <f t="shared" si="8"/>
        <v>790.8</v>
      </c>
      <c r="U13" s="2916"/>
      <c r="V13" s="95">
        <f t="shared" si="9"/>
        <v>790.8</v>
      </c>
      <c r="W13" s="95">
        <f t="shared" si="20"/>
        <v>238.8</v>
      </c>
      <c r="X13" s="239"/>
      <c r="Y13" s="240">
        <v>30</v>
      </c>
      <c r="Z13" s="241">
        <f t="shared" si="10"/>
        <v>0</v>
      </c>
      <c r="AA13" s="239"/>
      <c r="AB13" s="240">
        <v>15</v>
      </c>
      <c r="AC13" s="241">
        <f t="shared" si="11"/>
        <v>0</v>
      </c>
      <c r="AD13" s="239"/>
      <c r="AE13" s="240">
        <v>30</v>
      </c>
      <c r="AF13" s="241">
        <f t="shared" si="12"/>
        <v>0</v>
      </c>
      <c r="AG13" s="241">
        <f t="shared" si="13"/>
        <v>0</v>
      </c>
      <c r="AH13" s="241">
        <f t="shared" si="14"/>
        <v>0</v>
      </c>
      <c r="AI13" s="131">
        <f t="shared" si="15"/>
        <v>65900</v>
      </c>
      <c r="AK13" s="114">
        <f t="shared" si="16"/>
        <v>790.8</v>
      </c>
      <c r="AL13" s="114">
        <f t="shared" si="19"/>
        <v>261.39999999999998</v>
      </c>
      <c r="AM13" s="115">
        <v>0.30199999999999999</v>
      </c>
      <c r="AN13" s="50"/>
      <c r="AO13" s="50"/>
      <c r="AP13" s="50"/>
      <c r="AQ13" s="50"/>
      <c r="AS13" s="99">
        <f t="shared" si="17"/>
        <v>16.593</v>
      </c>
    </row>
    <row r="14" spans="1:45" s="245" customFormat="1" x14ac:dyDescent="0.2">
      <c r="A14" s="284">
        <v>6</v>
      </c>
      <c r="B14" s="261" t="s">
        <v>48</v>
      </c>
      <c r="C14" s="262">
        <v>1</v>
      </c>
      <c r="D14" s="237">
        <v>11.061999999999999</v>
      </c>
      <c r="E14" s="249">
        <f t="shared" si="0"/>
        <v>11.06</v>
      </c>
      <c r="F14" s="248">
        <f t="shared" si="1"/>
        <v>132.69999999999999</v>
      </c>
      <c r="G14" s="248"/>
      <c r="H14" s="248">
        <v>7</v>
      </c>
      <c r="I14" s="248"/>
      <c r="J14" s="248"/>
      <c r="K14" s="248">
        <f>F14*0.4</f>
        <v>53.1</v>
      </c>
      <c r="L14" s="95">
        <f t="shared" si="18"/>
        <v>36.1</v>
      </c>
      <c r="M14" s="248">
        <f t="shared" si="2"/>
        <v>228.9</v>
      </c>
      <c r="N14" s="111">
        <v>0.47</v>
      </c>
      <c r="O14" s="248">
        <f t="shared" si="3"/>
        <v>107.6</v>
      </c>
      <c r="P14" s="248">
        <f t="shared" si="4"/>
        <v>336.5</v>
      </c>
      <c r="Q14" s="248">
        <f t="shared" si="5"/>
        <v>269.2</v>
      </c>
      <c r="R14" s="248">
        <f t="shared" si="6"/>
        <v>269.2</v>
      </c>
      <c r="S14" s="248">
        <f t="shared" si="7"/>
        <v>28</v>
      </c>
      <c r="T14" s="248">
        <f t="shared" si="8"/>
        <v>902.9</v>
      </c>
      <c r="U14" s="2916"/>
      <c r="V14" s="248">
        <f t="shared" si="9"/>
        <v>902.9</v>
      </c>
      <c r="W14" s="95">
        <f>AQ14</f>
        <v>271.60000000000002</v>
      </c>
      <c r="X14" s="239"/>
      <c r="Y14" s="240">
        <v>30</v>
      </c>
      <c r="Z14" s="241">
        <f t="shared" si="10"/>
        <v>0</v>
      </c>
      <c r="AA14" s="239"/>
      <c r="AB14" s="240">
        <v>15</v>
      </c>
      <c r="AC14" s="241">
        <f t="shared" si="11"/>
        <v>0</v>
      </c>
      <c r="AD14" s="239"/>
      <c r="AE14" s="240">
        <v>30</v>
      </c>
      <c r="AF14" s="241">
        <f t="shared" si="12"/>
        <v>0</v>
      </c>
      <c r="AG14" s="241">
        <f t="shared" si="13"/>
        <v>0</v>
      </c>
      <c r="AH14" s="241">
        <f t="shared" si="14"/>
        <v>0</v>
      </c>
      <c r="AI14" s="131">
        <f t="shared" si="15"/>
        <v>75241.67</v>
      </c>
      <c r="AK14" s="114">
        <f t="shared" si="16"/>
        <v>902.9</v>
      </c>
      <c r="AL14" s="114">
        <f t="shared" si="19"/>
        <v>281.8</v>
      </c>
      <c r="AM14" s="115">
        <v>0.30199999999999999</v>
      </c>
      <c r="AN14" s="50">
        <f>AK14*0.22</f>
        <v>198.6</v>
      </c>
      <c r="AO14" s="50">
        <f>865*0.029</f>
        <v>25.1</v>
      </c>
      <c r="AP14" s="50">
        <f>AK14*0.053</f>
        <v>47.9</v>
      </c>
      <c r="AQ14" s="50">
        <f>SUM(AN14:AP14)*C14</f>
        <v>271.60000000000002</v>
      </c>
      <c r="AS14" s="99">
        <f t="shared" si="17"/>
        <v>16.593</v>
      </c>
    </row>
    <row r="15" spans="1:45" x14ac:dyDescent="0.2">
      <c r="A15" s="284">
        <v>7</v>
      </c>
      <c r="B15" s="236" t="s">
        <v>49</v>
      </c>
      <c r="C15" s="259">
        <v>1</v>
      </c>
      <c r="D15" s="237">
        <v>8.4730000000000008</v>
      </c>
      <c r="E15" s="111">
        <f t="shared" si="0"/>
        <v>8.4700000000000006</v>
      </c>
      <c r="F15" s="95">
        <f t="shared" si="1"/>
        <v>101.6</v>
      </c>
      <c r="G15" s="95"/>
      <c r="H15" s="95">
        <v>6</v>
      </c>
      <c r="I15" s="95"/>
      <c r="J15" s="95"/>
      <c r="K15" s="95">
        <f>F15*0.2</f>
        <v>20.3</v>
      </c>
      <c r="L15" s="95">
        <f t="shared" si="18"/>
        <v>27.6</v>
      </c>
      <c r="M15" s="95">
        <f t="shared" si="2"/>
        <v>155.5</v>
      </c>
      <c r="N15" s="111">
        <v>0.41</v>
      </c>
      <c r="O15" s="95">
        <f t="shared" si="3"/>
        <v>63.8</v>
      </c>
      <c r="P15" s="95">
        <f t="shared" si="4"/>
        <v>219.3</v>
      </c>
      <c r="Q15" s="95">
        <f t="shared" si="5"/>
        <v>175.4</v>
      </c>
      <c r="R15" s="95">
        <f t="shared" si="6"/>
        <v>175.4</v>
      </c>
      <c r="S15" s="95">
        <f t="shared" si="7"/>
        <v>18.2</v>
      </c>
      <c r="T15" s="95">
        <f t="shared" si="8"/>
        <v>588.29999999999995</v>
      </c>
      <c r="U15" s="2916"/>
      <c r="V15" s="95">
        <f t="shared" si="9"/>
        <v>588.29999999999995</v>
      </c>
      <c r="W15" s="95">
        <f t="shared" si="20"/>
        <v>177.7</v>
      </c>
      <c r="X15" s="284"/>
      <c r="Y15" s="112">
        <v>30</v>
      </c>
      <c r="Z15" s="113">
        <f t="shared" si="10"/>
        <v>0</v>
      </c>
      <c r="AA15" s="127"/>
      <c r="AB15" s="112">
        <v>15</v>
      </c>
      <c r="AC15" s="113">
        <f t="shared" si="11"/>
        <v>0</v>
      </c>
      <c r="AD15" s="127"/>
      <c r="AE15" s="112">
        <v>30</v>
      </c>
      <c r="AF15" s="113">
        <f t="shared" si="12"/>
        <v>0</v>
      </c>
      <c r="AG15" s="113">
        <f t="shared" si="13"/>
        <v>0</v>
      </c>
      <c r="AH15" s="113">
        <f t="shared" si="14"/>
        <v>0</v>
      </c>
      <c r="AI15" s="131">
        <f t="shared" si="15"/>
        <v>49025</v>
      </c>
      <c r="AK15" s="114">
        <f t="shared" si="16"/>
        <v>588.29999999999995</v>
      </c>
      <c r="AL15" s="114">
        <f t="shared" si="19"/>
        <v>224.6</v>
      </c>
      <c r="AM15" s="115">
        <v>0.30199999999999999</v>
      </c>
      <c r="AO15" s="50"/>
      <c r="AP15" s="50"/>
      <c r="AQ15" s="50"/>
      <c r="AS15" s="99">
        <f t="shared" si="17"/>
        <v>12.7095</v>
      </c>
    </row>
    <row r="16" spans="1:45" x14ac:dyDescent="0.2">
      <c r="A16" s="284">
        <v>8</v>
      </c>
      <c r="B16" s="236" t="s">
        <v>59</v>
      </c>
      <c r="C16" s="259">
        <v>1</v>
      </c>
      <c r="D16" s="237">
        <v>8.4730000000000008</v>
      </c>
      <c r="E16" s="111">
        <f t="shared" si="0"/>
        <v>8.4700000000000006</v>
      </c>
      <c r="F16" s="95">
        <f t="shared" si="1"/>
        <v>101.6</v>
      </c>
      <c r="G16" s="95"/>
      <c r="H16" s="95">
        <v>5.4</v>
      </c>
      <c r="I16" s="95"/>
      <c r="J16" s="95"/>
      <c r="K16" s="95">
        <f>F16*0.4</f>
        <v>40.6</v>
      </c>
      <c r="L16" s="95">
        <f t="shared" si="18"/>
        <v>27.6</v>
      </c>
      <c r="M16" s="95">
        <f t="shared" si="2"/>
        <v>175.2</v>
      </c>
      <c r="N16" s="111">
        <v>0.41</v>
      </c>
      <c r="O16" s="95">
        <f t="shared" si="3"/>
        <v>71.8</v>
      </c>
      <c r="P16" s="95">
        <f t="shared" si="4"/>
        <v>247</v>
      </c>
      <c r="Q16" s="95">
        <f t="shared" si="5"/>
        <v>197.6</v>
      </c>
      <c r="R16" s="95">
        <f t="shared" si="6"/>
        <v>197.6</v>
      </c>
      <c r="S16" s="95">
        <f t="shared" si="7"/>
        <v>20.6</v>
      </c>
      <c r="T16" s="95">
        <f t="shared" si="8"/>
        <v>662.8</v>
      </c>
      <c r="U16" s="2916"/>
      <c r="V16" s="95">
        <f t="shared" si="9"/>
        <v>662.8</v>
      </c>
      <c r="W16" s="95">
        <f t="shared" si="20"/>
        <v>200.2</v>
      </c>
      <c r="X16" s="284"/>
      <c r="Y16" s="112">
        <v>30</v>
      </c>
      <c r="Z16" s="113">
        <f t="shared" si="10"/>
        <v>0</v>
      </c>
      <c r="AA16" s="127"/>
      <c r="AB16" s="112">
        <v>15</v>
      </c>
      <c r="AC16" s="113">
        <f t="shared" si="11"/>
        <v>0</v>
      </c>
      <c r="AD16" s="127"/>
      <c r="AE16" s="112">
        <v>30</v>
      </c>
      <c r="AF16" s="113">
        <f t="shared" si="12"/>
        <v>0</v>
      </c>
      <c r="AG16" s="113">
        <f t="shared" si="13"/>
        <v>0</v>
      </c>
      <c r="AH16" s="113">
        <f t="shared" si="14"/>
        <v>0</v>
      </c>
      <c r="AI16" s="131">
        <f t="shared" si="15"/>
        <v>55233.33</v>
      </c>
      <c r="AK16" s="114">
        <f t="shared" si="16"/>
        <v>662.8</v>
      </c>
      <c r="AL16" s="114">
        <f t="shared" si="19"/>
        <v>238.1</v>
      </c>
      <c r="AM16" s="115">
        <v>0.30199999999999999</v>
      </c>
      <c r="AN16" s="50"/>
      <c r="AO16" s="50"/>
      <c r="AP16" s="50"/>
      <c r="AQ16" s="50"/>
      <c r="AS16" s="99">
        <f t="shared" si="17"/>
        <v>12.7095</v>
      </c>
    </row>
    <row r="17" spans="1:45" x14ac:dyDescent="0.2">
      <c r="A17" s="284">
        <v>9</v>
      </c>
      <c r="B17" s="261" t="s">
        <v>40</v>
      </c>
      <c r="C17" s="259">
        <v>1</v>
      </c>
      <c r="D17" s="237">
        <v>11.061999999999999</v>
      </c>
      <c r="E17" s="111">
        <f t="shared" si="0"/>
        <v>11.06</v>
      </c>
      <c r="F17" s="95">
        <f t="shared" si="1"/>
        <v>132.69999999999999</v>
      </c>
      <c r="G17" s="95"/>
      <c r="H17" s="95">
        <f>5392.4/1000</f>
        <v>5.4</v>
      </c>
      <c r="I17" s="95"/>
      <c r="J17" s="95"/>
      <c r="K17" s="95"/>
      <c r="L17" s="95">
        <f t="shared" si="18"/>
        <v>36.1</v>
      </c>
      <c r="M17" s="95">
        <f t="shared" si="2"/>
        <v>174.2</v>
      </c>
      <c r="N17" s="111">
        <v>0.43</v>
      </c>
      <c r="O17" s="95">
        <f t="shared" si="3"/>
        <v>74.900000000000006</v>
      </c>
      <c r="P17" s="95">
        <f t="shared" si="4"/>
        <v>249.1</v>
      </c>
      <c r="Q17" s="95">
        <f t="shared" si="5"/>
        <v>199.3</v>
      </c>
      <c r="R17" s="95">
        <f t="shared" si="6"/>
        <v>199.3</v>
      </c>
      <c r="S17" s="95">
        <f t="shared" si="7"/>
        <v>20.7</v>
      </c>
      <c r="T17" s="95">
        <f t="shared" si="8"/>
        <v>668.4</v>
      </c>
      <c r="U17" s="2916"/>
      <c r="V17" s="95">
        <f t="shared" si="9"/>
        <v>668.4</v>
      </c>
      <c r="W17" s="95">
        <f t="shared" si="20"/>
        <v>201.9</v>
      </c>
      <c r="X17" s="284"/>
      <c r="Y17" s="112">
        <v>30</v>
      </c>
      <c r="Z17" s="113">
        <f t="shared" si="10"/>
        <v>0</v>
      </c>
      <c r="AA17" s="127"/>
      <c r="AB17" s="112">
        <v>15</v>
      </c>
      <c r="AC17" s="113">
        <f t="shared" si="11"/>
        <v>0</v>
      </c>
      <c r="AD17" s="127"/>
      <c r="AE17" s="112">
        <v>30</v>
      </c>
      <c r="AF17" s="113">
        <f t="shared" si="12"/>
        <v>0</v>
      </c>
      <c r="AG17" s="113">
        <f t="shared" si="13"/>
        <v>0</v>
      </c>
      <c r="AH17" s="113">
        <f t="shared" si="14"/>
        <v>0</v>
      </c>
      <c r="AI17" s="131">
        <f t="shared" si="15"/>
        <v>55700</v>
      </c>
      <c r="AK17" s="114">
        <f t="shared" si="16"/>
        <v>668.4</v>
      </c>
      <c r="AL17" s="114">
        <f t="shared" si="19"/>
        <v>239.1</v>
      </c>
      <c r="AM17" s="115">
        <v>0.30199999999999999</v>
      </c>
      <c r="AN17" s="50"/>
      <c r="AO17" s="50"/>
      <c r="AP17" s="50"/>
      <c r="AQ17" s="50"/>
      <c r="AS17" s="99">
        <f t="shared" si="17"/>
        <v>16.593</v>
      </c>
    </row>
    <row r="18" spans="1:45" x14ac:dyDescent="0.2">
      <c r="A18" s="284">
        <v>10</v>
      </c>
      <c r="B18" s="261" t="s">
        <v>29</v>
      </c>
      <c r="C18" s="259">
        <v>2</v>
      </c>
      <c r="D18" s="237">
        <v>8.4730000000000008</v>
      </c>
      <c r="E18" s="111">
        <f t="shared" si="0"/>
        <v>16.95</v>
      </c>
      <c r="F18" s="95">
        <f t="shared" si="1"/>
        <v>203.4</v>
      </c>
      <c r="G18" s="95"/>
      <c r="H18" s="95">
        <f>2065.2/1000</f>
        <v>2.1</v>
      </c>
      <c r="I18" s="95"/>
      <c r="J18" s="95"/>
      <c r="K18" s="95">
        <f>(D18*0.25+D18*0.3)*12</f>
        <v>55.9</v>
      </c>
      <c r="L18" s="95">
        <f t="shared" si="18"/>
        <v>55.3</v>
      </c>
      <c r="M18" s="95">
        <f t="shared" si="2"/>
        <v>316.7</v>
      </c>
      <c r="N18" s="111">
        <v>0.41</v>
      </c>
      <c r="O18" s="95">
        <f t="shared" si="3"/>
        <v>129.80000000000001</v>
      </c>
      <c r="P18" s="95">
        <f t="shared" si="4"/>
        <v>446.5</v>
      </c>
      <c r="Q18" s="95">
        <f t="shared" si="5"/>
        <v>357.2</v>
      </c>
      <c r="R18" s="95">
        <f t="shared" si="6"/>
        <v>357.2</v>
      </c>
      <c r="S18" s="95">
        <f t="shared" si="7"/>
        <v>37.1</v>
      </c>
      <c r="T18" s="95">
        <f t="shared" si="8"/>
        <v>1198</v>
      </c>
      <c r="U18" s="2916"/>
      <c r="V18" s="95">
        <f t="shared" si="9"/>
        <v>1198</v>
      </c>
      <c r="W18" s="95">
        <f t="shared" si="20"/>
        <v>361.8</v>
      </c>
      <c r="X18" s="284"/>
      <c r="Y18" s="112">
        <v>30</v>
      </c>
      <c r="Z18" s="113">
        <f t="shared" si="10"/>
        <v>0</v>
      </c>
      <c r="AA18" s="127"/>
      <c r="AB18" s="112">
        <v>15</v>
      </c>
      <c r="AC18" s="113">
        <f t="shared" si="11"/>
        <v>0</v>
      </c>
      <c r="AD18" s="127"/>
      <c r="AE18" s="112">
        <v>30</v>
      </c>
      <c r="AF18" s="113">
        <f t="shared" si="12"/>
        <v>0</v>
      </c>
      <c r="AG18" s="113">
        <f t="shared" si="13"/>
        <v>0</v>
      </c>
      <c r="AH18" s="113">
        <f t="shared" si="14"/>
        <v>0</v>
      </c>
      <c r="AI18" s="131">
        <f t="shared" si="15"/>
        <v>49916.67</v>
      </c>
      <c r="AK18" s="114">
        <f t="shared" si="16"/>
        <v>599</v>
      </c>
      <c r="AL18" s="114">
        <f t="shared" si="19"/>
        <v>226.5</v>
      </c>
      <c r="AM18" s="115">
        <v>0.30199999999999999</v>
      </c>
      <c r="AN18" s="263"/>
      <c r="AO18" s="263"/>
      <c r="AP18" s="263"/>
      <c r="AS18" s="99">
        <f t="shared" si="17"/>
        <v>12.7095</v>
      </c>
    </row>
    <row r="19" spans="1:45" x14ac:dyDescent="0.2">
      <c r="A19" s="284">
        <v>11</v>
      </c>
      <c r="B19" s="261" t="s">
        <v>58</v>
      </c>
      <c r="C19" s="259">
        <v>1</v>
      </c>
      <c r="D19" s="237">
        <v>11.061999999999999</v>
      </c>
      <c r="E19" s="111">
        <f t="shared" si="0"/>
        <v>11.06</v>
      </c>
      <c r="F19" s="95">
        <f t="shared" si="1"/>
        <v>132.69999999999999</v>
      </c>
      <c r="G19" s="95"/>
      <c r="H19" s="95">
        <f>5392.4/1000</f>
        <v>5.4</v>
      </c>
      <c r="I19" s="95"/>
      <c r="J19" s="95"/>
      <c r="K19" s="95">
        <f>F19*0.4</f>
        <v>53.1</v>
      </c>
      <c r="L19" s="95">
        <f t="shared" si="18"/>
        <v>36.1</v>
      </c>
      <c r="M19" s="95">
        <f t="shared" si="2"/>
        <v>227.3</v>
      </c>
      <c r="N19" s="111">
        <v>0.43</v>
      </c>
      <c r="O19" s="95">
        <f t="shared" si="3"/>
        <v>97.7</v>
      </c>
      <c r="P19" s="95">
        <f t="shared" si="4"/>
        <v>325</v>
      </c>
      <c r="Q19" s="95">
        <f t="shared" si="5"/>
        <v>260</v>
      </c>
      <c r="R19" s="95">
        <f t="shared" si="6"/>
        <v>260</v>
      </c>
      <c r="S19" s="95">
        <f t="shared" si="7"/>
        <v>27</v>
      </c>
      <c r="T19" s="95">
        <f t="shared" si="8"/>
        <v>872</v>
      </c>
      <c r="U19" s="2916"/>
      <c r="V19" s="95">
        <f t="shared" si="9"/>
        <v>872</v>
      </c>
      <c r="W19" s="95">
        <f t="shared" si="20"/>
        <v>263.3</v>
      </c>
      <c r="X19" s="284"/>
      <c r="Y19" s="112">
        <v>30</v>
      </c>
      <c r="Z19" s="113">
        <f t="shared" si="10"/>
        <v>0</v>
      </c>
      <c r="AA19" s="127"/>
      <c r="AB19" s="112">
        <v>15</v>
      </c>
      <c r="AC19" s="113">
        <f t="shared" si="11"/>
        <v>0</v>
      </c>
      <c r="AD19" s="127"/>
      <c r="AE19" s="112">
        <v>30</v>
      </c>
      <c r="AF19" s="113">
        <f t="shared" si="12"/>
        <v>0</v>
      </c>
      <c r="AG19" s="113">
        <f t="shared" si="13"/>
        <v>0</v>
      </c>
      <c r="AH19" s="113">
        <f t="shared" si="14"/>
        <v>0</v>
      </c>
      <c r="AI19" s="131">
        <f t="shared" si="15"/>
        <v>72666.67</v>
      </c>
      <c r="AK19" s="114">
        <f t="shared" si="16"/>
        <v>872</v>
      </c>
      <c r="AL19" s="114">
        <f t="shared" si="19"/>
        <v>276.2</v>
      </c>
      <c r="AM19" s="115">
        <v>0.30199999999999999</v>
      </c>
      <c r="AN19" s="50"/>
      <c r="AO19" s="50"/>
      <c r="AP19" s="50"/>
      <c r="AQ19" s="50"/>
      <c r="AS19" s="99">
        <f t="shared" si="17"/>
        <v>16.593</v>
      </c>
    </row>
    <row r="20" spans="1:45" x14ac:dyDescent="0.2">
      <c r="A20" s="284">
        <v>12</v>
      </c>
      <c r="B20" s="236" t="s">
        <v>42</v>
      </c>
      <c r="C20" s="259">
        <v>1</v>
      </c>
      <c r="D20" s="237">
        <v>11.061999999999999</v>
      </c>
      <c r="E20" s="111">
        <f t="shared" si="0"/>
        <v>11.06</v>
      </c>
      <c r="F20" s="95">
        <f t="shared" si="1"/>
        <v>132.69999999999999</v>
      </c>
      <c r="G20" s="95"/>
      <c r="H20" s="95">
        <v>7.8</v>
      </c>
      <c r="I20" s="95"/>
      <c r="J20" s="95"/>
      <c r="K20" s="95">
        <f>F20*0.2</f>
        <v>26.5</v>
      </c>
      <c r="L20" s="95">
        <f t="shared" si="18"/>
        <v>36.1</v>
      </c>
      <c r="M20" s="95">
        <f t="shared" si="2"/>
        <v>203.1</v>
      </c>
      <c r="N20" s="111">
        <v>0.43</v>
      </c>
      <c r="O20" s="95">
        <f t="shared" si="3"/>
        <v>87.3</v>
      </c>
      <c r="P20" s="95">
        <f t="shared" si="4"/>
        <v>290.39999999999998</v>
      </c>
      <c r="Q20" s="95">
        <f t="shared" si="5"/>
        <v>232.3</v>
      </c>
      <c r="R20" s="95">
        <f t="shared" si="6"/>
        <v>232.3</v>
      </c>
      <c r="S20" s="95">
        <f t="shared" si="7"/>
        <v>24.2</v>
      </c>
      <c r="T20" s="95">
        <f t="shared" si="8"/>
        <v>779.2</v>
      </c>
      <c r="U20" s="2916"/>
      <c r="V20" s="95">
        <f t="shared" si="9"/>
        <v>779.2</v>
      </c>
      <c r="W20" s="95">
        <f t="shared" si="20"/>
        <v>235.3</v>
      </c>
      <c r="X20" s="284"/>
      <c r="Y20" s="112">
        <v>30</v>
      </c>
      <c r="Z20" s="113">
        <f t="shared" si="10"/>
        <v>0</v>
      </c>
      <c r="AA20" s="127"/>
      <c r="AB20" s="112">
        <v>15</v>
      </c>
      <c r="AC20" s="113">
        <f t="shared" si="11"/>
        <v>0</v>
      </c>
      <c r="AD20" s="127"/>
      <c r="AE20" s="112">
        <v>30</v>
      </c>
      <c r="AF20" s="113">
        <f t="shared" si="12"/>
        <v>0</v>
      </c>
      <c r="AG20" s="113">
        <f t="shared" si="13"/>
        <v>0</v>
      </c>
      <c r="AH20" s="113">
        <f t="shared" si="14"/>
        <v>0</v>
      </c>
      <c r="AI20" s="131">
        <f t="shared" si="15"/>
        <v>64933.33</v>
      </c>
      <c r="AK20" s="114">
        <f t="shared" si="16"/>
        <v>779.2</v>
      </c>
      <c r="AL20" s="114">
        <f t="shared" si="19"/>
        <v>259.3</v>
      </c>
      <c r="AM20" s="115">
        <v>0.30199999999999999</v>
      </c>
      <c r="AN20" s="50"/>
      <c r="AO20" s="50"/>
      <c r="AP20" s="50"/>
      <c r="AQ20" s="50"/>
      <c r="AS20" s="99">
        <f t="shared" si="17"/>
        <v>16.593</v>
      </c>
    </row>
    <row r="21" spans="1:45" s="22" customFormat="1" ht="25.5" x14ac:dyDescent="0.2">
      <c r="A21" s="284">
        <v>13</v>
      </c>
      <c r="B21" s="52" t="s">
        <v>132</v>
      </c>
      <c r="C21" s="167">
        <v>1</v>
      </c>
      <c r="D21" s="177">
        <v>8.4730000000000008</v>
      </c>
      <c r="E21" s="171">
        <f t="shared" si="0"/>
        <v>8.4700000000000006</v>
      </c>
      <c r="F21" s="154">
        <f>E21*12</f>
        <v>101.6</v>
      </c>
      <c r="G21" s="154"/>
      <c r="H21" s="154">
        <f>4130.4/1000</f>
        <v>4.0999999999999996</v>
      </c>
      <c r="I21" s="154"/>
      <c r="J21" s="154"/>
      <c r="K21" s="154"/>
      <c r="L21" s="154">
        <f t="shared" si="18"/>
        <v>27.6</v>
      </c>
      <c r="M21" s="154">
        <f t="shared" si="2"/>
        <v>133.30000000000001</v>
      </c>
      <c r="N21" s="171">
        <v>0.47</v>
      </c>
      <c r="O21" s="154">
        <f t="shared" si="3"/>
        <v>62.7</v>
      </c>
      <c r="P21" s="154">
        <f t="shared" si="4"/>
        <v>196</v>
      </c>
      <c r="Q21" s="154">
        <f t="shared" si="5"/>
        <v>156.80000000000001</v>
      </c>
      <c r="R21" s="154">
        <f t="shared" si="6"/>
        <v>156.80000000000001</v>
      </c>
      <c r="S21" s="154">
        <f t="shared" si="7"/>
        <v>16.3</v>
      </c>
      <c r="T21" s="154">
        <f t="shared" si="8"/>
        <v>525.9</v>
      </c>
      <c r="U21" s="2916"/>
      <c r="V21" s="154">
        <f>T21*$U$9</f>
        <v>525.9</v>
      </c>
      <c r="W21" s="95">
        <f t="shared" si="20"/>
        <v>158.80000000000001</v>
      </c>
      <c r="X21" s="278"/>
      <c r="Y21" s="24">
        <v>30</v>
      </c>
      <c r="Z21" s="48">
        <f t="shared" si="10"/>
        <v>0</v>
      </c>
      <c r="AA21" s="54"/>
      <c r="AB21" s="24">
        <v>15</v>
      </c>
      <c r="AC21" s="48">
        <f t="shared" si="11"/>
        <v>0</v>
      </c>
      <c r="AD21" s="54"/>
      <c r="AE21" s="24">
        <v>30</v>
      </c>
      <c r="AF21" s="48">
        <f t="shared" si="12"/>
        <v>0</v>
      </c>
      <c r="AG21" s="48">
        <f t="shared" si="13"/>
        <v>0</v>
      </c>
      <c r="AH21" s="48">
        <f t="shared" si="14"/>
        <v>0</v>
      </c>
      <c r="AI21" s="39">
        <f t="shared" si="15"/>
        <v>43825</v>
      </c>
      <c r="AK21" s="34">
        <f t="shared" si="16"/>
        <v>525.9</v>
      </c>
      <c r="AL21" s="34">
        <f t="shared" si="19"/>
        <v>213.2</v>
      </c>
      <c r="AM21" s="51">
        <v>0.30199999999999999</v>
      </c>
      <c r="AN21" s="211"/>
      <c r="AO21" s="211"/>
      <c r="AP21" s="211"/>
      <c r="AQ21" s="211"/>
      <c r="AS21" s="22">
        <f t="shared" si="17"/>
        <v>12.7095</v>
      </c>
    </row>
    <row r="22" spans="1:45" x14ac:dyDescent="0.2">
      <c r="A22" s="284">
        <v>14</v>
      </c>
      <c r="B22" s="261" t="s">
        <v>44</v>
      </c>
      <c r="C22" s="259">
        <v>1</v>
      </c>
      <c r="D22" s="237">
        <v>11.061999999999999</v>
      </c>
      <c r="E22" s="111">
        <f t="shared" si="0"/>
        <v>11.06</v>
      </c>
      <c r="F22" s="95">
        <f t="shared" si="1"/>
        <v>132.69999999999999</v>
      </c>
      <c r="G22" s="95"/>
      <c r="H22" s="95">
        <v>7</v>
      </c>
      <c r="I22" s="95"/>
      <c r="J22" s="95"/>
      <c r="K22" s="95">
        <f>F22*0.4</f>
        <v>53.1</v>
      </c>
      <c r="L22" s="95">
        <f t="shared" si="18"/>
        <v>36.1</v>
      </c>
      <c r="M22" s="95">
        <f t="shared" si="2"/>
        <v>228.9</v>
      </c>
      <c r="N22" s="111">
        <v>0.43</v>
      </c>
      <c r="O22" s="95">
        <f t="shared" si="3"/>
        <v>98.4</v>
      </c>
      <c r="P22" s="95">
        <f t="shared" si="4"/>
        <v>327.3</v>
      </c>
      <c r="Q22" s="95">
        <f t="shared" si="5"/>
        <v>261.8</v>
      </c>
      <c r="R22" s="95">
        <f t="shared" si="6"/>
        <v>261.8</v>
      </c>
      <c r="S22" s="95">
        <f t="shared" si="7"/>
        <v>27.2</v>
      </c>
      <c r="T22" s="95">
        <f t="shared" si="8"/>
        <v>878.1</v>
      </c>
      <c r="U22" s="2916"/>
      <c r="V22" s="95">
        <f t="shared" si="9"/>
        <v>878.1</v>
      </c>
      <c r="W22" s="95">
        <f t="shared" si="20"/>
        <v>265.2</v>
      </c>
      <c r="X22" s="284">
        <v>1</v>
      </c>
      <c r="Y22" s="112">
        <v>30</v>
      </c>
      <c r="Z22" s="113">
        <f t="shared" si="10"/>
        <v>30</v>
      </c>
      <c r="AA22" s="127">
        <v>1</v>
      </c>
      <c r="AB22" s="112">
        <v>15</v>
      </c>
      <c r="AC22" s="113">
        <f t="shared" si="11"/>
        <v>15</v>
      </c>
      <c r="AD22" s="127"/>
      <c r="AE22" s="112">
        <v>30</v>
      </c>
      <c r="AF22" s="113">
        <f t="shared" si="12"/>
        <v>0</v>
      </c>
      <c r="AG22" s="113">
        <f t="shared" si="13"/>
        <v>13.5</v>
      </c>
      <c r="AH22" s="113">
        <f t="shared" si="14"/>
        <v>58.5</v>
      </c>
      <c r="AI22" s="131">
        <f t="shared" si="15"/>
        <v>73175</v>
      </c>
      <c r="AK22" s="114">
        <f t="shared" si="16"/>
        <v>878.1</v>
      </c>
      <c r="AL22" s="114">
        <f t="shared" si="19"/>
        <v>277.3</v>
      </c>
      <c r="AM22" s="115">
        <v>0.30199999999999999</v>
      </c>
      <c r="AN22" s="50"/>
      <c r="AO22" s="50"/>
      <c r="AP22" s="50"/>
      <c r="AQ22" s="50"/>
      <c r="AS22" s="99">
        <f t="shared" si="17"/>
        <v>16.593</v>
      </c>
    </row>
    <row r="23" spans="1:45" x14ac:dyDescent="0.2">
      <c r="A23" s="284">
        <v>15</v>
      </c>
      <c r="B23" s="236" t="s">
        <v>33</v>
      </c>
      <c r="C23" s="174">
        <v>1</v>
      </c>
      <c r="D23" s="237">
        <v>8.4730000000000008</v>
      </c>
      <c r="E23" s="111">
        <f t="shared" si="0"/>
        <v>8.4700000000000006</v>
      </c>
      <c r="F23" s="95">
        <f t="shared" si="1"/>
        <v>101.6</v>
      </c>
      <c r="G23" s="95">
        <f>4015.6/1000</f>
        <v>4</v>
      </c>
      <c r="H23" s="95">
        <f>5782.5/1000</f>
        <v>5.8</v>
      </c>
      <c r="I23" s="95"/>
      <c r="J23" s="95"/>
      <c r="K23" s="95">
        <f>D23*0.2*7.6+D23*0.25*4.4</f>
        <v>22.2</v>
      </c>
      <c r="L23" s="95">
        <f t="shared" si="18"/>
        <v>27.6</v>
      </c>
      <c r="M23" s="95">
        <f t="shared" si="2"/>
        <v>161.19999999999999</v>
      </c>
      <c r="N23" s="111">
        <v>0.41</v>
      </c>
      <c r="O23" s="95">
        <f t="shared" si="3"/>
        <v>66.099999999999994</v>
      </c>
      <c r="P23" s="95">
        <f t="shared" si="4"/>
        <v>227.3</v>
      </c>
      <c r="Q23" s="95">
        <f t="shared" si="5"/>
        <v>181.8</v>
      </c>
      <c r="R23" s="95">
        <f t="shared" si="6"/>
        <v>181.8</v>
      </c>
      <c r="S23" s="95">
        <f t="shared" si="7"/>
        <v>18.899999999999999</v>
      </c>
      <c r="T23" s="95">
        <f t="shared" si="8"/>
        <v>609.79999999999995</v>
      </c>
      <c r="U23" s="2916"/>
      <c r="V23" s="95">
        <f t="shared" si="9"/>
        <v>609.79999999999995</v>
      </c>
      <c r="W23" s="95">
        <f t="shared" si="20"/>
        <v>184.2</v>
      </c>
      <c r="X23" s="238">
        <v>1</v>
      </c>
      <c r="Y23" s="240">
        <v>30</v>
      </c>
      <c r="Z23" s="241">
        <f t="shared" si="10"/>
        <v>30</v>
      </c>
      <c r="AA23" s="238"/>
      <c r="AB23" s="240">
        <v>15</v>
      </c>
      <c r="AC23" s="241">
        <f t="shared" si="11"/>
        <v>0</v>
      </c>
      <c r="AD23" s="238">
        <v>1</v>
      </c>
      <c r="AE23" s="240">
        <v>30</v>
      </c>
      <c r="AF23" s="241">
        <f t="shared" si="12"/>
        <v>30</v>
      </c>
      <c r="AG23" s="241">
        <f t="shared" si="13"/>
        <v>18</v>
      </c>
      <c r="AH23" s="241">
        <f t="shared" si="14"/>
        <v>78</v>
      </c>
      <c r="AI23" s="131">
        <f t="shared" si="15"/>
        <v>50816.67</v>
      </c>
      <c r="AK23" s="114">
        <f t="shared" si="16"/>
        <v>609.79999999999995</v>
      </c>
      <c r="AL23" s="114">
        <f t="shared" si="19"/>
        <v>228.5</v>
      </c>
      <c r="AM23" s="115">
        <v>0.30199999999999999</v>
      </c>
      <c r="AN23" s="263"/>
      <c r="AO23" s="263"/>
      <c r="AP23" s="263"/>
      <c r="AS23" s="99">
        <f t="shared" si="17"/>
        <v>12.7095</v>
      </c>
    </row>
    <row r="24" spans="1:45" ht="25.5" x14ac:dyDescent="0.2">
      <c r="A24" s="284">
        <v>16</v>
      </c>
      <c r="B24" s="236" t="s">
        <v>102</v>
      </c>
      <c r="C24" s="174">
        <v>0.5</v>
      </c>
      <c r="D24" s="237">
        <v>4.3769999999999998</v>
      </c>
      <c r="E24" s="111">
        <f t="shared" si="0"/>
        <v>2.19</v>
      </c>
      <c r="F24" s="95">
        <f t="shared" si="1"/>
        <v>26.3</v>
      </c>
      <c r="G24" s="95"/>
      <c r="H24" s="95"/>
      <c r="I24" s="95"/>
      <c r="J24" s="95"/>
      <c r="K24" s="95"/>
      <c r="L24" s="95">
        <f t="shared" si="18"/>
        <v>7.2</v>
      </c>
      <c r="M24" s="95">
        <f t="shared" si="2"/>
        <v>33.5</v>
      </c>
      <c r="N24" s="111">
        <v>0.49</v>
      </c>
      <c r="O24" s="95">
        <f t="shared" si="3"/>
        <v>16.399999999999999</v>
      </c>
      <c r="P24" s="95">
        <f t="shared" si="4"/>
        <v>49.9</v>
      </c>
      <c r="Q24" s="95">
        <f t="shared" si="5"/>
        <v>39.9</v>
      </c>
      <c r="R24" s="95">
        <f t="shared" si="6"/>
        <v>39.9</v>
      </c>
      <c r="S24" s="95">
        <f t="shared" si="7"/>
        <v>4.2</v>
      </c>
      <c r="T24" s="95">
        <f t="shared" si="8"/>
        <v>133.9</v>
      </c>
      <c r="U24" s="2916"/>
      <c r="V24" s="95">
        <f t="shared" si="9"/>
        <v>133.9</v>
      </c>
      <c r="W24" s="95">
        <f t="shared" si="20"/>
        <v>40.4</v>
      </c>
      <c r="X24" s="238"/>
      <c r="Y24" s="240"/>
      <c r="Z24" s="241"/>
      <c r="AA24" s="238"/>
      <c r="AB24" s="240"/>
      <c r="AC24" s="241"/>
      <c r="AD24" s="238"/>
      <c r="AE24" s="240"/>
      <c r="AF24" s="241"/>
      <c r="AG24" s="241"/>
      <c r="AH24" s="241"/>
      <c r="AI24" s="131"/>
      <c r="AK24" s="114"/>
      <c r="AL24" s="114"/>
      <c r="AM24" s="115"/>
      <c r="AN24" s="263"/>
      <c r="AO24" s="263"/>
      <c r="AP24" s="263"/>
      <c r="AS24" s="99">
        <f t="shared" si="17"/>
        <v>6.5655000000000001</v>
      </c>
    </row>
    <row r="25" spans="1:45" x14ac:dyDescent="0.2">
      <c r="A25" s="284">
        <v>17</v>
      </c>
      <c r="B25" s="236" t="s">
        <v>136</v>
      </c>
      <c r="C25" s="174">
        <v>0.5</v>
      </c>
      <c r="D25" s="237">
        <v>4.3769999999999998</v>
      </c>
      <c r="E25" s="111">
        <f t="shared" si="0"/>
        <v>2.19</v>
      </c>
      <c r="F25" s="95">
        <f t="shared" si="1"/>
        <v>26.3</v>
      </c>
      <c r="G25" s="95"/>
      <c r="H25" s="95"/>
      <c r="I25" s="95"/>
      <c r="J25" s="95"/>
      <c r="K25" s="95"/>
      <c r="L25" s="95">
        <f t="shared" si="18"/>
        <v>7.2</v>
      </c>
      <c r="M25" s="95">
        <f t="shared" si="2"/>
        <v>33.5</v>
      </c>
      <c r="N25" s="111">
        <v>0.49</v>
      </c>
      <c r="O25" s="95">
        <f t="shared" si="3"/>
        <v>16.399999999999999</v>
      </c>
      <c r="P25" s="95">
        <f t="shared" si="4"/>
        <v>49.9</v>
      </c>
      <c r="Q25" s="95">
        <f t="shared" si="5"/>
        <v>39.9</v>
      </c>
      <c r="R25" s="95">
        <f t="shared" si="6"/>
        <v>39.9</v>
      </c>
      <c r="S25" s="95">
        <f t="shared" si="7"/>
        <v>4.2</v>
      </c>
      <c r="T25" s="95">
        <f t="shared" si="8"/>
        <v>133.9</v>
      </c>
      <c r="U25" s="2916"/>
      <c r="V25" s="95">
        <f t="shared" si="9"/>
        <v>133.9</v>
      </c>
      <c r="W25" s="95">
        <f t="shared" si="20"/>
        <v>40.4</v>
      </c>
      <c r="X25" s="238"/>
      <c r="Y25" s="240"/>
      <c r="Z25" s="241"/>
      <c r="AA25" s="238"/>
      <c r="AB25" s="240"/>
      <c r="AC25" s="241"/>
      <c r="AD25" s="238"/>
      <c r="AE25" s="240"/>
      <c r="AF25" s="241"/>
      <c r="AG25" s="241"/>
      <c r="AH25" s="241"/>
      <c r="AI25" s="131"/>
      <c r="AK25" s="114"/>
      <c r="AL25" s="114"/>
      <c r="AM25" s="115"/>
      <c r="AN25" s="263"/>
      <c r="AO25" s="263"/>
      <c r="AP25" s="263"/>
      <c r="AS25" s="99">
        <f t="shared" si="17"/>
        <v>6.5655000000000001</v>
      </c>
    </row>
    <row r="26" spans="1:45" s="245" customFormat="1" x14ac:dyDescent="0.2">
      <c r="A26" s="284">
        <v>18</v>
      </c>
      <c r="B26" s="236" t="s">
        <v>60</v>
      </c>
      <c r="C26" s="262">
        <v>2</v>
      </c>
      <c r="D26" s="247">
        <v>4.3769999999999998</v>
      </c>
      <c r="E26" s="249">
        <f t="shared" si="0"/>
        <v>8.75</v>
      </c>
      <c r="F26" s="248">
        <f t="shared" si="1"/>
        <v>105</v>
      </c>
      <c r="G26" s="248">
        <f>12446.4/1000</f>
        <v>12.4</v>
      </c>
      <c r="H26" s="248">
        <f>5974.3/1000</f>
        <v>6</v>
      </c>
      <c r="I26" s="248"/>
      <c r="J26" s="248"/>
      <c r="K26" s="248"/>
      <c r="L26" s="95">
        <v>59</v>
      </c>
      <c r="M26" s="248">
        <f t="shared" si="2"/>
        <v>182.4</v>
      </c>
      <c r="N26" s="111">
        <v>0.49</v>
      </c>
      <c r="O26" s="248">
        <f t="shared" si="3"/>
        <v>89.4</v>
      </c>
      <c r="P26" s="248">
        <f t="shared" si="4"/>
        <v>271.8</v>
      </c>
      <c r="Q26" s="248">
        <f t="shared" si="5"/>
        <v>217.4</v>
      </c>
      <c r="R26" s="248">
        <f t="shared" si="6"/>
        <v>217.4</v>
      </c>
      <c r="S26" s="248">
        <f t="shared" si="7"/>
        <v>22.6</v>
      </c>
      <c r="T26" s="248">
        <f t="shared" si="8"/>
        <v>729.2</v>
      </c>
      <c r="U26" s="2916"/>
      <c r="V26" s="248">
        <f t="shared" si="9"/>
        <v>729.2</v>
      </c>
      <c r="W26" s="95">
        <f t="shared" si="20"/>
        <v>220.2</v>
      </c>
      <c r="X26" s="246">
        <v>1</v>
      </c>
      <c r="Y26" s="240">
        <v>30</v>
      </c>
      <c r="Z26" s="241">
        <f t="shared" si="10"/>
        <v>30</v>
      </c>
      <c r="AA26" s="246"/>
      <c r="AB26" s="240">
        <v>15</v>
      </c>
      <c r="AC26" s="241">
        <f t="shared" si="11"/>
        <v>0</v>
      </c>
      <c r="AD26" s="246"/>
      <c r="AE26" s="240">
        <v>30</v>
      </c>
      <c r="AF26" s="241">
        <f t="shared" si="12"/>
        <v>0</v>
      </c>
      <c r="AG26" s="241">
        <f t="shared" si="13"/>
        <v>9</v>
      </c>
      <c r="AH26" s="241">
        <f t="shared" si="14"/>
        <v>39</v>
      </c>
      <c r="AI26" s="131">
        <f>V26/12/C26*1000</f>
        <v>30383.33</v>
      </c>
      <c r="AK26" s="114">
        <f>V26/C26</f>
        <v>364.6</v>
      </c>
      <c r="AL26" s="114">
        <f t="shared" si="19"/>
        <v>183.8</v>
      </c>
      <c r="AM26" s="115">
        <v>0.30199999999999999</v>
      </c>
      <c r="AN26" s="211"/>
      <c r="AO26" s="211"/>
      <c r="AP26" s="211"/>
      <c r="AQ26" s="211"/>
      <c r="AS26" s="99">
        <f t="shared" si="17"/>
        <v>6.5655000000000001</v>
      </c>
    </row>
    <row r="27" spans="1:45" x14ac:dyDescent="0.2">
      <c r="A27" s="284">
        <v>19</v>
      </c>
      <c r="B27" s="261" t="s">
        <v>94</v>
      </c>
      <c r="C27" s="264">
        <v>2</v>
      </c>
      <c r="D27" s="237">
        <v>4.3769999999999998</v>
      </c>
      <c r="E27" s="111">
        <f t="shared" si="0"/>
        <v>8.75</v>
      </c>
      <c r="F27" s="95">
        <f t="shared" si="1"/>
        <v>105</v>
      </c>
      <c r="G27" s="95">
        <f>2074.4/1000</f>
        <v>2.1</v>
      </c>
      <c r="H27" s="95">
        <f>5.974</f>
        <v>6</v>
      </c>
      <c r="I27" s="95"/>
      <c r="J27" s="95"/>
      <c r="K27" s="95"/>
      <c r="L27" s="95">
        <v>70.8</v>
      </c>
      <c r="M27" s="95">
        <f t="shared" si="2"/>
        <v>183.9</v>
      </c>
      <c r="N27" s="111">
        <v>0.47</v>
      </c>
      <c r="O27" s="95">
        <f t="shared" si="3"/>
        <v>86.4</v>
      </c>
      <c r="P27" s="95">
        <f t="shared" si="4"/>
        <v>270.3</v>
      </c>
      <c r="Q27" s="95">
        <f t="shared" si="5"/>
        <v>216.2</v>
      </c>
      <c r="R27" s="95">
        <f t="shared" si="6"/>
        <v>216.2</v>
      </c>
      <c r="S27" s="95">
        <f t="shared" si="7"/>
        <v>22.5</v>
      </c>
      <c r="T27" s="95">
        <f t="shared" si="8"/>
        <v>725.2</v>
      </c>
      <c r="U27" s="2916"/>
      <c r="V27" s="95">
        <f>T27*$U$9+0.1</f>
        <v>725.3</v>
      </c>
      <c r="W27" s="95">
        <f t="shared" si="20"/>
        <v>219</v>
      </c>
      <c r="X27" s="284">
        <v>1</v>
      </c>
      <c r="Y27" s="112">
        <v>30</v>
      </c>
      <c r="Z27" s="113">
        <f t="shared" si="10"/>
        <v>30</v>
      </c>
      <c r="AA27" s="284"/>
      <c r="AB27" s="112">
        <v>15</v>
      </c>
      <c r="AC27" s="113">
        <f t="shared" si="11"/>
        <v>0</v>
      </c>
      <c r="AD27" s="284"/>
      <c r="AE27" s="112">
        <v>30</v>
      </c>
      <c r="AF27" s="113">
        <f t="shared" si="12"/>
        <v>0</v>
      </c>
      <c r="AG27" s="113">
        <f t="shared" si="13"/>
        <v>9</v>
      </c>
      <c r="AH27" s="113">
        <f t="shared" si="14"/>
        <v>39</v>
      </c>
      <c r="AI27" s="131">
        <f>V27/12/C27*1000</f>
        <v>30220.83</v>
      </c>
      <c r="AK27" s="114">
        <f>V27/C27</f>
        <v>362.7</v>
      </c>
      <c r="AL27" s="114">
        <f t="shared" si="19"/>
        <v>183.5</v>
      </c>
      <c r="AM27" s="115">
        <v>0.30199999999999999</v>
      </c>
      <c r="AS27" s="99">
        <f t="shared" si="17"/>
        <v>6.5655000000000001</v>
      </c>
    </row>
    <row r="28" spans="1:45" s="98" customFormat="1" ht="20.25" customHeight="1" x14ac:dyDescent="0.2">
      <c r="A28" s="2919" t="s">
        <v>8</v>
      </c>
      <c r="B28" s="2919"/>
      <c r="C28" s="265">
        <f>SUM(C9:C27)</f>
        <v>25</v>
      </c>
      <c r="D28" s="266">
        <f t="shared" ref="D28:T28" si="21">SUM(D9:D27)</f>
        <v>187.6</v>
      </c>
      <c r="E28" s="266">
        <f t="shared" si="21"/>
        <v>251.7</v>
      </c>
      <c r="F28" s="266">
        <f t="shared" si="21"/>
        <v>3020.1</v>
      </c>
      <c r="G28" s="266">
        <f t="shared" si="21"/>
        <v>18.5</v>
      </c>
      <c r="H28" s="266">
        <f t="shared" si="21"/>
        <v>110.7</v>
      </c>
      <c r="I28" s="266">
        <f t="shared" si="21"/>
        <v>0</v>
      </c>
      <c r="J28" s="266">
        <f t="shared" si="21"/>
        <v>0</v>
      </c>
      <c r="K28" s="266">
        <f t="shared" si="21"/>
        <v>703.9</v>
      </c>
      <c r="L28" s="266">
        <f t="shared" si="21"/>
        <v>894.2</v>
      </c>
      <c r="M28" s="266">
        <f t="shared" si="21"/>
        <v>4747.3999999999996</v>
      </c>
      <c r="N28" s="266">
        <f t="shared" si="21"/>
        <v>8.5</v>
      </c>
      <c r="O28" s="266">
        <f t="shared" si="21"/>
        <v>2108</v>
      </c>
      <c r="P28" s="266">
        <f t="shared" si="21"/>
        <v>6855.4</v>
      </c>
      <c r="Q28" s="266">
        <f t="shared" si="21"/>
        <v>5484.1</v>
      </c>
      <c r="R28" s="266">
        <f t="shared" si="21"/>
        <v>5484.1</v>
      </c>
      <c r="S28" s="266">
        <f t="shared" si="21"/>
        <v>570.29999999999995</v>
      </c>
      <c r="T28" s="266">
        <f t="shared" si="21"/>
        <v>18393.900000000001</v>
      </c>
      <c r="U28" s="266"/>
      <c r="V28" s="266">
        <f t="shared" ref="V28:AH28" si="22">SUM(V9:V27)</f>
        <v>18394</v>
      </c>
      <c r="W28" s="266">
        <f>SUM(W9:W27)</f>
        <v>5400.8</v>
      </c>
      <c r="X28" s="266">
        <f t="shared" si="22"/>
        <v>8</v>
      </c>
      <c r="Y28" s="266">
        <f t="shared" si="22"/>
        <v>510</v>
      </c>
      <c r="Z28" s="266">
        <f t="shared" si="22"/>
        <v>240</v>
      </c>
      <c r="AA28" s="266">
        <f t="shared" si="22"/>
        <v>1</v>
      </c>
      <c r="AB28" s="266">
        <f t="shared" si="22"/>
        <v>255</v>
      </c>
      <c r="AC28" s="266">
        <f t="shared" si="22"/>
        <v>15</v>
      </c>
      <c r="AD28" s="266">
        <f t="shared" si="22"/>
        <v>3</v>
      </c>
      <c r="AE28" s="266">
        <f t="shared" si="22"/>
        <v>510</v>
      </c>
      <c r="AF28" s="266">
        <f t="shared" si="22"/>
        <v>90</v>
      </c>
      <c r="AG28" s="266">
        <f t="shared" si="22"/>
        <v>103.5</v>
      </c>
      <c r="AH28" s="266">
        <f t="shared" si="22"/>
        <v>448.5</v>
      </c>
      <c r="AI28" s="131"/>
      <c r="AK28" s="114"/>
      <c r="AL28" s="114"/>
      <c r="AM28" s="115"/>
      <c r="AN28" s="211"/>
      <c r="AO28" s="211"/>
      <c r="AP28" s="211"/>
      <c r="AQ28" s="211"/>
      <c r="AS28" s="99"/>
    </row>
    <row r="29" spans="1:45" s="98" customFormat="1" ht="20.25" customHeight="1" x14ac:dyDescent="0.2">
      <c r="A29" s="267"/>
      <c r="B29" s="268"/>
      <c r="C29" s="269"/>
      <c r="D29" s="270"/>
      <c r="E29" s="270"/>
      <c r="F29" s="270"/>
      <c r="G29" s="270"/>
      <c r="H29" s="270"/>
      <c r="I29" s="270"/>
      <c r="J29" s="270"/>
      <c r="K29" s="270"/>
      <c r="L29" s="270"/>
      <c r="M29" s="270"/>
      <c r="N29" s="270"/>
      <c r="O29" s="270"/>
      <c r="P29" s="270"/>
      <c r="Q29" s="270"/>
      <c r="R29" s="270"/>
      <c r="S29" s="270"/>
      <c r="T29" s="270"/>
      <c r="U29" s="270"/>
      <c r="V29" s="270"/>
      <c r="W29" s="66"/>
      <c r="X29" s="270"/>
      <c r="Y29" s="270"/>
      <c r="Z29" s="270"/>
      <c r="AA29" s="270"/>
      <c r="AB29" s="270"/>
      <c r="AC29" s="270"/>
      <c r="AD29" s="270"/>
      <c r="AE29" s="270"/>
      <c r="AF29" s="270"/>
      <c r="AG29" s="270"/>
      <c r="AH29" s="270"/>
      <c r="AI29" s="131"/>
      <c r="AK29" s="114"/>
      <c r="AL29" s="114"/>
      <c r="AM29" s="115"/>
      <c r="AN29" s="211"/>
      <c r="AO29" s="211"/>
      <c r="AP29" s="211"/>
      <c r="AQ29" s="211"/>
    </row>
    <row r="30" spans="1:45" s="75" customFormat="1" x14ac:dyDescent="0.2">
      <c r="A30" s="70"/>
      <c r="B30" s="70"/>
      <c r="C30" s="71"/>
      <c r="D30" s="271"/>
      <c r="E30" s="72"/>
      <c r="F30" s="72"/>
      <c r="G30" s="72"/>
      <c r="H30" s="73"/>
      <c r="I30" s="73"/>
      <c r="J30" s="27"/>
      <c r="K30" s="27"/>
      <c r="L30" s="27"/>
      <c r="M30" s="27"/>
      <c r="N30" s="74"/>
      <c r="O30" s="27"/>
      <c r="P30" s="27"/>
      <c r="Q30" s="27"/>
      <c r="R30" s="27"/>
      <c r="S30" s="27"/>
      <c r="T30" s="27"/>
      <c r="U30" s="27"/>
      <c r="V30" s="27"/>
      <c r="W30" s="27"/>
      <c r="X30" s="27"/>
      <c r="Y30" s="27"/>
      <c r="Z30" s="27"/>
      <c r="AA30" s="27"/>
      <c r="AB30" s="27"/>
      <c r="AC30" s="27"/>
      <c r="AD30" s="27"/>
      <c r="AE30" s="27"/>
      <c r="AF30" s="27"/>
      <c r="AG30" s="27"/>
      <c r="AH30" s="27"/>
      <c r="AI30" s="27"/>
      <c r="AJ30" s="76"/>
      <c r="AN30" s="76"/>
      <c r="AO30" s="76"/>
      <c r="AP30" s="76"/>
      <c r="AQ30" s="76"/>
      <c r="AR30" s="76"/>
    </row>
    <row r="31" spans="1:45" s="75" customFormat="1" ht="58.5" customHeight="1" x14ac:dyDescent="0.2">
      <c r="A31" s="70"/>
      <c r="B31" s="70"/>
      <c r="C31" s="71"/>
      <c r="D31" s="77"/>
      <c r="E31" s="77"/>
      <c r="F31" s="27"/>
      <c r="G31" s="2244" t="s">
        <v>140</v>
      </c>
      <c r="H31" s="2244"/>
      <c r="I31" s="2244" t="s">
        <v>145</v>
      </c>
      <c r="J31" s="2244"/>
      <c r="K31" s="2244" t="s">
        <v>128</v>
      </c>
      <c r="L31" s="2244"/>
      <c r="Q31" s="27"/>
      <c r="R31" s="27"/>
      <c r="S31" s="27"/>
      <c r="T31" s="27"/>
      <c r="U31" s="27"/>
      <c r="V31" s="27"/>
      <c r="W31" s="27"/>
      <c r="X31" s="27"/>
      <c r="Y31" s="27"/>
      <c r="Z31" s="27"/>
      <c r="AA31" s="27"/>
      <c r="AB31" s="27"/>
      <c r="AC31" s="27"/>
      <c r="AD31" s="27"/>
      <c r="AE31" s="27"/>
      <c r="AF31" s="27"/>
      <c r="AG31" s="27"/>
      <c r="AH31" s="27"/>
      <c r="AI31" s="27"/>
      <c r="AJ31" s="76"/>
      <c r="AN31" s="76"/>
      <c r="AO31" s="76"/>
      <c r="AP31" s="76"/>
      <c r="AQ31" s="76"/>
      <c r="AR31" s="76"/>
    </row>
    <row r="32" spans="1:45" s="75" customFormat="1" x14ac:dyDescent="0.2">
      <c r="A32" s="70"/>
      <c r="B32" s="70"/>
      <c r="C32" s="71"/>
      <c r="D32" s="77"/>
      <c r="E32" s="77"/>
      <c r="F32" s="27"/>
      <c r="G32" s="279">
        <v>991</v>
      </c>
      <c r="H32" s="279">
        <v>992</v>
      </c>
      <c r="I32" s="279">
        <v>991</v>
      </c>
      <c r="J32" s="279">
        <v>992</v>
      </c>
      <c r="K32" s="279">
        <v>991</v>
      </c>
      <c r="L32" s="279">
        <v>992</v>
      </c>
      <c r="Q32" s="27"/>
      <c r="R32" s="27"/>
      <c r="S32" s="27"/>
      <c r="T32" s="27"/>
      <c r="U32" s="27"/>
      <c r="V32" s="27"/>
      <c r="W32" s="27"/>
      <c r="X32" s="27"/>
      <c r="Y32" s="27"/>
      <c r="Z32" s="27"/>
      <c r="AA32" s="27"/>
      <c r="AB32" s="27"/>
      <c r="AC32" s="27"/>
      <c r="AD32" s="27"/>
      <c r="AE32" s="27"/>
      <c r="AF32" s="27"/>
      <c r="AG32" s="27"/>
      <c r="AH32" s="27"/>
      <c r="AI32" s="27"/>
      <c r="AJ32" s="76"/>
      <c r="AN32" s="76"/>
      <c r="AO32" s="76"/>
      <c r="AP32" s="76"/>
      <c r="AQ32" s="76"/>
      <c r="AR32" s="76"/>
    </row>
    <row r="33" spans="1:44" s="75" customFormat="1" x14ac:dyDescent="0.2">
      <c r="A33" s="70"/>
      <c r="B33" s="70"/>
      <c r="C33" s="71"/>
      <c r="D33" s="77"/>
      <c r="E33" s="77"/>
      <c r="F33" s="27"/>
      <c r="G33" s="29">
        <v>18394</v>
      </c>
      <c r="H33" s="29">
        <v>5393.9</v>
      </c>
      <c r="I33" s="29">
        <f>V28</f>
        <v>18394</v>
      </c>
      <c r="J33" s="29">
        <f>W28</f>
        <v>5400.8</v>
      </c>
      <c r="K33" s="29">
        <f>G33-I33</f>
        <v>0</v>
      </c>
      <c r="L33" s="29">
        <f>H33-J33</f>
        <v>-6.9</v>
      </c>
      <c r="Q33" s="27"/>
      <c r="R33" s="27"/>
      <c r="S33" s="27"/>
      <c r="T33" s="27"/>
      <c r="U33" s="27"/>
      <c r="V33" s="27"/>
      <c r="W33" s="27"/>
      <c r="X33" s="27"/>
      <c r="Y33" s="27"/>
      <c r="Z33" s="27"/>
      <c r="AA33" s="27"/>
      <c r="AB33" s="27"/>
      <c r="AC33" s="27"/>
      <c r="AD33" s="27"/>
      <c r="AE33" s="27"/>
      <c r="AF33" s="27"/>
      <c r="AG33" s="27"/>
      <c r="AH33" s="27"/>
      <c r="AI33" s="27"/>
      <c r="AJ33" s="76"/>
      <c r="AN33" s="76"/>
      <c r="AO33" s="76"/>
      <c r="AP33" s="76"/>
      <c r="AQ33" s="76"/>
      <c r="AR33" s="76"/>
    </row>
    <row r="38" spans="1:44" s="282" customFormat="1" ht="20.25" x14ac:dyDescent="0.2">
      <c r="A38" s="81"/>
      <c r="B38" s="82" t="s">
        <v>138</v>
      </c>
      <c r="C38" s="83"/>
      <c r="D38" s="84"/>
      <c r="E38" s="84"/>
      <c r="F38" s="85"/>
      <c r="G38" s="85"/>
      <c r="H38" s="86"/>
      <c r="I38" s="86"/>
      <c r="J38" s="85"/>
      <c r="K38" s="30" t="s">
        <v>166</v>
      </c>
      <c r="L38" s="85"/>
      <c r="M38" s="85"/>
      <c r="N38" s="87"/>
      <c r="O38" s="85"/>
      <c r="P38" s="85"/>
      <c r="Q38" s="85"/>
      <c r="R38" s="85"/>
      <c r="S38" s="85"/>
      <c r="T38" s="85"/>
      <c r="U38" s="85"/>
      <c r="V38" s="85"/>
      <c r="W38" s="85"/>
      <c r="X38" s="85"/>
      <c r="Y38" s="85"/>
      <c r="Z38" s="85"/>
      <c r="AA38" s="85"/>
      <c r="AB38" s="85"/>
      <c r="AC38" s="85"/>
      <c r="AD38" s="85"/>
      <c r="AE38" s="85"/>
      <c r="AF38" s="85"/>
      <c r="AG38" s="85"/>
      <c r="AH38" s="85"/>
      <c r="AI38" s="85"/>
      <c r="AK38" s="88"/>
      <c r="AL38" s="88"/>
      <c r="AM38" s="88"/>
      <c r="AN38" s="88"/>
      <c r="AO38" s="88"/>
    </row>
    <row r="39" spans="1:44" s="143" customFormat="1" x14ac:dyDescent="0.2">
      <c r="A39" s="136"/>
      <c r="B39" s="136"/>
      <c r="C39" s="137"/>
      <c r="D39" s="144"/>
      <c r="E39" s="144"/>
      <c r="F39" s="140"/>
      <c r="G39" s="140"/>
      <c r="H39" s="139"/>
      <c r="I39" s="139"/>
      <c r="J39" s="140"/>
      <c r="K39" s="140"/>
      <c r="L39" s="140"/>
      <c r="M39" s="140"/>
      <c r="N39" s="141"/>
      <c r="O39" s="140"/>
      <c r="P39" s="140"/>
      <c r="Q39" s="140"/>
      <c r="R39" s="140"/>
      <c r="S39" s="140"/>
      <c r="T39" s="140"/>
      <c r="U39" s="140"/>
      <c r="V39" s="140"/>
      <c r="W39" s="140"/>
      <c r="X39" s="140"/>
      <c r="Y39" s="140"/>
      <c r="Z39" s="140"/>
      <c r="AA39" s="140"/>
      <c r="AB39" s="140"/>
      <c r="AC39" s="140"/>
      <c r="AD39" s="140"/>
      <c r="AE39" s="140"/>
      <c r="AF39" s="142"/>
      <c r="AK39" s="142"/>
      <c r="AL39" s="142"/>
      <c r="AM39" s="142"/>
      <c r="AN39" s="76"/>
      <c r="AO39" s="76"/>
      <c r="AP39" s="76"/>
      <c r="AQ39" s="76"/>
      <c r="AR39" s="99"/>
    </row>
    <row r="40" spans="1:44" s="143" customFormat="1" x14ac:dyDescent="0.2">
      <c r="A40" s="136"/>
      <c r="B40" s="136"/>
      <c r="C40" s="137"/>
      <c r="D40" s="144"/>
      <c r="E40" s="144"/>
      <c r="F40" s="140"/>
      <c r="G40" s="140"/>
      <c r="H40" s="139"/>
      <c r="I40" s="139"/>
      <c r="J40" s="140"/>
      <c r="K40" s="140"/>
      <c r="L40" s="140"/>
      <c r="M40" s="140"/>
      <c r="N40" s="202"/>
      <c r="O40" s="203"/>
      <c r="P40" s="140"/>
      <c r="Q40" s="140"/>
      <c r="R40" s="140"/>
      <c r="S40" s="140"/>
      <c r="T40" s="140"/>
      <c r="U40" s="140"/>
      <c r="V40" s="140"/>
      <c r="W40" s="140"/>
      <c r="X40" s="140"/>
      <c r="Y40" s="140"/>
      <c r="Z40" s="140"/>
      <c r="AA40" s="140"/>
      <c r="AB40" s="140"/>
      <c r="AC40" s="140"/>
      <c r="AD40" s="140"/>
      <c r="AE40" s="140"/>
      <c r="AF40" s="142"/>
      <c r="AK40" s="142"/>
      <c r="AL40" s="142"/>
      <c r="AM40" s="142"/>
      <c r="AN40" s="76"/>
      <c r="AO40" s="76"/>
      <c r="AP40" s="76"/>
      <c r="AQ40" s="76"/>
      <c r="AR40" s="252"/>
    </row>
    <row r="41" spans="1:44" s="143" customFormat="1" ht="20.25" customHeight="1" x14ac:dyDescent="0.2">
      <c r="A41" s="145" t="s">
        <v>96</v>
      </c>
      <c r="B41" s="145"/>
      <c r="C41" s="146"/>
      <c r="D41" s="146"/>
      <c r="E41" s="146"/>
      <c r="F41" s="146"/>
      <c r="G41" s="146"/>
      <c r="H41" s="146"/>
      <c r="I41" s="146"/>
      <c r="J41" s="146"/>
      <c r="K41" s="146"/>
      <c r="L41" s="147"/>
      <c r="M41" s="147"/>
      <c r="N41" s="202"/>
      <c r="O41" s="203"/>
      <c r="P41" s="147"/>
      <c r="Q41" s="147"/>
      <c r="R41" s="147"/>
      <c r="S41" s="147"/>
      <c r="T41" s="147"/>
      <c r="U41" s="147"/>
      <c r="V41" s="147"/>
      <c r="W41" s="147"/>
      <c r="X41" s="147"/>
      <c r="Y41" s="147"/>
      <c r="Z41" s="147"/>
      <c r="AA41" s="147"/>
      <c r="AB41" s="147"/>
      <c r="AC41" s="147"/>
      <c r="AD41" s="147"/>
      <c r="AE41" s="147"/>
      <c r="AF41" s="142"/>
      <c r="AK41" s="142"/>
      <c r="AL41" s="142"/>
      <c r="AM41" s="142"/>
      <c r="AN41" s="76"/>
      <c r="AO41" s="76"/>
      <c r="AP41" s="76"/>
      <c r="AQ41" s="76"/>
      <c r="AR41" s="99"/>
    </row>
    <row r="42" spans="1:44" s="143" customFormat="1" ht="20.25" customHeight="1" x14ac:dyDescent="0.2">
      <c r="A42" s="145" t="s">
        <v>139</v>
      </c>
      <c r="B42" s="149"/>
      <c r="C42" s="150"/>
      <c r="D42" s="150"/>
      <c r="E42" s="151"/>
      <c r="F42" s="151"/>
      <c r="G42" s="151"/>
      <c r="H42" s="151"/>
      <c r="I42" s="151"/>
      <c r="J42" s="151"/>
      <c r="K42" s="151"/>
      <c r="L42" s="147"/>
      <c r="M42" s="147"/>
      <c r="N42" s="202"/>
      <c r="O42" s="203"/>
      <c r="P42" s="147"/>
      <c r="Q42" s="147"/>
      <c r="R42" s="147"/>
      <c r="S42" s="147"/>
      <c r="T42" s="147"/>
      <c r="U42" s="147"/>
      <c r="V42" s="147"/>
      <c r="W42" s="147"/>
      <c r="X42" s="147"/>
      <c r="Y42" s="147"/>
      <c r="Z42" s="147"/>
      <c r="AA42" s="147"/>
      <c r="AB42" s="147"/>
      <c r="AC42" s="147"/>
      <c r="AD42" s="147"/>
      <c r="AE42" s="147"/>
      <c r="AF42" s="142"/>
      <c r="AK42" s="142"/>
      <c r="AL42" s="142"/>
      <c r="AM42" s="142"/>
      <c r="AN42" s="76"/>
      <c r="AO42" s="76"/>
      <c r="AP42" s="76"/>
      <c r="AQ42" s="76"/>
      <c r="AR42" s="252"/>
    </row>
    <row r="44" spans="1:44" x14ac:dyDescent="0.2">
      <c r="E44" s="115"/>
    </row>
    <row r="45" spans="1:44" x14ac:dyDescent="0.2">
      <c r="E45" s="115"/>
    </row>
    <row r="46" spans="1:44" x14ac:dyDescent="0.2">
      <c r="E46" s="115"/>
      <c r="Y46" s="99" t="s">
        <v>124</v>
      </c>
    </row>
    <row r="47" spans="1:44" x14ac:dyDescent="0.2">
      <c r="E47" s="115"/>
    </row>
    <row r="48" spans="1:44" x14ac:dyDescent="0.2">
      <c r="E48" s="115"/>
    </row>
    <row r="49" spans="5:5" x14ac:dyDescent="0.2">
      <c r="E49" s="115"/>
    </row>
    <row r="50" spans="5:5" x14ac:dyDescent="0.2">
      <c r="E50" s="115"/>
    </row>
    <row r="51" spans="5:5" x14ac:dyDescent="0.2">
      <c r="E51" s="115"/>
    </row>
    <row r="52" spans="5:5" x14ac:dyDescent="0.2">
      <c r="E52" s="115"/>
    </row>
    <row r="53" spans="5:5" x14ac:dyDescent="0.2">
      <c r="E53" s="115"/>
    </row>
    <row r="54" spans="5:5" x14ac:dyDescent="0.2">
      <c r="E54" s="115"/>
    </row>
    <row r="55" spans="5:5" x14ac:dyDescent="0.2">
      <c r="E55" s="115"/>
    </row>
    <row r="56" spans="5:5" x14ac:dyDescent="0.2">
      <c r="E56" s="115"/>
    </row>
    <row r="57" spans="5:5" x14ac:dyDescent="0.2">
      <c r="E57" s="115"/>
    </row>
    <row r="58" spans="5:5" x14ac:dyDescent="0.2">
      <c r="E58" s="115"/>
    </row>
    <row r="59" spans="5:5" x14ac:dyDescent="0.2">
      <c r="E59" s="115"/>
    </row>
    <row r="60" spans="5:5" x14ac:dyDescent="0.2">
      <c r="E60" s="115"/>
    </row>
    <row r="61" spans="5:5" x14ac:dyDescent="0.2">
      <c r="E61" s="115"/>
    </row>
    <row r="62" spans="5:5" x14ac:dyDescent="0.2">
      <c r="E62" s="115"/>
    </row>
    <row r="63" spans="5:5" x14ac:dyDescent="0.2">
      <c r="E63" s="115"/>
    </row>
    <row r="64" spans="5:5" x14ac:dyDescent="0.2">
      <c r="E64" s="115"/>
    </row>
    <row r="65" spans="5:5" x14ac:dyDescent="0.2">
      <c r="E65" s="115"/>
    </row>
    <row r="66" spans="5:5" x14ac:dyDescent="0.2">
      <c r="E66" s="115"/>
    </row>
    <row r="67" spans="5:5" x14ac:dyDescent="0.2">
      <c r="E67" s="115"/>
    </row>
    <row r="68" spans="5:5" x14ac:dyDescent="0.2">
      <c r="E68" s="115"/>
    </row>
  </sheetData>
  <autoFilter ref="A8:AS28" xr:uid="{00000000-0009-0000-0000-000062000000}"/>
  <mergeCells count="37">
    <mergeCell ref="AE1:AH1"/>
    <mergeCell ref="A2:AH2"/>
    <mergeCell ref="A3:AH3"/>
    <mergeCell ref="A5:A7"/>
    <mergeCell ref="B5:B7"/>
    <mergeCell ref="C5:C7"/>
    <mergeCell ref="D5:W5"/>
    <mergeCell ref="X5:AH5"/>
    <mergeCell ref="D6:D7"/>
    <mergeCell ref="E6:E7"/>
    <mergeCell ref="F6:F7"/>
    <mergeCell ref="G6:G7"/>
    <mergeCell ref="H6:H7"/>
    <mergeCell ref="I6:I7"/>
    <mergeCell ref="J6:J7"/>
    <mergeCell ref="AG6:AG7"/>
    <mergeCell ref="AH6:AH7"/>
    <mergeCell ref="U9:U27"/>
    <mergeCell ref="A28:B28"/>
    <mergeCell ref="S6:S7"/>
    <mergeCell ref="T6:T7"/>
    <mergeCell ref="U6:U7"/>
    <mergeCell ref="V6:V7"/>
    <mergeCell ref="W6:W7"/>
    <mergeCell ref="X6:Z6"/>
    <mergeCell ref="L6:L7"/>
    <mergeCell ref="M6:M7"/>
    <mergeCell ref="N6:O6"/>
    <mergeCell ref="P6:P7"/>
    <mergeCell ref="Q6:Q7"/>
    <mergeCell ref="R6:R7"/>
    <mergeCell ref="G31:H31"/>
    <mergeCell ref="I31:J31"/>
    <mergeCell ref="K31:L31"/>
    <mergeCell ref="AA6:AC6"/>
    <mergeCell ref="AD6:AF6"/>
    <mergeCell ref="K6:K7"/>
  </mergeCells>
  <printOptions horizontalCentered="1"/>
  <pageMargins left="0" right="0" top="0" bottom="0" header="0.31496062992125984" footer="0.31496062992125984"/>
  <pageSetup paperSize="9" scale="38"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99</vt:i4>
      </vt:variant>
      <vt:variant>
        <vt:lpstr>Именованные диапазоны</vt:lpstr>
      </vt:variant>
      <vt:variant>
        <vt:i4>111</vt:i4>
      </vt:variant>
    </vt:vector>
  </HeadingPairs>
  <TitlesOfParts>
    <vt:vector size="210" baseType="lpstr">
      <vt:lpstr>СВОД (2)</vt:lpstr>
      <vt:lpstr>СВОД</vt:lpstr>
      <vt:lpstr>музей 2020</vt:lpstr>
      <vt:lpstr>Родина 2020</vt:lpstr>
      <vt:lpstr>раздел 1 (2020)</vt:lpstr>
      <vt:lpstr>раздел 1 (2021)</vt:lpstr>
      <vt:lpstr>раздел 1 (2022)</vt:lpstr>
      <vt:lpstr>раздел 1 (за предел.)</vt:lpstr>
      <vt:lpstr>раздел 2</vt:lpstr>
      <vt:lpstr>разбивка</vt:lpstr>
      <vt:lpstr>строка 1100 (120)+</vt:lpstr>
      <vt:lpstr>строка 1110 (121) аренда+</vt:lpstr>
      <vt:lpstr>строка 1200(130)</vt:lpstr>
      <vt:lpstr>субсидии стр1210(130)культ</vt:lpstr>
      <vt:lpstr>платные строка 1220 (131)</vt:lpstr>
      <vt:lpstr>самоокуп платные 1220 (131)</vt:lpstr>
      <vt:lpstr>возмещ ком услстрока 1230(135)</vt:lpstr>
      <vt:lpstr>штрафы строка 1300 (140)</vt:lpstr>
      <vt:lpstr>безвозм1430(155)</vt:lpstr>
      <vt:lpstr>безвозм1430(155) расч</vt:lpstr>
      <vt:lpstr>безвоз строка 1400 (150)</vt:lpstr>
      <vt:lpstr>прочие поступ строка 1980 (510)</vt:lpstr>
      <vt:lpstr>иные стр1210(130)культ</vt:lpstr>
      <vt:lpstr>субс РК КВР 111 (14.02.20)</vt:lpstr>
      <vt:lpstr>субс РК КВР 119 (14.02.20)</vt:lpstr>
      <vt:lpstr>б-т 991,992,911 (14.02.20)-2020</vt:lpstr>
      <vt:lpstr>б-т 991,992,911 (01.01.20)-2021</vt:lpstr>
      <vt:lpstr>б-т 991,992,911 (01.01.20)-2022</vt:lpstr>
      <vt:lpstr>субс РК КВР 112 (01.01.20)</vt:lpstr>
      <vt:lpstr>б-т 919 (01.01.20)</vt:lpstr>
      <vt:lpstr>субс РК КВР 113(01.01.20)</vt:lpstr>
      <vt:lpstr>б-т 966 (01.01.20)</vt:lpstr>
      <vt:lpstr>субс РК КВР 321(01.01.20)</vt:lpstr>
      <vt:lpstr>субс РК КВР 244 (01.01.20)</vt:lpstr>
      <vt:lpstr>б-т 922 (01.01.20)</vt:lpstr>
      <vt:lpstr>б-т 927 (01.01.20)</vt:lpstr>
      <vt:lpstr>б-т 931,932,933 (01.01.20)</vt:lpstr>
      <vt:lpstr>б-т 934 (01.01.20)</vt:lpstr>
      <vt:lpstr>б-т 941 (01.01.20)</vt:lpstr>
      <vt:lpstr>б-т 942 (01.01.20)</vt:lpstr>
      <vt:lpstr>б-т 947 (01.01.20)</vt:lpstr>
      <vt:lpstr>б-т 953 (01.01.20)</vt:lpstr>
      <vt:lpstr>б-т 954 (01.01.20)</vt:lpstr>
      <vt:lpstr>б-т Стим-е 954 (01.01.20)</vt:lpstr>
      <vt:lpstr>б-т 981 Стим-е (01.01.20)</vt:lpstr>
      <vt:lpstr>б-т 982 (01.01.20)</vt:lpstr>
      <vt:lpstr>б-т 995 (01.01.20)</vt:lpstr>
      <vt:lpstr>субс РТ КВР 113(01.01.20)</vt:lpstr>
      <vt:lpstr>субс РТ КВР 244 (01.01.20)</vt:lpstr>
      <vt:lpstr>иные КВР 112 (01.01.20)</vt:lpstr>
      <vt:lpstr>иные КВР 321(01.01.20)</vt:lpstr>
      <vt:lpstr>иные 212 (917) 2020</vt:lpstr>
      <vt:lpstr>ОД КВР 113(01.01.20)</vt:lpstr>
      <vt:lpstr>ОД КВР 244 (13.04.20)</vt:lpstr>
      <vt:lpstr>ОД 966 (21.02.20)</vt:lpstr>
      <vt:lpstr>(81600) КВР 244 (01.01.20)</vt:lpstr>
      <vt:lpstr>75 лет КВР 113(01.01.20)</vt:lpstr>
      <vt:lpstr>75 лет КВР 244 (01.01.20)</vt:lpstr>
      <vt:lpstr>ЖКХ КВР 244 (01.01.20)</vt:lpstr>
      <vt:lpstr>реформа ЖКХ 947 (01.01.20)</vt:lpstr>
      <vt:lpstr>внебКВР 111 (01.01.20)+</vt:lpstr>
      <vt:lpstr>внебКВР 119 (01.01.20)+</vt:lpstr>
      <vt:lpstr>внеб КВР 112 (01.01.20)</vt:lpstr>
      <vt:lpstr>внеб 912,921,952 (21.02.20)</vt:lpstr>
      <vt:lpstr>внеб КВР 113(01.01.20)</vt:lpstr>
      <vt:lpstr>внеб КВР 244</vt:lpstr>
      <vt:lpstr>расходы самоокупаемые (01.01.20</vt:lpstr>
      <vt:lpstr>внеб 925 (01.01.20)</vt:lpstr>
      <vt:lpstr>внеб 931,932,933 (01.01.20)</vt:lpstr>
      <vt:lpstr>внеб 941 (01.01.20)</vt:lpstr>
      <vt:lpstr>внеб 947 (21.02.20)</vt:lpstr>
      <vt:lpstr>внеб 954 (21.02.20)</vt:lpstr>
      <vt:lpstr>внеб 955 (01.01.20)</vt:lpstr>
      <vt:lpstr>внеб 963 (23.03.20)</vt:lpstr>
      <vt:lpstr>внеб 971 (23.03.20)</vt:lpstr>
      <vt:lpstr>внеб 981 (23.03.20)</vt:lpstr>
      <vt:lpstr>внеб 982 (01.01.20)</vt:lpstr>
      <vt:lpstr>внеб 983 (01.01.20)</vt:lpstr>
      <vt:lpstr>внеб 985 (01.01.20)</vt:lpstr>
      <vt:lpstr>внеб 986 (01.01.20)</vt:lpstr>
      <vt:lpstr>КВР 850</vt:lpstr>
      <vt:lpstr>безв.пост. КВР 113</vt:lpstr>
      <vt:lpstr>безв.пост. КВР 244 </vt:lpstr>
      <vt:lpstr>безв.поступ. 820</vt:lpstr>
      <vt:lpstr>ГЦК+Энергия 2020</vt:lpstr>
      <vt:lpstr>Юбилейный 2020</vt:lpstr>
      <vt:lpstr>Высоцкий 2020</vt:lpstr>
      <vt:lpstr>музей 2021</vt:lpstr>
      <vt:lpstr>Родина 2021</vt:lpstr>
      <vt:lpstr>ЦБС 2021</vt:lpstr>
      <vt:lpstr>ГЦК+Энергия 2021</vt:lpstr>
      <vt:lpstr>Юбилейный 2021</vt:lpstr>
      <vt:lpstr>Высоцкий 2021</vt:lpstr>
      <vt:lpstr>музей 2022</vt:lpstr>
      <vt:lpstr>Родина 2022</vt:lpstr>
      <vt:lpstr>ЦБС 2022</vt:lpstr>
      <vt:lpstr>ГЦК+Энергия 2022</vt:lpstr>
      <vt:lpstr>Юбилейный 2022</vt:lpstr>
      <vt:lpstr>Высоцкий 2022</vt:lpstr>
      <vt:lpstr>'б-т 919 (01.01.20)'!Заголовки_для_печати</vt:lpstr>
      <vt:lpstr>'б-т 922 (01.01.20)'!Заголовки_для_печати</vt:lpstr>
      <vt:lpstr>'б-т 934 (01.01.20)'!Заголовки_для_печати</vt:lpstr>
      <vt:lpstr>'б-т 947 (01.01.20)'!Заголовки_для_печати</vt:lpstr>
      <vt:lpstr>'б-т 953 (01.01.20)'!Заголовки_для_печати</vt:lpstr>
      <vt:lpstr>'б-т 954 (01.01.20)'!Заголовки_для_печати</vt:lpstr>
      <vt:lpstr>'б-т 966 (01.01.20)'!Заголовки_для_печати</vt:lpstr>
      <vt:lpstr>'б-т 981 Стим-е (01.01.20)'!Заголовки_для_печати</vt:lpstr>
      <vt:lpstr>'б-т 995 (01.01.20)'!Заголовки_для_печати</vt:lpstr>
      <vt:lpstr>'б-т Стим-е 954 (01.01.20)'!Заголовки_для_печати</vt:lpstr>
      <vt:lpstr>'внеб 947 (21.02.20)'!Заголовки_для_печати</vt:lpstr>
      <vt:lpstr>'внеб 963 (23.03.20)'!Заголовки_для_печати</vt:lpstr>
      <vt:lpstr>'внеб 971 (23.03.20)'!Заголовки_для_печати</vt:lpstr>
      <vt:lpstr>'внеб 981 (23.03.20)'!Заголовки_для_печати</vt:lpstr>
      <vt:lpstr>'внеб 986 (01.01.20)'!Заголовки_для_печати</vt:lpstr>
      <vt:lpstr>'ГЦК+Энергия 2020'!Заголовки_для_печати</vt:lpstr>
      <vt:lpstr>'ГЦК+Энергия 2021'!Заголовки_для_печати</vt:lpstr>
      <vt:lpstr>'ГЦК+Энергия 2022'!Заголовки_для_печати</vt:lpstr>
      <vt:lpstr>'иные 212 (917) 2020'!Заголовки_для_печати</vt:lpstr>
      <vt:lpstr>'ОД 966 (21.02.20)'!Заголовки_для_печати</vt:lpstr>
      <vt:lpstr>'раздел 1 (2020)'!Заголовки_для_печати</vt:lpstr>
      <vt:lpstr>'раздел 1 (2021)'!Заголовки_для_печати</vt:lpstr>
      <vt:lpstr>'раздел 1 (2022)'!Заголовки_для_печати</vt:lpstr>
      <vt:lpstr>'раздел 1 (за предел.)'!Заголовки_для_печати</vt:lpstr>
      <vt:lpstr>'раздел 2'!Заголовки_для_печати</vt:lpstr>
      <vt:lpstr>'(81600) КВР 244 (01.01.20)'!Область_печати</vt:lpstr>
      <vt:lpstr>'75 лет КВР 244 (01.01.20)'!Область_печати</vt:lpstr>
      <vt:lpstr>'безв.пост. КВР 244 '!Область_печати</vt:lpstr>
      <vt:lpstr>'безв.поступ. 820'!Область_печати</vt:lpstr>
      <vt:lpstr>'безвоз строка 1400 (150)'!Область_печати</vt:lpstr>
      <vt:lpstr>'безвозм1430(155)'!Область_печати</vt:lpstr>
      <vt:lpstr>'безвозм1430(155) расч'!Область_печати</vt:lpstr>
      <vt:lpstr>'б-т 919 (01.01.20)'!Область_печати</vt:lpstr>
      <vt:lpstr>'б-т 922 (01.01.20)'!Область_печати</vt:lpstr>
      <vt:lpstr>'б-т 927 (01.01.20)'!Область_печати</vt:lpstr>
      <vt:lpstr>'б-т 931,932,933 (01.01.20)'!Область_печати</vt:lpstr>
      <vt:lpstr>'б-т 934 (01.01.20)'!Область_печати</vt:lpstr>
      <vt:lpstr>'б-т 941 (01.01.20)'!Область_печати</vt:lpstr>
      <vt:lpstr>'б-т 942 (01.01.20)'!Область_печати</vt:lpstr>
      <vt:lpstr>'б-т 947 (01.01.20)'!Область_печати</vt:lpstr>
      <vt:lpstr>'б-т 953 (01.01.20)'!Область_печати</vt:lpstr>
      <vt:lpstr>'б-т 954 (01.01.20)'!Область_печати</vt:lpstr>
      <vt:lpstr>'б-т 966 (01.01.20)'!Область_печати</vt:lpstr>
      <vt:lpstr>'б-т 981 Стим-е (01.01.20)'!Область_печати</vt:lpstr>
      <vt:lpstr>'б-т 982 (01.01.20)'!Область_печати</vt:lpstr>
      <vt:lpstr>'б-т 991,992,911 (01.01.20)-2021'!Область_печати</vt:lpstr>
      <vt:lpstr>'б-т 991,992,911 (01.01.20)-2022'!Область_печати</vt:lpstr>
      <vt:lpstr>'б-т 991,992,911 (14.02.20)-2020'!Область_печати</vt:lpstr>
      <vt:lpstr>'б-т 995 (01.01.20)'!Область_печати</vt:lpstr>
      <vt:lpstr>'б-т Стим-е 954 (01.01.20)'!Область_печати</vt:lpstr>
      <vt:lpstr>'внеб 912,921,952 (21.02.20)'!Область_печати</vt:lpstr>
      <vt:lpstr>'внеб 925 (01.01.20)'!Область_печати</vt:lpstr>
      <vt:lpstr>'внеб 931,932,933 (01.01.20)'!Область_печати</vt:lpstr>
      <vt:lpstr>'внеб 941 (01.01.20)'!Область_печати</vt:lpstr>
      <vt:lpstr>'внеб 947 (21.02.20)'!Область_печати</vt:lpstr>
      <vt:lpstr>'внеб 954 (21.02.20)'!Область_печати</vt:lpstr>
      <vt:lpstr>'внеб 955 (01.01.20)'!Область_печати</vt:lpstr>
      <vt:lpstr>'внеб 963 (23.03.20)'!Область_печати</vt:lpstr>
      <vt:lpstr>'внеб 971 (23.03.20)'!Область_печати</vt:lpstr>
      <vt:lpstr>'внеб 981 (23.03.20)'!Область_печати</vt:lpstr>
      <vt:lpstr>'внеб 982 (01.01.20)'!Область_печати</vt:lpstr>
      <vt:lpstr>'внеб 983 (01.01.20)'!Область_печати</vt:lpstr>
      <vt:lpstr>'внеб 985 (01.01.20)'!Область_печати</vt:lpstr>
      <vt:lpstr>'внеб 986 (01.01.20)'!Область_печати</vt:lpstr>
      <vt:lpstr>'внеб КВР 112 (01.01.20)'!Область_печати</vt:lpstr>
      <vt:lpstr>'внеб КВР 244'!Область_печати</vt:lpstr>
      <vt:lpstr>'внебКВР 111 (01.01.20)+'!Область_печати</vt:lpstr>
      <vt:lpstr>'возмещ ком услстрока 1230(135)'!Область_печати</vt:lpstr>
      <vt:lpstr>'Высоцкий 2020'!Область_печати</vt:lpstr>
      <vt:lpstr>'Высоцкий 2021'!Область_печати</vt:lpstr>
      <vt:lpstr>'Высоцкий 2022'!Область_печати</vt:lpstr>
      <vt:lpstr>'ГЦК+Энергия 2020'!Область_печати</vt:lpstr>
      <vt:lpstr>'ГЦК+Энергия 2021'!Область_печати</vt:lpstr>
      <vt:lpstr>'ГЦК+Энергия 2022'!Область_печати</vt:lpstr>
      <vt:lpstr>'ЖКХ КВР 244 (01.01.20)'!Область_печати</vt:lpstr>
      <vt:lpstr>'иные 212 (917) 2020'!Область_печати</vt:lpstr>
      <vt:lpstr>'иные КВР 112 (01.01.20)'!Область_печати</vt:lpstr>
      <vt:lpstr>'иные КВР 321(01.01.20)'!Область_печати</vt:lpstr>
      <vt:lpstr>'иные стр1210(130)культ'!Область_печати</vt:lpstr>
      <vt:lpstr>'музей 2020'!Область_печати</vt:lpstr>
      <vt:lpstr>'музей 2021'!Область_печати</vt:lpstr>
      <vt:lpstr>'музей 2022'!Область_печати</vt:lpstr>
      <vt:lpstr>'ОД 966 (21.02.20)'!Область_печати</vt:lpstr>
      <vt:lpstr>'ОД КВР 244 (13.04.20)'!Область_печати</vt:lpstr>
      <vt:lpstr>'платные строка 1220 (131)'!Область_печати</vt:lpstr>
      <vt:lpstr>'раздел 1 (2020)'!Область_печати</vt:lpstr>
      <vt:lpstr>'раздел 1 (2021)'!Область_печати</vt:lpstr>
      <vt:lpstr>'раздел 1 (2022)'!Область_печати</vt:lpstr>
      <vt:lpstr>'раздел 1 (за предел.)'!Область_печати</vt:lpstr>
      <vt:lpstr>'раздел 2'!Область_печати</vt:lpstr>
      <vt:lpstr>'расходы самоокупаемые (01.01.20'!Область_печати</vt:lpstr>
      <vt:lpstr>'реформа ЖКХ 947 (01.01.20)'!Область_печати</vt:lpstr>
      <vt:lpstr>'Родина 2020'!Область_печати</vt:lpstr>
      <vt:lpstr>'Родина 2021'!Область_печати</vt:lpstr>
      <vt:lpstr>'Родина 2022'!Область_печати</vt:lpstr>
      <vt:lpstr>'самоокуп платные 1220 (131)'!Область_печати</vt:lpstr>
      <vt:lpstr>СВОД!Область_печати</vt:lpstr>
      <vt:lpstr>'СВОД (2)'!Область_печати</vt:lpstr>
      <vt:lpstr>'строка 1100 (120)+'!Область_печати</vt:lpstr>
      <vt:lpstr>'строка 1110 (121) аренда+'!Область_печати</vt:lpstr>
      <vt:lpstr>'строка 1200(130)'!Область_печати</vt:lpstr>
      <vt:lpstr>'субс РК КВР 112 (01.01.20)'!Область_печати</vt:lpstr>
      <vt:lpstr>'субс РК КВР 244 (01.01.20)'!Область_печати</vt:lpstr>
      <vt:lpstr>'субс РТ КВР 244 (01.01.20)'!Область_печати</vt:lpstr>
      <vt:lpstr>'субсидии стр1210(130)культ'!Область_печати</vt:lpstr>
      <vt:lpstr>'ЦБС 2021'!Область_печати</vt:lpstr>
      <vt:lpstr>'ЦБС 2022'!Область_печати</vt:lpstr>
      <vt:lpstr>'штрафы строка 1300 (140)'!Область_печати</vt:lpstr>
      <vt:lpstr>'Юбилейный 2020'!Область_печати</vt:lpstr>
      <vt:lpstr>'Юбилейный 2021'!Область_печати</vt:lpstr>
      <vt:lpstr>'Юбилейный 2022'!Область_печати</vt:lpstr>
    </vt:vector>
  </TitlesOfParts>
  <Company>Work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андрей</dc:creator>
  <cp:lastModifiedBy>Люся</cp:lastModifiedBy>
  <cp:lastPrinted>2020-02-14T08:28:11Z</cp:lastPrinted>
  <dcterms:created xsi:type="dcterms:W3CDTF">2011-02-11T02:31:04Z</dcterms:created>
  <dcterms:modified xsi:type="dcterms:W3CDTF">2020-04-28T04:51:53Z</dcterms:modified>
</cp:coreProperties>
</file>